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state="hidden"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案例住宅" sheetId="78" r:id="rId46"/>
    <sheet name="案例车库" sheetId="80" r:id="rId47"/>
    <sheet name="Sheet1" sheetId="79" state="hidden"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6">'[1]不动产比较法-办公'!$B$119:$M$119</definedName>
    <definedName name="办公层高">'比较法-办公'!$B$119:$M$119</definedName>
    <definedName name="办公朝向" localSheetId="46">'[1]不动产比较法-办公'!$B$91:$M$91</definedName>
    <definedName name="办公朝向">'比较法-办公'!$B$91:$M$91</definedName>
    <definedName name="办公道路级别" localSheetId="46">'[1]不动产比较法-办公'!$B$87:$M$87</definedName>
    <definedName name="办公道路级别">'比较法-办公'!$B$87:$M$87</definedName>
    <definedName name="办公公共部分装修" localSheetId="46">'[1]不动产比较法-办公'!$B$108:$M$108</definedName>
    <definedName name="办公公共部分装修">'比较法-办公'!$B$108:$M$108</definedName>
    <definedName name="办公基础设施水平" localSheetId="46">'[1]不动产比较法-办公'!$B$117:$M$117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'[1]不动产比较法-办公'!$B$106:$M$106</definedName>
    <definedName name="办公建筑结构">'比较法-办公'!$B$106:$M$106</definedName>
    <definedName name="办公建筑类型" localSheetId="46">'[1]不动产比较法-办公'!$B$101:$M$101</definedName>
    <definedName name="办公建筑类型">'比较法-办公'!$B$101:$M$101</definedName>
    <definedName name="办公交易情况" localSheetId="46">'[1]不动产比较法-办公'!$A$62:$M$62</definedName>
    <definedName name="办公交易情况">'比较法-办公'!$A$62:$M$62</definedName>
    <definedName name="办公楼层" localSheetId="46">'[1]不动产比较法-办公'!$B$89:$M$89</definedName>
    <definedName name="办公楼层">'比较法-办公'!$B$89:$M$89</definedName>
    <definedName name="办公内部装修" localSheetId="46">'[1]不动产比较法-办公'!$B$123:$M$123</definedName>
    <definedName name="办公内部装修">'比较法-办公'!$B$123:$M$123</definedName>
    <definedName name="办公物业管理" localSheetId="46">'[1]不动产比较法-办公'!$B$115:$M$115</definedName>
    <definedName name="办公物业管理">'比较法-办公'!$B$115:$M$115</definedName>
    <definedName name="办公用途" localSheetId="46">'[1]不动产比较法-办公'!$B$64:$M$64</definedName>
    <definedName name="办公用途">'比较法-办公'!$B$64:$M$64</definedName>
    <definedName name="仓储公共部分装修" localSheetId="46">'[1]不动产比较法-仓储'!$B$77:$M$77</definedName>
    <definedName name="仓储公共部分装修">'比较法-仓储'!$B$77:$M$77</definedName>
    <definedName name="仓储交易情况" localSheetId="46">'[1]不动产比较法-仓储'!$A$49:$M$49</definedName>
    <definedName name="仓储交易情况">'比较法-仓储'!$A$49:$M$49</definedName>
    <definedName name="仓储楼层" localSheetId="46">'[1]不动产比较法-仓储'!$B$69:$M$69</definedName>
    <definedName name="仓储楼层">'比较法-仓储'!$B$69:$M$69</definedName>
    <definedName name="仓储物业等级" localSheetId="46">'[1]不动产比较法-仓储'!$B$82:$M$82</definedName>
    <definedName name="仓储物业等级">'比较法-仓储'!$B$82:$M$82</definedName>
    <definedName name="仓储用途" localSheetId="46">'[1]不动产比较法-仓储'!$B$51:$M$51</definedName>
    <definedName name="仓储用途">'比较法-仓储'!$B$51:$M$51</definedName>
    <definedName name="产业集聚程度" localSheetId="46">[1]定义!$N$1:$N$6</definedName>
    <definedName name="产业集聚程度">定义!$N$1:$N$6</definedName>
    <definedName name="车位公共部分装修" localSheetId="46">'[1]不动产比较法-车位'!$B$83:$M$83</definedName>
    <definedName name="车位公共部分装修">'比较法-车位'!$B$83:$M$83</definedName>
    <definedName name="车位交易情况" localSheetId="46">'[1]不动产比较法-车位'!$A$51:$M$51</definedName>
    <definedName name="车位交易情况">'比较法-车位'!$A$51:$M$51</definedName>
    <definedName name="车位类型" localSheetId="46">'[1]不动产比较法-车位'!$B$93:$M$93</definedName>
    <definedName name="车位类型">'比较法-车位'!$B$93:$M$93</definedName>
    <definedName name="车位楼层" localSheetId="46">'[1]不动产比较法-车位'!$B$71:$M$71</definedName>
    <definedName name="车位楼层">'比较法-车位'!$B$71:$M$71</definedName>
    <definedName name="车位配套类型" localSheetId="46">'[1]不动产比较法-车位'!$B$79:$M$79</definedName>
    <definedName name="车位配套类型">'比较法-车位'!$B$79:$M$79</definedName>
    <definedName name="车位物业等级" localSheetId="46">'[1]不动产比较法-车位'!$B$88:$M$88</definedName>
    <definedName name="车位物业等级">'比较法-车位'!$B$88:$M$88</definedName>
    <definedName name="车位用途" localSheetId="46">'[1]不动产比较法-车位'!$B$53:$M$53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[1]定义!$G$2:$G$4</definedName>
    <definedName name="法定最高年限">定义!$G$1:$G$4</definedName>
    <definedName name="工业公共部分装修" localSheetId="46">'[1]不动产比较法-工业'!$B$95:$M$95</definedName>
    <definedName name="工业公共部分装修">'比较法-工业'!$B$95:$M$95</definedName>
    <definedName name="工业基础设施水平" localSheetId="46">'[1]不动产比较法-工业'!$B$102:$M$102</definedName>
    <definedName name="工业基础设施水平">'比较法-工业'!$B$102:$M$102</definedName>
    <definedName name="工业建筑结构" localSheetId="46">'[1]不动产比较法-工业'!$B$93:$M$93</definedName>
    <definedName name="工业建筑结构">'比较法-工业'!$B$93:$M$93</definedName>
    <definedName name="工业建筑类型" localSheetId="46">'[1]不动产比较法-工业'!$B$88:$M$88</definedName>
    <definedName name="工业建筑类型">'比较法-工业'!$B$88:$M$88</definedName>
    <definedName name="工业交易情况" localSheetId="46">'[1]不动产比较法-工业'!$A$55:$M$55</definedName>
    <definedName name="工业交易情况">'比较法-工业'!$A$55:$M$55</definedName>
    <definedName name="工业内部装修" localSheetId="46">'[1]不动产比较法-工业'!$B$104:$M$104</definedName>
    <definedName name="工业内部装修">'比较法-工业'!$B$104:$M$104</definedName>
    <definedName name="工业物业管理" localSheetId="46">'[1]不动产比较法-工业'!$B$100:$M$100</definedName>
    <definedName name="工业物业管理">'比较法-工业'!$B$100:$M$100</definedName>
    <definedName name="工业用途" localSheetId="46">'[1]不动产比较法-工业'!$B$57:$M$57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'[1]不动产比较法-商业'!$B$116:$M$116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'[1]不动产比较法-商业'!$B$107:$M$107</definedName>
    <definedName name="商业公共部分装修">'比较法-商业'!$B$107:$M$107</definedName>
    <definedName name="商业基础设施水平" localSheetId="46">'[1]不动产比较法-商业'!$B$112:$M$112</definedName>
    <definedName name="商业基础设施水平">'比较法-商业'!$B$112:$M$112</definedName>
    <definedName name="商业建筑结构" localSheetId="46">'[1]不动产比较法-商业'!$B$105:$M$105</definedName>
    <definedName name="商业建筑结构">'比较法-商业'!$B$105:$M$105</definedName>
    <definedName name="商业交易情况" localSheetId="46">'[1]不动产比较法-商业'!$A$61:$M$61</definedName>
    <definedName name="商业交易情况">'比较法-商业'!$A$61:$M$61</definedName>
    <definedName name="商业街名称" localSheetId="46">[1]修正!$C$59:$C$119</definedName>
    <definedName name="商业街名称">修正!$C$59:$C$119</definedName>
    <definedName name="商业进深比" localSheetId="46">'[1]不动产比较法-商业'!$B$120:$M$120</definedName>
    <definedName name="商业进深比">'比较法-商业'!$B$120:$M$120</definedName>
    <definedName name="商业类型" localSheetId="46">'[1]不动产比较法-商业'!$B$100:$M$100</definedName>
    <definedName name="商业类型">'比较法-商业'!$B$100:$M$100</definedName>
    <definedName name="商业临街状况" localSheetId="46">'[1]不动产比较法-商业'!$B$86:$M$86</definedName>
    <definedName name="商业临街状况">'比较法-商业'!$B$86:$M$86</definedName>
    <definedName name="商业楼层" localSheetId="46">'[1]不动产比较法-商业'!$B$92:$M$92</definedName>
    <definedName name="商业楼层">'比较法-商业'!$B$92:$M$92</definedName>
    <definedName name="商业内部装修" localSheetId="46">'[1]不动产比较法-商业'!$B$122:$M$122</definedName>
    <definedName name="商业内部装修">'比较法-商业'!$B$122:$M$122</definedName>
    <definedName name="商业人流量" localSheetId="46">'[1]不动产比较法-商业'!$B$90:$M$90</definedName>
    <definedName name="商业人流量">'比较法-商业'!$B$90:$M$90</definedName>
    <definedName name="商业业态" localSheetId="46">'[1]不动产比较法-商业'!$B$114:$M$114</definedName>
    <definedName name="商业业态">'比较法-商业'!$B$114:$M$114</definedName>
    <definedName name="商业用途" localSheetId="4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'[1]不动产比较法-仓储'!$B$89:$M$89</definedName>
    <definedName name="是否封闭">'比较法-仓储'!$B$89:$M$89</definedName>
    <definedName name="是否直接入户" localSheetId="4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46">'[1]比较法-住宅、综合'!$A$75:$M$75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46">'[1]比较法-工业'!$B$101:$M$101</definedName>
    <definedName name="套工土地级别">'土地比较法-工业'!$B$99:$M$99</definedName>
    <definedName name="套工用途" localSheetId="46">'[1]比较法-工业'!$B$72:$M$72</definedName>
    <definedName name="套工用途">'土地比较法-工业'!$B$70:$M$70</definedName>
    <definedName name="套工宗地开发程度">'土地比较法-工业'!$B$112:$M$112</definedName>
    <definedName name="套工宗地形状" localSheetId="46">'[1]比较法-工业'!$B$112:$M$112</definedName>
    <definedName name="套工宗地形状">'土地比较法-工业'!$B$110:$M$110</definedName>
    <definedName name="套综道路等级" localSheetId="46">'[1]比较法-住宅、综合'!$B$108:$M$108</definedName>
    <definedName name="套综道路等级">'土地比较法-住宅、综合'!$B$106:$M$106</definedName>
    <definedName name="套综工程地质条件" localSheetId="46">'[1]比较法-住宅、综合'!$B$127:$M$127</definedName>
    <definedName name="套综工程地质条件">'土地比较法-住宅、综合'!$B$125:$M$125</definedName>
    <definedName name="套综交易情况" localSheetId="46">'[1]比较法-住宅、综合'!$A$75:$M$75</definedName>
    <definedName name="套综交易情况">'土地比较法-住宅、综合'!$A$73:$M$73</definedName>
    <definedName name="套综临街宽度及深度" localSheetId="46">'[1]比较法-住宅、综合'!$B$123:$M$123</definedName>
    <definedName name="套综临街宽度及深度">'土地比较法-住宅、综合'!$B$121:$M$121</definedName>
    <definedName name="套综土地级别" localSheetId="46">'[1]比较法-住宅、综合'!$B$110:$M$110</definedName>
    <definedName name="套综土地级别">'土地比较法-住宅、综合'!$B$108:$M$108</definedName>
    <definedName name="套综用途" localSheetId="46">'[1]比较法-住宅、综合'!$B$77:$M$77</definedName>
    <definedName name="套综用途">'土地比较法-住宅、综合'!$B$75:$M$75</definedName>
    <definedName name="套综宗地内开发程度" localSheetId="46">'[1]比较法-住宅、综合'!$B$125:$M$125</definedName>
    <definedName name="套综宗地内开发程度">'土地比较法-住宅、综合'!$B$123:$M$123</definedName>
    <definedName name="套综宗地形状" localSheetId="46">'[1]比较法-住宅、综合'!$B$121:$M$121</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'[1]不动产比较法-办公'!$B$113:$M$113</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[1]定义!$A$1:$A$50</definedName>
    <definedName name="用途明细">定义!$A$1:$A$50</definedName>
    <definedName name="有无电梯" localSheetId="46">'[1]不动产比较法-仓储'!$B$84:$M$84</definedName>
    <definedName name="有无电梯">'比较法-仓储'!$B$84:$M$84</definedName>
    <definedName name="主用途" localSheetId="46">[1]定义!$F$1:$F$10</definedName>
    <definedName name="主用途">定义!$F$1:$F$10</definedName>
    <definedName name="住宅朝向" localSheetId="46">'[1]不动产比较法-住宅'!$B$88:$M$88</definedName>
    <definedName name="住宅朝向">'比较法-住宅'!$B$88:$M$88</definedName>
    <definedName name="住宅房型" localSheetId="46">'[1]不动产比较法-住宅'!$B$118:$M$118</definedName>
    <definedName name="住宅房型">'比较法-住宅'!$B$118:$M$118</definedName>
    <definedName name="住宅公共部分装修" localSheetId="46">'[1]不动产比较法-住宅'!$B$109:$M$109</definedName>
    <definedName name="住宅公共部分装修">'比较法-住宅'!$B$109:$M$109</definedName>
    <definedName name="住宅基础设施水平" localSheetId="46">'[1]不动产比较法-住宅'!$B$116:$M$116</definedName>
    <definedName name="住宅基础设施水平">'比较法-住宅'!$B$116:$M$116</definedName>
    <definedName name="住宅建筑结构" localSheetId="46">'[1]不动产比较法-住宅'!$B$105:$M$105</definedName>
    <definedName name="住宅建筑结构">'比较法-住宅'!$B$105:$M$105</definedName>
    <definedName name="住宅建筑类型" localSheetId="46">'[1]不动产比较法-住宅'!$B$100:$M$100</definedName>
    <definedName name="住宅建筑类型">'比较法-住宅'!$B$100:$M$100</definedName>
    <definedName name="住宅建筑品质" localSheetId="46">'[1]不动产比较法-住宅'!$B$107:$M$107</definedName>
    <definedName name="住宅建筑品质">'比较法-住宅'!$B$107:$M$107</definedName>
    <definedName name="住宅交易情况" localSheetId="46">'[1]不动产比较法-住宅'!$A$61:$M$61</definedName>
    <definedName name="住宅交易情况">'比较法-住宅'!$A$61:$M$61</definedName>
    <definedName name="住宅楼层" localSheetId="46">'[1]不动产比较法-住宅'!$B$86:$M$86</definedName>
    <definedName name="住宅楼层">'比较法-住宅'!$B$86:$M$86</definedName>
    <definedName name="住宅内部装修" localSheetId="46">'[1]不动产比较法-住宅'!$B$122:$M$122</definedName>
    <definedName name="住宅内部装修">'比较法-住宅'!$B$122:$M$122</definedName>
    <definedName name="住宅物业管理" localSheetId="46">'[1]不动产比较法-住宅'!$B$114:$M$114</definedName>
    <definedName name="住宅物业管理">'比较法-住宅'!$B$114:$M$114</definedName>
    <definedName name="住宅用途" localSheetId="4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5" i="74" l="1"/>
  <c r="H15" i="74"/>
  <c r="G15" i="74"/>
  <c r="D15" i="74"/>
  <c r="C15" i="74"/>
  <c r="B15" i="74"/>
  <c r="D8" i="12"/>
  <c r="D6" i="12"/>
  <c r="K20" i="35"/>
  <c r="K18" i="35"/>
  <c r="K16" i="35"/>
  <c r="K14" i="35"/>
  <c r="K10" i="35"/>
  <c r="E92" i="35"/>
  <c r="D92" i="35"/>
  <c r="E49" i="35"/>
  <c r="F49" i="35"/>
  <c r="G49" i="35"/>
  <c r="H49" i="35"/>
  <c r="I49" i="35"/>
  <c r="J49" i="35"/>
  <c r="K49" i="35"/>
  <c r="L49" i="35"/>
  <c r="D49" i="35"/>
  <c r="C8" i="12"/>
  <c r="C6" i="12"/>
  <c r="I47" i="21"/>
  <c r="G47" i="21"/>
  <c r="E104" i="21"/>
  <c r="F104" i="21"/>
  <c r="G104" i="21"/>
  <c r="H104" i="21"/>
  <c r="I104" i="21"/>
  <c r="D104" i="21"/>
  <c r="I11" i="21"/>
  <c r="G11" i="21"/>
  <c r="E11" i="21"/>
  <c r="C11" i="21"/>
  <c r="E71" i="39"/>
  <c r="F71" i="39"/>
  <c r="G71" i="39"/>
  <c r="H71" i="39"/>
  <c r="I71" i="39"/>
  <c r="J71" i="39"/>
  <c r="K71" i="39"/>
  <c r="L71" i="39"/>
  <c r="M71" i="39"/>
  <c r="D71" i="39"/>
  <c r="I46" i="39"/>
  <c r="G46" i="39"/>
  <c r="E46" i="39"/>
  <c r="E118" i="39"/>
  <c r="F118" i="39"/>
  <c r="G118" i="39"/>
  <c r="H118" i="39"/>
  <c r="D118" i="39"/>
  <c r="I38" i="39"/>
  <c r="G38" i="39"/>
  <c r="E38" i="39"/>
  <c r="C38" i="39"/>
  <c r="I11" i="39"/>
  <c r="G11" i="39"/>
  <c r="E11" i="39"/>
  <c r="C11" i="39"/>
  <c r="C10" i="39"/>
  <c r="I7" i="39"/>
  <c r="G7" i="39"/>
  <c r="E7" i="39"/>
  <c r="I5" i="39"/>
  <c r="G5" i="39"/>
  <c r="E5" i="39"/>
  <c r="C5" i="39"/>
  <c r="G20" i="6"/>
  <c r="F19" i="6"/>
  <c r="C11"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<sst xmlns="http://schemas.openxmlformats.org/spreadsheetml/2006/main" count="8184" uniqueCount="3327">
  <si>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</si>
  <si>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</si>
  <si>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</si>
  <si>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</si>
  <si>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</si>
  <si>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</si>
  <si>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</si>
  <si>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</si>
  <si>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</si>
  <si>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</si>
  <si>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</si>
  <si>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</si>
  <si>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</si>
  <si>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</si>
  <si>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</si>
  <si>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</si>
  <si>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</si>
  <si>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</si>
  <si>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</si>
  <si>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</si>
  <si>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</si>
  <si>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</si>
  <si>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</si>
  <si>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</si>
  <si>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</si>
  <si>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</si>
  <si>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</si>
  <si>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</si>
  <si>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</si>
  <si>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</si>
  <si>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</si>
  <si>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</si>
  <si>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</si>
  <si>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</si>
  <si>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</si>
  <si>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</si>
  <si>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</si>
  <si>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</si>
  <si>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</si>
  <si>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</si>
  <si>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</si>
  <si>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</si>
  <si>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</si>
  <si>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</si>
  <si>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</si>
  <si>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</si>
  <si>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</si>
  <si>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</si>
  <si>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</si>
  <si>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</si>
  <si>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</si>
  <si>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</si>
  <si>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</si>
  <si>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</si>
  <si>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</si>
  <si>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</si>
  <si>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</si>
  <si>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</si>
  <si>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</si>
  <si>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</si>
  <si>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</si>
  <si>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</si>
  <si>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</si>
  <si>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</si>
  <si>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</si>
  <si>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</si>
  <si>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</si>
  <si>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</si>
  <si>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</si>
  <si>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</si>
  <si>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</si>
  <si>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</si>
  <si>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</si>
  <si>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</si>
  <si>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</si>
  <si>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</si>
  <si>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</si>
  <si>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</si>
  <si>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</si>
  <si>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</si>
  <si>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</si>
  <si>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</si>
  <si>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</si>
  <si>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</si>
  <si>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</si>
  <si>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</si>
  <si>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</si>
  <si>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</si>
  <si>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</si>
  <si>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</si>
  <si>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</si>
  <si>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</si>
  <si>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</si>
  <si>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</si>
  <si>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</si>
  <si>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</si>
  <si>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</si>
  <si>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</si>
  <si>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</si>
  <si>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</si>
  <si>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</si>
  <si>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</si>
  <si>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</si>
  <si>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</si>
  <si>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</si>
  <si>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</si>
  <si>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</si>
  <si>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</si>
  <si>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</si>
  <si>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</si>
  <si>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</si>
  <si>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</si>
  <si>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</si>
  <si>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</si>
  <si>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</si>
  <si>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</si>
  <si>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</si>
  <si>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</si>
  <si>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</si>
  <si>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</si>
  <si>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</si>
  <si>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</si>
  <si>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</si>
  <si>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</si>
  <si>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</si>
  <si>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</si>
  <si>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</si>
  <si>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</si>
  <si>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</si>
  <si>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</si>
  <si>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</si>
  <si>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</si>
  <si>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</si>
  <si>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</si>
  <si>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</si>
  <si>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</si>
  <si>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</si>
  <si>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</si>
  <si>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</si>
  <si>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</si>
  <si>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</si>
  <si>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</si>
  <si>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</si>
  <si>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</si>
  <si>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</si>
  <si>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</si>
  <si>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</si>
  <si>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</si>
  <si>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</si>
  <si>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</si>
  <si>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</si>
  <si>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</si>
  <si>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</si>
  <si>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</si>
  <si>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</si>
  <si>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</si>
  <si>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</si>
  <si>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</si>
  <si>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</si>
  <si>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</si>
  <si>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</si>
  <si>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</si>
  <si>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</si>
  <si>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</si>
  <si>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</si>
  <si>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</si>
  <si>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</si>
  <si>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</si>
  <si>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</si>
  <si>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</si>
  <si>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</si>
  <si>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</si>
  <si>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</si>
  <si>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</si>
  <si>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</si>
  <si>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</si>
  <si>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</si>
  <si>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</si>
  <si>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</si>
  <si>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</si>
  <si>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</si>
  <si>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</si>
  <si>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</si>
  <si>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</si>
  <si>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</si>
  <si>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</si>
  <si>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</si>
  <si>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</si>
  <si>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</si>
  <si>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</si>
  <si>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</si>
  <si>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</si>
  <si>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</si>
  <si>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</si>
  <si>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</si>
  <si>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</si>
  <si>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</si>
  <si>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</si>
  <si>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</si>
  <si>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</si>
  <si>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</si>
  <si>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</si>
  <si>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</si>
  <si>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</si>
  <si>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</si>
  <si>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</si>
  <si>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</si>
  <si>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</si>
  <si>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</si>
  <si>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</si>
  <si>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</si>
  <si>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</si>
  <si>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</si>
  <si>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</si>
  <si>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</si>
  <si>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</si>
  <si>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</si>
  <si>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</si>
  <si>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</si>
  <si>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</si>
  <si>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</si>
  <si>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</si>
  <si>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</si>
  <si>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</si>
  <si>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</si>
  <si>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</si>
  <si>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</si>
  <si>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</si>
  <si>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</si>
  <si>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</si>
  <si>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</si>
  <si>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</si>
  <si>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</si>
  <si>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</si>
  <si>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</si>
  <si>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</si>
  <si>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</si>
  <si>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</si>
  <si>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</si>
  <si>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</si>
  <si>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</si>
  <si>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</si>
  <si>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</si>
  <si>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</si>
  <si>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</si>
  <si>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</si>
  <si>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</si>
  <si>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</si>
  <si>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</si>
  <si>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</si>
  <si>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</si>
  <si>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</si>
  <si>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</si>
  <si>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</si>
  <si>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</si>
  <si>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</si>
  <si>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</si>
  <si>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</si>
  <si>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</si>
  <si>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</si>
  <si>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</si>
  <si>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</si>
  <si>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</si>
  <si>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</si>
  <si>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</si>
  <si>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</si>
  <si>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</si>
  <si>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</si>
  <si>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</si>
  <si>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</si>
  <si>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</si>
  <si>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</si>
  <si>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</si>
  <si>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</si>
  <si>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</si>
  <si>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</si>
  <si>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</si>
  <si>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</si>
  <si>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</si>
  <si>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</si>
  <si>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</si>
  <si>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</si>
  <si>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</si>
  <si>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</si>
  <si>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</si>
  <si>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</si>
  <si>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</si>
  <si>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</si>
  <si>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</si>
  <si>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</si>
  <si>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</si>
  <si>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</si>
  <si>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</si>
  <si>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</si>
  <si>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</si>
  <si>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</si>
  <si>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</si>
  <si>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</si>
  <si>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</si>
  <si>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</si>
  <si>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</si>
  <si>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</si>
  <si>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</si>
  <si>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</si>
  <si>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</si>
  <si>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</si>
  <si>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</si>
  <si>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</si>
  <si>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</si>
  <si>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</si>
  <si>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</si>
  <si>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</si>
  <si>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</si>
  <si>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</si>
  <si>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</si>
  <si>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</si>
  <si>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</si>
  <si>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</si>
  <si>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</si>
  <si>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</si>
  <si>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</si>
  <si>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</si>
  <si>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</si>
  <si>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</si>
  <si>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</si>
  <si>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</si>
  <si>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</si>
  <si>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</si>
  <si>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</si>
  <si>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</si>
  <si>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</si>
  <si>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</si>
  <si>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</si>
  <si>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</si>
  <si>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</si>
  <si>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</si>
  <si>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</si>
  <si>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</si>
  <si>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</si>
  <si>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</si>
  <si>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</si>
  <si>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</si>
  <si>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</si>
  <si>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</si>
  <si>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</si>
  <si>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</si>
  <si>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</si>
  <si>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</si>
  <si>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</si>
  <si>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</si>
  <si>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</si>
  <si>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</si>
  <si>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</si>
  <si>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</si>
  <si>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</si>
  <si>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</si>
  <si>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</si>
  <si>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</si>
  <si>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</si>
  <si>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</si>
  <si>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</si>
  <si>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</si>
  <si>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</si>
  <si>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</si>
  <si>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</si>
  <si>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</si>
  <si>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</si>
  <si>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</si>
  <si>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</si>
  <si>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</si>
  <si>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</si>
  <si>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</si>
  <si>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</si>
  <si>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</si>
  <si>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</si>
  <si>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</si>
  <si>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</si>
  <si>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</si>
  <si>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</si>
  <si>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</si>
  <si>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</si>
  <si>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</si>
  <si>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</si>
  <si>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</si>
  <si>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</si>
  <si>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</si>
  <si>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</si>
  <si>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</si>
  <si>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</si>
  <si>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</si>
  <si>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</si>
  <si>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</si>
  <si>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</si>
  <si>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</si>
  <si>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</si>
  <si>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</si>
  <si>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</si>
  <si>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</si>
  <si>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</si>
  <si>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</si>
  <si>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</si>
  <si>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</si>
  <si>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</si>
  <si>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</si>
  <si>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</si>
  <si>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</si>
  <si>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</si>
  <si>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</si>
  <si>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</si>
  <si>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</si>
  <si>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</si>
  <si>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</si>
  <si>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</si>
  <si>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</si>
  <si>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</si>
  <si>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</si>
  <si>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</si>
  <si>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</si>
  <si>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</si>
  <si>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</si>
  <si>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</si>
  <si>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</si>
  <si>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</si>
  <si>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</si>
  <si>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</si>
  <si>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</si>
  <si>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</si>
  <si>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</si>
  <si>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</si>
  <si>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</si>
  <si>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</si>
  <si>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</si>
  <si>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</si>
  <si>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</si>
  <si>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</si>
  <si>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</si>
  <si>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</si>
  <si>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</si>
  <si>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</si>
  <si>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</si>
  <si>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</si>
  <si>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</si>
  <si>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</si>
  <si>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</si>
  <si>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</si>
  <si>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</si>
  <si>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</si>
  <si>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</si>
  <si>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</si>
  <si>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</si>
  <si>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</si>
  <si>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</si>
  <si>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</si>
  <si>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</si>
  <si>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</si>
  <si>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</si>
  <si>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</si>
  <si>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</si>
  <si>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</si>
  <si>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</si>
  <si>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</si>
  <si>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</si>
  <si>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</si>
  <si>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</si>
  <si>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</si>
  <si>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</si>
  <si>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</si>
  <si>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</si>
  <si>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</si>
  <si>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</si>
  <si>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</si>
  <si>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</si>
  <si>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</si>
  <si>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</si>
  <si>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</si>
  <si>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</si>
  <si>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</si>
  <si>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</si>
  <si>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</si>
  <si>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</si>
  <si>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</si>
  <si>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</si>
  <si>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</si>
  <si>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</si>
  <si>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</si>
  <si>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</si>
  <si>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</si>
  <si>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</si>
  <si>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</si>
  <si>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</si>
  <si>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</si>
  <si>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</si>
  <si>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</si>
  <si>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</si>
  <si>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</si>
  <si>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</si>
  <si>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</si>
  <si>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</si>
  <si>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</si>
  <si>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</si>
  <si>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</si>
  <si>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</si>
  <si>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</si>
  <si>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</si>
  <si>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</si>
  <si>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</si>
  <si>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</si>
  <si>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</si>
  <si>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</si>
  <si>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</si>
  <si>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</si>
  <si>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</si>
  <si>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</si>
  <si>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</si>
  <si>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</si>
  <si>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</si>
  <si>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</si>
  <si>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</si>
  <si>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</si>
  <si>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</si>
  <si>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</si>
  <si>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</si>
  <si>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</si>
  <si>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</si>
  <si>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</si>
  <si>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</si>
  <si>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</si>
  <si>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</si>
  <si>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</si>
  <si>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</si>
  <si>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</si>
  <si>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</si>
  <si>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</si>
  <si>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</si>
  <si>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</si>
  <si>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</si>
  <si>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</si>
  <si>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</si>
  <si>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</si>
  <si>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</si>
  <si>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</si>
  <si>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</si>
  <si>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</si>
  <si>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</si>
  <si>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</si>
  <si>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</si>
  <si>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</si>
  <si>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</si>
  <si>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</si>
  <si>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</si>
  <si>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</si>
  <si>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</si>
  <si>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</si>
  <si>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</si>
  <si>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</si>
  <si>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</si>
  <si>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</si>
  <si>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</si>
  <si>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</si>
  <si>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</si>
  <si>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</si>
  <si>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</si>
  <si>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</si>
  <si>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</si>
  <si>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</si>
  <si>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</si>
  <si>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</si>
  <si>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</si>
  <si>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</si>
  <si>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</si>
  <si>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</si>
  <si>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</si>
  <si>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</si>
  <si>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</si>
  <si>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</si>
  <si>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</si>
  <si>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</si>
  <si>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</si>
  <si>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</si>
  <si>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</si>
  <si>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</si>
  <si>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</si>
  <si>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</si>
  <si>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</si>
  <si>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</si>
  <si>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</si>
  <si>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</si>
  <si>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</si>
  <si>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</si>
  <si>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</si>
  <si>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</si>
  <si>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</si>
  <si>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</si>
  <si>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</si>
  <si>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</si>
  <si>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</si>
  <si>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</si>
  <si>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</si>
  <si>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</si>
  <si>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</si>
  <si>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</si>
  <si>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</si>
  <si>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</si>
  <si>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</si>
  <si>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</si>
  <si>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</si>
  <si>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</si>
  <si>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</si>
  <si>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</si>
  <si>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</si>
  <si>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</si>
  <si>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</si>
  <si>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</si>
  <si>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</si>
  <si>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</si>
  <si>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</si>
  <si>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</si>
  <si>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</si>
  <si>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</si>
  <si>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</si>
  <si>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</si>
  <si>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</si>
  <si>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</si>
  <si>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</si>
  <si>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</si>
  <si>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</si>
  <si>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</si>
  <si>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</si>
  <si>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</si>
  <si>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</si>
  <si>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</si>
  <si>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</si>
  <si>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</si>
  <si>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</si>
  <si>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</si>
  <si>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</si>
  <si>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</si>
  <si>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</si>
  <si>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</si>
  <si>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</si>
  <si>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</si>
  <si>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</si>
  <si>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</si>
  <si>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</si>
  <si>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</si>
  <si>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</si>
  <si>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</si>
  <si>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</si>
  <si>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</si>
  <si>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</si>
  <si>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</si>
  <si>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</si>
  <si>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</si>
  <si>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</si>
  <si>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</si>
  <si>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</si>
  <si>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</si>
  <si>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</si>
  <si>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</si>
  <si>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</si>
  <si>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</si>
  <si>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</si>
  <si>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</si>
  <si>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</si>
  <si>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</si>
  <si>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</si>
  <si>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</si>
  <si>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</si>
  <si>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</si>
  <si>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</si>
  <si>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</si>
  <si>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</si>
  <si>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</si>
  <si>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</si>
  <si>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</si>
  <si>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</si>
  <si>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</si>
  <si>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</si>
  <si>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</si>
  <si>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</si>
  <si>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</si>
  <si>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</si>
  <si>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</si>
  <si>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</si>
  <si>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</si>
  <si>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</si>
  <si>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</si>
  <si>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</si>
  <si>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</si>
  <si>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</si>
  <si>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</si>
  <si>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</si>
  <si>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</si>
  <si>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</si>
  <si>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</si>
  <si>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</si>
  <si>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</si>
  <si>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</si>
  <si>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</si>
  <si>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</si>
  <si>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</si>
  <si>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</si>
  <si>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</si>
  <si>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</si>
  <si>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</si>
  <si>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</si>
  <si>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</si>
  <si>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</si>
  <si>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</si>
  <si>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</si>
  <si>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</si>
  <si>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</si>
  <si>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</si>
  <si>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</si>
  <si>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</si>
  <si>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</si>
  <si>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</si>
  <si>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</si>
  <si>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</si>
  <si>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</si>
  <si>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</si>
  <si>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</si>
  <si>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</si>
  <si>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</si>
  <si>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</si>
  <si>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</si>
  <si>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</si>
  <si>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</si>
  <si>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</si>
  <si>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</si>
  <si>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</si>
  <si>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</si>
  <si>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</si>
  <si>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</si>
  <si>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</si>
  <si>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</si>
  <si>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</si>
  <si>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</si>
  <si>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</si>
  <si>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</si>
  <si>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</si>
  <si>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</si>
  <si>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</si>
  <si>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</si>
  <si>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</si>
  <si>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</si>
  <si>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</si>
  <si>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</si>
  <si>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</si>
  <si>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</si>
  <si>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</si>
  <si>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</si>
  <si>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</si>
  <si>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</si>
  <si>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</si>
  <si>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</si>
  <si>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</si>
  <si>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</si>
  <si>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</si>
  <si>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</si>
  <si>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</si>
  <si>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</si>
  <si>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</si>
  <si>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</si>
  <si>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</si>
  <si>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</si>
  <si>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</si>
  <si>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</si>
  <si>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</si>
  <si>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</si>
  <si>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</si>
  <si>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</si>
  <si>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</si>
  <si>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</si>
  <si>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</si>
  <si>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</si>
  <si>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</si>
  <si>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</si>
  <si>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</si>
  <si>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</si>
  <si>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</si>
  <si>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</si>
  <si>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</si>
  <si>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</si>
  <si>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</si>
  <si>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</si>
  <si>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</si>
  <si>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</si>
  <si>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</si>
  <si>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</si>
  <si>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</si>
  <si>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</si>
  <si>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</si>
  <si>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</si>
  <si>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</si>
  <si>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</si>
  <si>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</si>
  <si>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</si>
  <si>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</si>
  <si>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</si>
  <si>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</si>
  <si>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</si>
  <si>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</si>
  <si>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</si>
  <si>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</si>
  <si>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</si>
  <si>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</si>
  <si>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</si>
  <si>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</si>
  <si>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</si>
  <si>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</si>
  <si>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</si>
  <si>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</si>
  <si>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</si>
  <si>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</si>
  <si>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</si>
  <si>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</si>
  <si>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</si>
  <si>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</si>
  <si>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</si>
  <si>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</si>
  <si>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</si>
  <si>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</si>
  <si>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</si>
  <si>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</si>
  <si>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</si>
  <si>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</si>
  <si>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</si>
  <si>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</si>
  <si>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</si>
  <si>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</si>
  <si>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</si>
  <si>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</si>
  <si>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</si>
  <si>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</si>
  <si>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</si>
  <si>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</si>
  <si>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</si>
  <si>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</si>
  <si>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</si>
  <si>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</si>
  <si>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</si>
  <si>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</si>
  <si>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</si>
  <si>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</si>
  <si>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</si>
  <si>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</si>
  <si>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</si>
  <si>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</si>
  <si>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</si>
  <si>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</si>
  <si>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</si>
  <si>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</si>
  <si>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</si>
  <si>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</si>
  <si>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</si>
  <si>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</si>
  <si>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</si>
  <si>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</si>
  <si>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</si>
  <si>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</si>
  <si>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</si>
  <si>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</si>
  <si>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</si>
  <si>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</si>
  <si>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</si>
  <si>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</si>
  <si>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</si>
  <si>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</si>
  <si>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</si>
  <si>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</si>
  <si>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</si>
  <si>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</si>
  <si>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</si>
  <si>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</si>
  <si>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</si>
  <si>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</si>
  <si>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</si>
  <si>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</si>
  <si>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</si>
  <si>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</si>
  <si>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</si>
  <si>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</si>
  <si>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</si>
  <si>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</si>
  <si>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</si>
  <si>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</si>
  <si>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</si>
  <si>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</si>
  <si>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</si>
  <si>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</si>
  <si>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</si>
  <si>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</si>
  <si>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</si>
  <si>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</si>
  <si>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</si>
  <si>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</si>
  <si>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</si>
  <si>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</si>
  <si>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</si>
  <si>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</si>
  <si>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</si>
  <si>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</si>
  <si>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</si>
  <si>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</si>
  <si>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</si>
  <si>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</si>
  <si>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</si>
  <si>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</si>
  <si>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</si>
  <si>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</si>
  <si>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</si>
  <si>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</si>
  <si>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</si>
  <si>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</si>
  <si>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</si>
  <si>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</si>
  <si>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</si>
  <si>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</si>
  <si>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</si>
  <si>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</si>
  <si>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</si>
  <si>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</si>
  <si>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</si>
  <si>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</si>
  <si>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</si>
  <si>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</si>
  <si>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</si>
  <si>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</si>
  <si>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</si>
  <si>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</si>
  <si>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</si>
  <si>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</si>
  <si>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</si>
  <si>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</si>
  <si>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</si>
  <si>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</si>
  <si>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</si>
  <si>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</si>
  <si>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</si>
  <si>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</si>
  <si>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</si>
  <si>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</si>
  <si>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</si>
  <si>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</si>
  <si>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</si>
  <si>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</si>
  <si>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</si>
  <si>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</si>
  <si>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</si>
  <si>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</si>
  <si>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</si>
  <si>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</si>
  <si>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</si>
  <si>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</si>
  <si>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</si>
  <si>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</si>
  <si>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</si>
  <si>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</si>
  <si>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</si>
  <si>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</si>
  <si>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</si>
  <si>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</si>
  <si>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</si>
  <si>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</si>
  <si>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</si>
  <si>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</si>
  <si>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</si>
  <si>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</si>
  <si>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</si>
  <si>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</si>
  <si>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</si>
  <si>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</si>
  <si>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</si>
  <si>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</si>
  <si>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</si>
  <si>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</si>
  <si>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</si>
  <si>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</si>
  <si>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</si>
  <si>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</si>
  <si>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</si>
  <si>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</si>
  <si>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</si>
  <si>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</si>
  <si>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</si>
  <si>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</si>
  <si>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</si>
  <si>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</si>
  <si>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</si>
  <si>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</si>
  <si>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</si>
  <si>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</si>
  <si>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</si>
  <si>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</si>
  <si>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</si>
  <si>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</si>
  <si>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</si>
  <si>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</si>
  <si>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</si>
  <si>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</si>
  <si>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</si>
  <si>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</si>
  <si>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</si>
  <si>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</si>
  <si>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</si>
  <si>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</si>
  <si>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</si>
  <si>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</si>
  <si>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</si>
  <si>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</si>
  <si>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</si>
  <si>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</si>
  <si>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</si>
  <si>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</si>
  <si>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</si>
  <si>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</si>
  <si>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</si>
  <si>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</si>
  <si>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</si>
  <si>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</si>
  <si>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</si>
  <si>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</si>
  <si>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</si>
  <si>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</si>
  <si>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</si>
  <si>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</si>
  <si>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</si>
  <si>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</si>
  <si>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</si>
  <si>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</si>
  <si>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</si>
  <si>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</si>
  <si>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</si>
  <si>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</si>
  <si>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</si>
  <si>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</si>
  <si>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</si>
  <si>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</si>
  <si>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</si>
  <si>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</si>
  <si>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</si>
  <si>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</si>
  <si>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</si>
  <si>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</si>
  <si>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</si>
  <si>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</si>
  <si>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</si>
  <si>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</si>
  <si>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</si>
  <si>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</si>
  <si>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</si>
  <si>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</si>
  <si>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</si>
  <si>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</si>
  <si>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</si>
  <si>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</si>
  <si>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</si>
  <si>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</si>
  <si>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</si>
  <si>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</si>
  <si>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</si>
  <si>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</si>
  <si>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</si>
  <si>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</si>
  <si>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</si>
  <si>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</si>
  <si>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</si>
  <si>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</si>
  <si>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</si>
  <si>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</si>
  <si>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</si>
  <si>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</si>
  <si>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</si>
  <si>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</si>
  <si>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</si>
  <si>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</si>
  <si>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</si>
  <si>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</si>
  <si>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</si>
  <si>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</si>
  <si>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</si>
  <si>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</si>
  <si>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</si>
  <si>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</si>
  <si>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</si>
  <si>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</si>
  <si>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</si>
  <si>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</si>
  <si>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</si>
  <si>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</si>
  <si>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</si>
  <si>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</si>
  <si>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</si>
  <si>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</si>
  <si>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</si>
  <si>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</si>
  <si>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</si>
  <si>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</si>
  <si>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</si>
  <si>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</si>
  <si>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</si>
  <si>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</si>
  <si>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</si>
  <si>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</si>
  <si>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</si>
  <si>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</si>
  <si>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</si>
  <si>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</si>
  <si>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</si>
  <si>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</si>
  <si>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</si>
  <si>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</si>
  <si>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</si>
  <si>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</si>
  <si>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</si>
  <si>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</si>
  <si>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</si>
  <si>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</si>
  <si>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</si>
  <si>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</si>
  <si>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</si>
  <si>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</si>
  <si>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</si>
  <si>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</si>
  <si>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</si>
  <si>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</si>
  <si>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</si>
  <si>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</si>
  <si>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</si>
  <si>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</si>
  <si>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</si>
  <si>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</si>
  <si>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</si>
  <si>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</si>
  <si>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</si>
  <si>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</si>
  <si>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</si>
  <si>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</si>
  <si>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</si>
  <si>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</si>
  <si>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</si>
  <si>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</si>
  <si>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</si>
  <si>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</si>
  <si>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</si>
  <si>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</si>
  <si>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</si>
  <si>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</si>
  <si>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</si>
  <si>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</si>
  <si>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</si>
  <si>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</si>
  <si>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</si>
  <si>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</si>
  <si>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</si>
  <si>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</si>
  <si>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</si>
  <si>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</si>
  <si>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</si>
  <si>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</si>
  <si>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</si>
  <si>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</si>
  <si>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</si>
  <si>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</si>
  <si>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</si>
  <si>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</si>
  <si>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</si>
  <si>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</si>
  <si>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</si>
  <si>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</si>
  <si>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</si>
  <si>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</si>
  <si>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</si>
  <si>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</si>
  <si>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</si>
  <si>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</si>
  <si>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</si>
  <si>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</si>
  <si>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</si>
  <si>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</si>
  <si>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</si>
  <si>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</si>
  <si>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</si>
  <si>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</si>
  <si>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</si>
  <si>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</si>
  <si>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</si>
  <si>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</si>
  <si>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</si>
  <si>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</si>
  <si>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</si>
  <si>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</si>
  <si>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</si>
  <si>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</si>
  <si>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</si>
  <si>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</si>
  <si>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</si>
  <si>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</si>
  <si>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</si>
  <si>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</si>
  <si>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</si>
  <si>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</si>
  <si>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</si>
  <si>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</si>
  <si>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</si>
  <si>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</si>
  <si>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</si>
  <si>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</si>
  <si>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</si>
  <si>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</si>
  <si>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</si>
  <si>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</si>
  <si>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</si>
  <si>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</si>
  <si>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</si>
  <si>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</si>
  <si>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</si>
  <si>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</si>
  <si>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</si>
  <si>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</si>
  <si>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</si>
  <si>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</si>
  <si>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</si>
  <si>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</si>
  <si>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</si>
  <si>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</si>
  <si>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</si>
  <si>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</si>
  <si>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</si>
  <si>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</si>
  <si>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</si>
  <si>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</si>
  <si>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</si>
  <si>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</si>
  <si>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</si>
  <si>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</si>
  <si>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</si>
  <si>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</si>
  <si>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</si>
  <si>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</si>
  <si>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</si>
  <si>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</si>
  <si>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</si>
  <si>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</si>
  <si>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</si>
  <si>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</si>
  <si>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</si>
  <si>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</si>
  <si>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</si>
  <si>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</si>
  <si>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</si>
  <si>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</si>
  <si>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</si>
  <si>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</si>
  <si>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</si>
  <si>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</si>
  <si>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</si>
  <si>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</si>
  <si>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</si>
  <si>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</si>
  <si>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</si>
  <si>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</si>
  <si>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</si>
  <si>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</si>
  <si>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</si>
  <si>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</si>
  <si>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</si>
  <si>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</si>
  <si>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</si>
  <si>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</si>
  <si>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</si>
  <si>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</si>
  <si>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</si>
  <si>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</si>
  <si>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</si>
  <si>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</si>
  <si>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</si>
  <si>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</si>
  <si>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</si>
  <si>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</si>
  <si>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</si>
  <si>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</si>
  <si>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</si>
  <si>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</si>
  <si>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</si>
  <si>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</si>
  <si>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</si>
  <si>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</si>
  <si>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</si>
  <si>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</si>
  <si>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</si>
  <si>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</si>
  <si>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</si>
  <si>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</si>
  <si>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</si>
  <si>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</si>
  <si>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</si>
  <si>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</si>
  <si>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</si>
  <si>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</si>
  <si>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</si>
  <si>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</si>
  <si>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</si>
  <si>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</si>
  <si>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</si>
  <si>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</si>
  <si>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</si>
  <si>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</si>
  <si>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</si>
  <si>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</si>
  <si>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</si>
  <si>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</si>
  <si>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</si>
  <si>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</si>
  <si>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</si>
  <si>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</si>
  <si>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</si>
  <si>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</si>
  <si>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</si>
  <si>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</si>
  <si>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</si>
  <si>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</si>
  <si>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</si>
  <si>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</si>
  <si>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</si>
  <si>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</si>
  <si>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</si>
  <si>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</si>
  <si>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</si>
  <si>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</si>
  <si>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</si>
  <si>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</si>
  <si>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</si>
  <si>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</si>
  <si>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</si>
  <si>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</si>
  <si>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</si>
  <si>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</si>
  <si>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</si>
  <si>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</si>
  <si>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</si>
  <si>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</si>
  <si>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</si>
  <si>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</si>
  <si>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</si>
  <si>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</si>
  <si>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</si>
  <si>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</si>
  <si>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</si>
  <si>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</si>
  <si>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</si>
  <si>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</si>
  <si>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</si>
  <si>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</si>
  <si>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</si>
  <si>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</si>
  <si>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</si>
  <si>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</si>
  <si>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</si>
  <si>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</si>
  <si>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</si>
  <si>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</si>
  <si>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</si>
  <si>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</si>
  <si>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</si>
  <si>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</si>
  <si>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</si>
  <si>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</si>
  <si>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</si>
  <si>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</si>
  <si>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</si>
  <si>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</si>
  <si>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</si>
  <si>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</si>
  <si>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</si>
  <si>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</si>
  <si>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</si>
  <si>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</si>
  <si>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</si>
  <si>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</si>
  <si>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</si>
  <si>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</si>
  <si>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</si>
  <si>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</si>
  <si>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</si>
  <si>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</si>
  <si>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</si>
  <si>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</si>
  <si>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</si>
  <si>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</si>
  <si>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</si>
  <si>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</si>
  <si>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</si>
  <si>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</si>
  <si>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</si>
  <si>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</si>
  <si>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</si>
  <si>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</si>
  <si>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</si>
  <si>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</si>
  <si>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</si>
  <si>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</si>
  <si>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</si>
  <si>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</si>
  <si>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</si>
  <si>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</si>
  <si>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</si>
  <si>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</si>
  <si>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</si>
  <si>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</si>
  <si>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</si>
  <si>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</si>
  <si>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</si>
  <si>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</si>
  <si>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</si>
  <si>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</si>
  <si>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</si>
  <si>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</si>
  <si>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</si>
  <si>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</si>
  <si>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</si>
  <si>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</si>
  <si>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</si>
  <si>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</si>
  <si>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</si>
  <si>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</si>
  <si>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</si>
  <si>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</si>
  <si>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</si>
  <si>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</si>
  <si>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</si>
  <si>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</si>
  <si>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</si>
  <si>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</si>
  <si>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</si>
  <si>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</si>
  <si>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</si>
  <si>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</si>
  <si>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</si>
  <si>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</si>
  <si>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</si>
  <si>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</si>
  <si>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</si>
  <si>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</si>
  <si>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</si>
  <si>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</si>
  <si>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</si>
  <si>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</si>
  <si>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</si>
  <si>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</si>
  <si>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</si>
  <si>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</si>
  <si>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</si>
  <si>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</si>
  <si>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</si>
  <si>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</si>
  <si>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</si>
  <si>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</si>
  <si>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</si>
  <si>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</si>
  <si>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</si>
  <si>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</si>
  <si>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</si>
  <si>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</si>
  <si>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</si>
  <si>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</si>
  <si>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</si>
  <si>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</si>
  <si>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</si>
  <si>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</si>
  <si>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</si>
  <si>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</si>
  <si>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</si>
  <si>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</si>
  <si>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</si>
  <si>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</si>
  <si>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</si>
  <si>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</si>
  <si>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</si>
  <si>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</si>
  <si>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</si>
  <si>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</si>
  <si>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</si>
  <si>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</si>
  <si>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</si>
  <si>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</si>
  <si>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</si>
  <si>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</si>
  <si>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</si>
  <si>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</si>
  <si>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</si>
  <si>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</si>
  <si>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</si>
  <si>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</si>
  <si>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</si>
  <si>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</si>
  <si>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</si>
  <si>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</si>
  <si>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</si>
  <si>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</si>
  <si>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</si>
  <si>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</si>
  <si>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</si>
  <si>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</si>
  <si>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</si>
  <si>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</si>
  <si>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</si>
  <si>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</si>
  <si>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</si>
  <si>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</si>
  <si>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</si>
  <si>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</si>
  <si>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</si>
  <si>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</si>
  <si>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</si>
  <si>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</si>
  <si>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</si>
  <si>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</si>
  <si>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</si>
  <si>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</si>
  <si>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</si>
  <si>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</si>
  <si>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</si>
  <si>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</si>
  <si>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</si>
  <si>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</si>
  <si>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</si>
  <si>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</si>
  <si>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</si>
  <si>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</si>
  <si>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</si>
  <si>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</si>
  <si>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</si>
  <si>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</si>
  <si>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</si>
  <si>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</si>
  <si>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</si>
  <si>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</si>
  <si>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</si>
  <si>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</si>
  <si>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</si>
  <si>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</si>
  <si>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</si>
  <si>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</si>
  <si>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</si>
  <si>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</si>
  <si>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</si>
  <si>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</si>
  <si>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</si>
  <si>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</si>
  <si>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</si>
  <si>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</si>
  <si>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</si>
  <si>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</si>
  <si>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</si>
  <si>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</si>
  <si>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</si>
  <si>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</si>
  <si>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</si>
  <si>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</si>
  <si>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</si>
  <si>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</si>
  <si>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</si>
  <si>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</si>
  <si>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</si>
  <si>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</si>
  <si>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</si>
  <si>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</si>
  <si>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</si>
  <si>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</si>
  <si>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</si>
  <si>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</si>
  <si>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</si>
  <si>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</si>
  <si>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</si>
  <si>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</si>
  <si>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</si>
  <si>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</si>
  <si>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</si>
  <si>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</si>
  <si>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</si>
  <si>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</si>
  <si>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</si>
  <si>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</si>
  <si>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</si>
  <si>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</si>
  <si>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</si>
  <si>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</si>
  <si>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</si>
  <si>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</si>
  <si>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</si>
  <si>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</si>
  <si>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</si>
  <si>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</si>
  <si>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</si>
  <si>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</si>
  <si>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</si>
  <si>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</si>
  <si>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</si>
  <si>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</si>
  <si>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</si>
  <si>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</si>
  <si>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</si>
  <si>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</si>
  <si>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</si>
  <si>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</si>
  <si>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</si>
  <si>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</si>
  <si>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</si>
  <si>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</si>
  <si>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</si>
  <si>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</si>
  <si>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</si>
  <si>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</si>
  <si>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</si>
  <si>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</si>
  <si>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</si>
  <si>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</si>
  <si>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</si>
  <si>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</si>
  <si>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</si>
  <si>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</si>
  <si>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</si>
  <si>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</si>
  <si>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</si>
  <si>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</si>
  <si>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</si>
  <si>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</si>
  <si>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</si>
  <si>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</si>
  <si>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</si>
  <si>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</si>
  <si>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</si>
  <si>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</si>
  <si>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</si>
  <si>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</si>
  <si>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</si>
  <si>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</si>
  <si>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</si>
  <si>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</si>
  <si>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</si>
  <si>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</si>
  <si>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</si>
  <si>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</si>
  <si>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</si>
  <si>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</si>
  <si>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</si>
  <si>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</si>
  <si>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</si>
  <si>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</si>
  <si>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</si>
  <si>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</si>
  <si>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</si>
  <si>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</si>
  <si>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</si>
  <si>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</si>
  <si>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</si>
  <si>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</si>
  <si>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</si>
  <si>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</si>
  <si>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</si>
  <si>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</si>
  <si>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</si>
  <si>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</si>
  <si>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</si>
  <si>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</si>
  <si>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</si>
  <si>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</si>
  <si>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</si>
  <si>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</si>
  <si>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</si>
  <si>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</si>
  <si>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</si>
  <si>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</si>
  <si>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</si>
  <si>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</si>
  <si>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</si>
  <si>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</si>
  <si>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</si>
  <si>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</si>
  <si>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</si>
  <si>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</si>
  <si>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</si>
  <si>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</si>
  <si>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</si>
  <si>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</si>
  <si>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</si>
  <si>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</si>
  <si>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</si>
  <si>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</si>
  <si>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</si>
  <si>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</si>
  <si>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</si>
  <si>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</si>
  <si>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</si>
  <si>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</si>
  <si>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</si>
  <si>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</si>
  <si>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</si>
  <si>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</si>
  <si>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</si>
  <si>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</si>
  <si>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</si>
  <si>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</si>
  <si>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</si>
  <si>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</si>
  <si>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</si>
  <si>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</si>
  <si>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</si>
  <si>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</si>
  <si>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</si>
  <si>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</si>
  <si>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</si>
  <si>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</si>
  <si>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</si>
  <si>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</si>
  <si>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</si>
  <si>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</si>
  <si>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</si>
  <si>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</si>
  <si>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</si>
  <si>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</si>
  <si>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</si>
  <si>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</si>
  <si>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</si>
  <si>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</si>
  <si>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</si>
  <si>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</si>
  <si>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</si>
  <si>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</si>
  <si>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</si>
  <si>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</si>
  <si>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</si>
  <si>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</si>
  <si>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</si>
  <si>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</si>
  <si>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</si>
  <si>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</si>
  <si>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</si>
  <si>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</si>
  <si>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</si>
  <si>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</si>
  <si>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</si>
  <si>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</si>
  <si>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</si>
  <si>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</si>
  <si>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</si>
  <si>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</si>
  <si>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</si>
  <si>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</si>
  <si>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</si>
  <si>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</si>
  <si>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</si>
  <si>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</si>
  <si>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</si>
  <si>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</si>
  <si>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</si>
  <si>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</si>
  <si>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</si>
  <si>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</si>
  <si>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</si>
  <si>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</si>
  <si>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</si>
  <si>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</si>
  <si>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</si>
  <si>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</si>
  <si>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</si>
  <si>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</si>
  <si>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</si>
  <si>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</si>
  <si>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</si>
  <si>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</si>
  <si>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</si>
  <si>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</si>
  <si>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</si>
  <si>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</si>
  <si>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</si>
  <si>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</si>
  <si>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</si>
  <si>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</si>
  <si>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</si>
  <si>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</si>
  <si>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</si>
  <si>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</si>
  <si>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</si>
  <si>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</si>
  <si>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</si>
  <si>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</si>
  <si>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</si>
  <si>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</si>
  <si>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</si>
  <si>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</si>
  <si>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</si>
  <si>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</si>
  <si>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</si>
  <si>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</si>
  <si>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</si>
  <si>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</si>
  <si>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</si>
  <si>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</si>
  <si>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</si>
  <si>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</si>
  <si>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</si>
  <si>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</si>
  <si>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</si>
  <si>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</si>
  <si>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</si>
  <si>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</si>
  <si>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</si>
  <si>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</si>
  <si>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</si>
  <si>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</si>
  <si>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</si>
  <si>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</si>
  <si>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</si>
  <si>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</si>
  <si>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</si>
  <si>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</si>
  <si>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</si>
  <si>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</si>
  <si>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</si>
  <si>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</si>
  <si>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</si>
  <si>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</si>
  <si>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</si>
  <si>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</si>
  <si>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</si>
  <si>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</si>
  <si>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</si>
  <si>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</si>
  <si>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</si>
  <si>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</si>
  <si>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</si>
  <si>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</si>
  <si>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</si>
  <si>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</si>
  <si>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</si>
  <si>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</si>
  <si>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</si>
  <si>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</si>
  <si>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</si>
  <si>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</si>
  <si>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</si>
  <si>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</si>
  <si>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</si>
  <si>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</si>
  <si>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</si>
  <si>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</si>
  <si>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</si>
  <si>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</si>
  <si>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</si>
  <si>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</si>
  <si>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</si>
  <si>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</si>
  <si>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</si>
  <si>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</si>
  <si>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</si>
  <si>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</si>
  <si>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</si>
  <si>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</si>
  <si>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</si>
  <si>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</si>
  <si>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</si>
  <si>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</si>
  <si>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</si>
  <si>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</si>
  <si>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</si>
  <si>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</si>
  <si>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</si>
  <si>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</si>
  <si>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</si>
  <si>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</si>
  <si>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</si>
  <si>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</si>
  <si>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</si>
  <si>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</si>
  <si>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</si>
  <si>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</si>
  <si>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</si>
  <si>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</si>
  <si>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</si>
  <si>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</si>
  <si>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</si>
  <si>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</si>
  <si>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</si>
  <si>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</si>
  <si>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</si>
  <si>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</si>
  <si>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</si>
  <si>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</si>
  <si>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</si>
  <si>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</si>
  <si>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</si>
  <si>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</si>
  <si>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</si>
  <si>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</si>
  <si>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</si>
  <si>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</si>
  <si>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</si>
  <si>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</si>
  <si>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</si>
  <si>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</si>
  <si>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</si>
  <si>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</si>
  <si>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</si>
  <si>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</si>
  <si>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</si>
  <si>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</si>
  <si>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</si>
  <si>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</si>
  <si>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</si>
  <si>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</si>
  <si>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</si>
  <si>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</si>
  <si>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</si>
  <si>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</si>
  <si>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</si>
  <si>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</si>
  <si>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</si>
  <si>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</si>
  <si>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</si>
  <si>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</si>
  <si>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</si>
  <si>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</si>
  <si>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</si>
  <si>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</si>
  <si>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</si>
  <si>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</si>
  <si>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</si>
  <si>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</si>
  <si>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</si>
  <si>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</si>
  <si>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</si>
  <si>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</si>
  <si>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</si>
  <si>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</si>
  <si>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</si>
  <si>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</si>
  <si>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</si>
  <si>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</si>
  <si>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</si>
  <si>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</si>
  <si>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</si>
  <si>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</si>
  <si>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</si>
  <si>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</si>
  <si>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</si>
  <si>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</si>
  <si>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</si>
  <si>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</si>
  <si>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</si>
  <si>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</si>
  <si>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</si>
  <si>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</si>
  <si>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</si>
  <si>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</si>
  <si>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</si>
  <si>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</si>
  <si>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</si>
  <si>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</si>
  <si>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</si>
  <si>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</si>
  <si>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</si>
  <si>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</si>
  <si>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</si>
  <si>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</si>
  <si>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</si>
  <si>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</si>
  <si>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</si>
  <si>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</si>
  <si>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</si>
  <si>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</si>
  <si>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</si>
  <si>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</si>
  <si>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</si>
  <si>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</si>
  <si>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</si>
  <si>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</si>
  <si>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</si>
  <si>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</si>
  <si>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</si>
  <si>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</si>
  <si>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</si>
  <si>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</si>
  <si>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</si>
  <si>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</si>
  <si>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</si>
  <si>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</si>
  <si>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</si>
  <si>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</si>
  <si>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</si>
  <si>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</si>
  <si>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</si>
  <si>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</si>
  <si>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</si>
  <si>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</si>
  <si>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</si>
  <si>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</si>
  <si>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</si>
  <si>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</si>
  <si>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</si>
  <si>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</si>
  <si>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</si>
  <si>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</si>
  <si>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</si>
  <si>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</si>
  <si>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</si>
  <si>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</si>
  <si>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</si>
  <si>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</si>
  <si>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</si>
  <si>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</si>
  <si>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</si>
  <si>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</si>
  <si>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</si>
  <si>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</si>
  <si>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</si>
  <si>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</si>
  <si>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</si>
  <si>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</si>
  <si>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</si>
  <si>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</si>
  <si>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</si>
  <si>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</si>
  <si>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</si>
  <si>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</si>
  <si>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</si>
  <si>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</si>
  <si>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</si>
  <si>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</si>
  <si>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</si>
  <si>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</si>
  <si>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</si>
  <si>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</si>
  <si>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</si>
  <si>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</si>
  <si>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</si>
  <si>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</si>
  <si>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</si>
  <si>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</si>
  <si>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</si>
  <si>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</si>
  <si>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</si>
  <si>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</si>
  <si>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</si>
  <si>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</si>
  <si>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</si>
  <si>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</si>
  <si>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</si>
  <si>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</si>
  <si>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</si>
  <si>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</si>
  <si>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</si>
  <si>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</si>
  <si>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</si>
  <si>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</si>
  <si>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</si>
  <si>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</si>
  <si>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</si>
  <si>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</si>
  <si>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</si>
  <si>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</si>
  <si>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</si>
  <si>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</si>
  <si>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</si>
  <si>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</si>
  <si>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</si>
  <si>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</si>
  <si>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</si>
  <si>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</si>
  <si>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</si>
  <si>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</si>
  <si>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</si>
  <si>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</si>
  <si>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</si>
  <si>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</si>
  <si>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</si>
  <si>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</si>
  <si>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</si>
  <si>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</si>
  <si>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</si>
  <si>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</si>
  <si>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</si>
  <si>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</si>
  <si>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</si>
  <si>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</si>
  <si>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</si>
  <si>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</si>
  <si>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</si>
  <si>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</si>
  <si>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</si>
  <si>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</si>
  <si>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</si>
  <si>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</si>
  <si>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</si>
  <si>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</si>
  <si>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</si>
  <si>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</si>
  <si>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</si>
  <si>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</si>
  <si>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</si>
  <si>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</si>
  <si>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</si>
  <si>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</si>
  <si>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</si>
  <si>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</si>
  <si>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</si>
  <si>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</si>
  <si>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</si>
  <si>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</si>
  <si>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</si>
  <si>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</si>
  <si>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</si>
  <si>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</si>
  <si>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</si>
  <si>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</si>
  <si>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</si>
  <si>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</si>
  <si>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</si>
  <si>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</si>
  <si>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</si>
  <si>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</si>
  <si>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</si>
  <si>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</si>
  <si>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</si>
  <si>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</si>
  <si>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</si>
  <si>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</si>
  <si>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</si>
  <si>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</si>
  <si>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</si>
  <si>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</si>
  <si>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</si>
  <si>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</si>
  <si>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</si>
  <si>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</si>
  <si>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</si>
  <si>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</si>
  <si>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</si>
  <si>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</si>
  <si>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</si>
  <si>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</si>
  <si>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</si>
  <si>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</si>
  <si>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</si>
  <si>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</si>
  <si>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</si>
  <si>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</si>
  <si>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</si>
  <si>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</si>
  <si>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</si>
  <si>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</si>
  <si>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</si>
  <si>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</si>
  <si>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</si>
  <si>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</si>
  <si>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</si>
  <si>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</si>
  <si>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</si>
  <si>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</si>
  <si>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</si>
  <si>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</si>
  <si>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</si>
  <si>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</si>
  <si>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</si>
  <si>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</si>
  <si>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</si>
  <si>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</si>
  <si>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</si>
  <si>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</si>
  <si>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</si>
  <si>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</si>
  <si>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</si>
  <si>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</si>
  <si>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</si>
  <si>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</si>
  <si>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</si>
  <si>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</si>
  <si>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</si>
  <si>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</si>
  <si>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</si>
  <si>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</si>
  <si>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</si>
  <si>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</si>
  <si>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</si>
  <si>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</si>
  <si>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</si>
  <si>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</si>
  <si>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</si>
  <si>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</si>
  <si>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</si>
  <si>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</si>
  <si>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</si>
  <si>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</si>
  <si>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</si>
  <si>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</si>
  <si>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</si>
  <si>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</si>
  <si>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</si>
  <si>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</si>
  <si>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</si>
  <si>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</si>
  <si>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</si>
  <si>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</si>
  <si>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</si>
  <si>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</si>
  <si>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</si>
  <si>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</si>
  <si>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</si>
  <si>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</si>
  <si>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</si>
  <si>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</si>
  <si>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</si>
  <si>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</si>
  <si>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</si>
  <si>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</si>
  <si>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</si>
  <si>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</si>
  <si>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</si>
  <si>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</si>
  <si>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</si>
  <si>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</si>
  <si>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</si>
  <si>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</si>
  <si>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</si>
  <si>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</si>
  <si>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</si>
  <si>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</si>
  <si>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</si>
  <si>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</si>
  <si>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</si>
  <si>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</si>
  <si>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</si>
  <si>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</si>
  <si>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</si>
  <si>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</si>
  <si>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</si>
  <si>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</si>
  <si>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</si>
  <si>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</si>
  <si>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</si>
  <si>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</si>
  <si>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</si>
  <si>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</si>
  <si>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</si>
  <si>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</si>
  <si>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</si>
  <si>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</si>
  <si>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</si>
  <si>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</si>
  <si>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</si>
  <si>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</si>
  <si>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</si>
  <si>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</si>
  <si>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</si>
  <si>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</si>
  <si>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</si>
  <si>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</si>
  <si>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</si>
  <si>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</si>
  <si>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</si>
  <si>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</si>
  <si>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</si>
  <si>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</si>
  <si>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</si>
  <si>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</si>
  <si>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</si>
  <si>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</si>
  <si>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</si>
  <si>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</si>
  <si>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</si>
  <si>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</si>
  <si>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</si>
  <si>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</si>
  <si>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</si>
  <si>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</si>
  <si>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</si>
  <si>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</si>
  <si>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</si>
  <si>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</si>
  <si>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</si>
  <si>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</si>
  <si>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</si>
  <si>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</si>
  <si>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</si>
  <si>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</si>
  <si>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</si>
  <si>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</si>
  <si>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</si>
  <si>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</si>
  <si>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</si>
  <si>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</si>
  <si>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</si>
  <si>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</si>
  <si>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</si>
  <si>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</si>
  <si>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</si>
  <si>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</si>
  <si>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</si>
  <si>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</si>
  <si>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</si>
  <si>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</si>
  <si>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</si>
  <si>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</si>
  <si>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</si>
  <si>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</si>
  <si>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</si>
  <si>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</si>
  <si>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</si>
  <si>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</si>
  <si>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</si>
  <si>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</si>
  <si>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</si>
  <si>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</si>
  <si>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</si>
  <si>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</si>
  <si>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</si>
  <si>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</si>
  <si>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</si>
  <si>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</si>
  <si>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</si>
  <si>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</si>
  <si>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</si>
  <si>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</si>
  <si>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</si>
  <si>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</si>
  <si>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</si>
  <si>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</si>
  <si>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</si>
  <si>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</si>
  <si>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</si>
  <si>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</si>
  <si>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</si>
  <si>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</si>
  <si>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</si>
  <si>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</si>
  <si>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</si>
  <si>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</si>
  <si>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</si>
  <si>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</si>
  <si>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</si>
  <si>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</si>
  <si>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</si>
  <si>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</si>
  <si>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</si>
  <si>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</si>
  <si>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</si>
  <si>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</si>
  <si>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</si>
  <si>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</si>
  <si>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</si>
  <si>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</si>
  <si>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</si>
  <si>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</si>
  <si>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</si>
  <si>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</si>
  <si>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</si>
  <si>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</si>
  <si>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</si>
  <si>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</si>
  <si>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</si>
  <si>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</si>
  <si>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</si>
  <si>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</si>
  <si>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</si>
  <si>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</si>
  <si>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</si>
  <si>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</si>
  <si>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</si>
  <si>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</si>
  <si>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</si>
  <si>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</si>
  <si>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</si>
  <si>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</si>
  <si>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</si>
  <si>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</si>
  <si>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</si>
  <si>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</si>
  <si>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</si>
  <si>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</si>
  <si>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</si>
  <si>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</si>
  <si>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</si>
  <si>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</si>
  <si>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</si>
  <si>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</si>
  <si>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</si>
  <si>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</si>
  <si>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</si>
  <si>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</si>
  <si>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</si>
  <si>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</si>
  <si>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</si>
  <si>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</si>
  <si>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</si>
  <si>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</si>
  <si>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</si>
  <si>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</si>
  <si>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</si>
  <si>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</si>
  <si>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</si>
  <si>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</si>
  <si>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</si>
  <si>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</si>
  <si>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</si>
  <si>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</si>
  <si>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</si>
  <si>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</si>
  <si>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</si>
  <si>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</si>
  <si>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</si>
  <si>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</si>
  <si>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</si>
  <si>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</si>
  <si>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</si>
  <si>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</si>
  <si>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</si>
  <si>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</si>
  <si>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</si>
  <si>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</si>
  <si>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</si>
  <si>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</si>
  <si>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</si>
  <si>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</si>
  <si>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</si>
  <si>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</si>
  <si>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</si>
  <si>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</si>
  <si>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</si>
  <si>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</si>
  <si>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</si>
  <si>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</si>
  <si>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</si>
  <si>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</si>
  <si>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</si>
  <si>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</si>
  <si>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</si>
  <si>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</si>
  <si>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</si>
  <si>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</si>
  <si>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</si>
  <si>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</si>
  <si>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</si>
  <si>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</si>
  <si>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</si>
  <si>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</si>
  <si>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</si>
  <si>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</si>
  <si>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</si>
  <si>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</si>
  <si>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</si>
  <si>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</si>
  <si>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</si>
  <si>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</si>
  <si>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</si>
  <si>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</si>
  <si>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</si>
  <si>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</si>
  <si>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</si>
  <si>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</si>
  <si>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</si>
  <si>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</si>
  <si>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</si>
  <si>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</si>
  <si>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</si>
  <si>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</si>
  <si>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</si>
  <si>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</si>
  <si>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</si>
  <si>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</si>
  <si>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</si>
  <si>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</si>
  <si>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</si>
  <si>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</si>
  <si>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</si>
  <si>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</si>
  <si>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</si>
  <si>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</si>
  <si>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</si>
  <si>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</si>
  <si>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</si>
  <si>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</si>
  <si>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</si>
  <si>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</si>
  <si>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</si>
  <si>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</si>
  <si>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</si>
  <si>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</si>
  <si>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</si>
  <si>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</si>
  <si>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</si>
  <si>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</si>
  <si>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</si>
  <si>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</si>
  <si>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</si>
  <si>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</si>
  <si>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</si>
  <si>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</si>
  <si>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</si>
  <si>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</si>
  <si>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</si>
  <si>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</si>
  <si>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</si>
  <si>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</si>
  <si>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</si>
  <si>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</si>
  <si>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</si>
  <si>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</si>
  <si>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</si>
  <si>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</si>
  <si>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</si>
  <si>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</si>
  <si>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</si>
  <si>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</si>
  <si>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</si>
  <si>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</si>
  <si>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</si>
  <si>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</si>
  <si>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</si>
  <si>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</si>
  <si>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</si>
  <si>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</si>
  <si>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</si>
  <si>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</si>
  <si>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</si>
  <si>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</si>
  <si>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</si>
  <si>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</si>
  <si>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</si>
  <si>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</si>
  <si>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</si>
  <si>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</si>
  <si>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</si>
  <si>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</si>
  <si>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</si>
  <si>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</si>
  <si>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</si>
  <si>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</si>
  <si>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</si>
  <si>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</si>
  <si>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</si>
  <si>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</si>
  <si>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</si>
  <si>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</si>
  <si>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</si>
  <si>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</si>
  <si>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</si>
  <si>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</si>
  <si>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</si>
  <si>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</si>
  <si>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</si>
  <si>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</si>
  <si>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</si>
  <si>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</si>
  <si>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</si>
  <si>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</si>
  <si>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</si>
  <si>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</si>
  <si>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</si>
  <si>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</si>
  <si>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</si>
  <si>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</si>
  <si>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</si>
  <si>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</si>
  <si>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</si>
  <si>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</si>
  <si>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</si>
  <si>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</si>
  <si>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</si>
  <si>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</si>
  <si>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</si>
  <si>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</si>
  <si>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</si>
  <si>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</si>
  <si>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</si>
  <si>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</si>
  <si>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</si>
  <si>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</si>
  <si>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</si>
  <si>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</si>
  <si>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</si>
  <si>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</si>
  <si>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</si>
  <si>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</si>
  <si>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</si>
  <si>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</si>
  <si>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</si>
  <si>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</si>
  <si>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</si>
  <si>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</si>
  <si>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</si>
  <si>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</si>
  <si>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</si>
  <si>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</si>
  <si>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</si>
  <si>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</si>
  <si>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</si>
  <si>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</si>
  <si>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</si>
  <si>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</si>
  <si>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</si>
  <si>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</si>
  <si>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</si>
  <si>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</si>
  <si>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</si>
  <si>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</si>
  <si>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</si>
  <si>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</si>
  <si>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</si>
  <si>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</si>
  <si>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</si>
  <si>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</si>
  <si>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</si>
  <si>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</si>
  <si>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</si>
  <si>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</si>
  <si>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</si>
  <si>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</si>
  <si>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</si>
  <si>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</si>
  <si>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</si>
  <si>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</si>
  <si>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</si>
  <si>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</si>
  <si>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</si>
  <si>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</si>
  <si>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</si>
  <si>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</si>
  <si>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</si>
  <si>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</si>
  <si>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</si>
  <si>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</si>
  <si>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</si>
  <si>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</si>
  <si>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</si>
  <si>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</si>
  <si>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</si>
  <si>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</si>
  <si>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</si>
  <si>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</si>
  <si>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</si>
  <si>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</si>
  <si>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</si>
  <si>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</si>
  <si>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</si>
  <si>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</si>
  <si>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</si>
  <si>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</si>
  <si>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</si>
  <si>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</si>
  <si>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</si>
  <si>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</si>
  <si>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</si>
  <si>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</si>
  <si>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</si>
  <si>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</si>
  <si>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</si>
  <si>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</si>
  <si>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</si>
  <si>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</si>
  <si>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</si>
  <si>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</si>
  <si>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</si>
  <si>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</si>
  <si>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</si>
  <si>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</si>
  <si>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</si>
  <si>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</si>
  <si>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</si>
  <si>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</si>
  <si>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</si>
  <si>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</si>
  <si>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</si>
  <si>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</si>
  <si>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</si>
  <si>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</si>
  <si>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</si>
  <si>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</si>
  <si>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</si>
  <si>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</si>
  <si>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</si>
  <si>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</si>
  <si>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</si>
  <si>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</si>
  <si>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</si>
  <si>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</si>
  <si>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</si>
  <si>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</si>
  <si>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</si>
  <si>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</si>
  <si>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</si>
  <si>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</si>
  <si>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</si>
  <si>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</si>
  <si>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</si>
  <si>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</si>
  <si>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</si>
  <si>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</si>
  <si>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</si>
  <si>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</si>
  <si>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</si>
  <si>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</si>
  <si>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</si>
  <si>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</si>
  <si>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</si>
  <si>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</si>
  <si>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</si>
  <si>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</si>
  <si>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</si>
  <si>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</si>
  <si>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</si>
  <si>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</si>
  <si>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</si>
  <si>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</si>
  <si>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</si>
  <si>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</si>
  <si>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</si>
  <si>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</si>
  <si>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</si>
  <si>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</si>
  <si>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</si>
  <si>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</si>
  <si>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</si>
  <si>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</si>
  <si>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</si>
  <si>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</si>
  <si>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</si>
  <si>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</si>
  <si>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</si>
  <si>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</si>
  <si>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</si>
  <si>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</si>
  <si>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</si>
  <si>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</si>
  <si>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</si>
  <si>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</si>
  <si>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</si>
  <si>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</si>
  <si>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</si>
  <si>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</si>
  <si>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</si>
  <si>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</si>
  <si>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</si>
  <si>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</si>
  <si>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</si>
  <si>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</si>
  <si>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</si>
  <si>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</si>
  <si>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</si>
  <si>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</si>
  <si>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</si>
  <si>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</si>
  <si>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</si>
  <si>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</si>
  <si>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</si>
  <si>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</si>
  <si>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</si>
  <si>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</si>
  <si>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</si>
  <si>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</si>
  <si>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</si>
  <si>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</si>
  <si>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</si>
  <si>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</si>
  <si>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</si>
  <si>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</si>
  <si>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</si>
  <si>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</si>
  <si>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</si>
  <si>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</si>
  <si>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</si>
  <si>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</si>
  <si>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</si>
  <si>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</si>
  <si>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</si>
  <si>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</si>
  <si>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</si>
  <si>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</si>
  <si>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</si>
  <si>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</si>
  <si>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</si>
  <si>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</si>
  <si>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</si>
  <si>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</si>
  <si>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</si>
  <si>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</si>
  <si>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</si>
  <si>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</si>
  <si>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</si>
  <si>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</si>
  <si>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</si>
  <si>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</si>
  <si>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</si>
  <si>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</si>
  <si>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</si>
  <si>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</si>
  <si>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</si>
  <si>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</si>
  <si>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</si>
  <si>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</si>
  <si>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</si>
  <si>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</si>
  <si>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</si>
  <si>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</si>
  <si>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</si>
  <si>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</si>
  <si>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</si>
  <si>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</si>
  <si>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</si>
  <si>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</si>
  <si>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</si>
  <si>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</si>
  <si>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</si>
  <si>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</si>
  <si>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</si>
  <si>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</si>
  <si>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</si>
  <si>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</si>
  <si>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</si>
  <si>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</si>
  <si>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</si>
  <si>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</si>
  <si>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</si>
  <si>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</si>
  <si>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</si>
  <si>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</si>
  <si>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</si>
  <si>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</si>
  <si>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</si>
  <si>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</si>
  <si>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</si>
  <si>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</si>
  <si>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</si>
  <si>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</si>
  <si>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</si>
  <si>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</si>
  <si>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</si>
  <si>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</si>
  <si>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</si>
  <si>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</si>
  <si>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</si>
  <si>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</si>
  <si>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</si>
  <si>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</si>
  <si>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</si>
  <si>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</si>
  <si>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</si>
  <si>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</si>
  <si>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</si>
  <si>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</si>
  <si>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</si>
  <si>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</si>
  <si>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</si>
  <si>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</si>
  <si>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</si>
  <si>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</si>
  <si>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</si>
  <si>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</si>
  <si>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</si>
  <si>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</si>
  <si>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</si>
  <si>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</si>
  <si>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</si>
  <si>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</si>
  <si>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</si>
  <si>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</si>
  <si>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</si>
  <si>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</si>
  <si>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</si>
  <si>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</si>
  <si>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</si>
  <si>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</si>
  <si>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</si>
  <si>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</si>
  <si>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</si>
  <si>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</si>
  <si>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</si>
  <si>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</si>
  <si>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</si>
  <si>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</si>
  <si>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</si>
  <si>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</si>
  <si>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</si>
  <si>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</si>
  <si>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</si>
  <si>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</si>
  <si>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</si>
  <si>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</si>
  <si>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</si>
  <si>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</si>
  <si>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</si>
  <si>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</si>
  <si>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</si>
  <si>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</si>
  <si>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</si>
  <si>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</si>
  <si>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</si>
  <si>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</si>
  <si>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</si>
  <si>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</si>
  <si>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</si>
  <si>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</si>
  <si>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</si>
  <si>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</si>
  <si>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</si>
  <si>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</si>
  <si>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</si>
  <si>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</si>
  <si>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</si>
  <si>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</si>
  <si>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</si>
  <si>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</si>
  <si>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</si>
  <si>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</si>
  <si>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</si>
  <si>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</si>
  <si>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</si>
  <si>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</si>
  <si>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</si>
  <si>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</si>
  <si>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</si>
  <si>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</si>
  <si>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</si>
  <si>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</si>
  <si>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</si>
  <si>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</si>
  <si>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</si>
  <si>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</si>
  <si>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</si>
  <si>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</si>
  <si>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</si>
  <si>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</si>
  <si>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</si>
  <si>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</si>
  <si>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</si>
  <si>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</si>
  <si>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</si>
  <si>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</si>
  <si>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</si>
  <si>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</si>
  <si>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</si>
  <si>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</si>
  <si>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</si>
  <si>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</si>
  <si>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</si>
  <si>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</si>
  <si>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</si>
  <si>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</si>
  <si>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</si>
  <si>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</si>
  <si>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</si>
  <si>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</si>
  <si>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</si>
  <si>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</si>
  <si>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</si>
  <si>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</si>
  <si>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</si>
  <si>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</si>
  <si>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</si>
  <si>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</si>
  <si>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</si>
  <si>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</si>
  <si>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</si>
  <si>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</si>
  <si>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</si>
  <si>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</si>
  <si>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</si>
  <si>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</si>
  <si>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</si>
  <si>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</si>
  <si>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</si>
  <si>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</si>
  <si>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</si>
  <si>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</si>
  <si>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</si>
  <si>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</si>
  <si>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</si>
  <si>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</si>
  <si>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</si>
  <si>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</si>
  <si>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</si>
  <si>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</si>
  <si>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</si>
  <si>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</si>
  <si>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</si>
  <si>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</si>
  <si>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</si>
  <si>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</si>
  <si>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</si>
  <si>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</si>
  <si>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</si>
  <si>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</si>
  <si>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</si>
  <si>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</si>
  <si>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</si>
  <si>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</si>
  <si>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</si>
  <si>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</si>
  <si>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</si>
  <si>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</si>
  <si>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</si>
  <si>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</si>
  <si>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</si>
  <si>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</si>
  <si>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</si>
  <si>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</si>
  <si>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</si>
  <si>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</si>
  <si>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</si>
  <si>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</si>
  <si>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</si>
  <si>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</si>
  <si>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</si>
  <si>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</si>
  <si>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</si>
  <si>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</si>
  <si>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</si>
  <si>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</si>
  <si>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</si>
  <si>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</si>
  <si>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</si>
  <si>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</si>
  <si>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</si>
  <si>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</si>
  <si>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</si>
  <si>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</si>
  <si>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</si>
  <si>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</si>
  <si>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</si>
  <si>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</si>
  <si>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</si>
  <si>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</si>
  <si>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</si>
  <si>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</si>
  <si>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</si>
  <si>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</si>
  <si>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</si>
  <si>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</si>
  <si>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</si>
  <si>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</si>
  <si>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</si>
  <si>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</si>
  <si>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</si>
  <si>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</si>
  <si>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</si>
  <si>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</si>
  <si>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</si>
  <si>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</si>
  <si>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</si>
  <si>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</si>
  <si>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</si>
  <si>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</si>
  <si>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</si>
  <si>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</si>
  <si>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</si>
  <si>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</si>
  <si>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</si>
  <si>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</si>
  <si>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</si>
  <si>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</si>
  <si>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</si>
  <si>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</si>
  <si>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</si>
  <si>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</si>
  <si>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</si>
  <si>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</si>
  <si>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</si>
  <si>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</si>
  <si>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</si>
  <si>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</si>
  <si>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</si>
  <si>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</si>
  <si>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</si>
  <si>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</si>
  <si>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</si>
  <si>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</si>
  <si>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</si>
  <si>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t>
  </si>
  <si>
    <t>综合用地(含住宅)</t>
  </si>
  <si>
    <t>昌平区</t>
  </si>
  <si>
    <t>昌平区沙河镇</t>
  </si>
  <si>
    <t>挂牌</t>
  </si>
  <si>
    <t>京土整储挂(昌)[2017]103号</t>
  </si>
  <si>
    <t>R2二类居住用地、F1住宅混合公建用地、B4综合性商业金融服务业用地、A33基础教育用地</t>
  </si>
  <si>
    <t>R2、A33≤30%;B1≤40%;F1≤45%</t>
  </si>
  <si>
    <t>R2、F1≤18;A33≤12;B1≤45</t>
  </si>
  <si>
    <t>限地价,限房价,竞自持,报高标准商品住宅建设方案</t>
  </si>
  <si>
    <t>限地价,限房价</t>
  </si>
  <si>
    <t>开工中</t>
  </si>
  <si>
    <t>2017-12-14</t>
  </si>
  <si>
    <t>2018-01-03</t>
  </si>
  <si>
    <t>2018-01-17</t>
  </si>
  <si>
    <t>已成交</t>
  </si>
  <si>
    <t>北京中海地产有限公司</t>
  </si>
  <si>
    <t>居住70年、商业40年、办公50年</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</si>
  <si>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</si>
  <si>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</si>
  <si>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</si>
  <si>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</si>
  <si>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</si>
  <si>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</si>
  <si>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</si>
  <si>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限房价,含自住房/共有产权住房</t>
  </si>
  <si>
    <t>2017-12-08</t>
  </si>
  <si>
    <t>2017-12-28</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</si>
  <si>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</si>
  <si>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</si>
  <si>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</si>
  <si>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</si>
  <si>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</si>
  <si>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</si>
  <si>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R2≤25%;A33≤30%</t>
  </si>
  <si>
    <t>R2≤45;A33≤12</t>
  </si>
  <si>
    <t>限地价,限房价,竞自持,报高标准商品住宅建设方案,90/70</t>
  </si>
  <si>
    <t>限地价,限房价,竞自持,90/70</t>
  </si>
  <si>
    <t>2017-11-17</t>
  </si>
  <si>
    <t>2017-12-07</t>
  </si>
  <si>
    <t>2017-12-21</t>
  </si>
  <si>
    <t>北京北辰地产集团有限公司和北京金隅地产开发集团有限公司联合体</t>
  </si>
  <si>
    <t>北京市昌平区北七家镇(未来科技城南区)C-52地块R2二类居住用地</t>
  </si>
  <si>
    <t>住宅用地</t>
  </si>
  <si>
    <t>昌平区北七家镇东部</t>
  </si>
  <si>
    <t>京土整储挂(昌)[2017]080号</t>
  </si>
  <si>
    <t>R2二类居住用地</t>
  </si>
  <si>
    <t>≤30%</t>
  </si>
  <si>
    <t>≤30</t>
  </si>
  <si>
    <t>居住建筑规模全部建设“共有产权住房”</t>
  </si>
  <si>
    <t>2017-09-30</t>
  </si>
  <si>
    <t>2017-10-24</t>
  </si>
  <si>
    <t>2017-11-07</t>
  </si>
  <si>
    <t>北京市昌平区北七家镇东三旗村011地块R2二类居住用地</t>
  </si>
  <si>
    <t>昌平区北七家镇立汤路东侧、东三旗村的东北部</t>
  </si>
  <si>
    <t>京土整储挂(昌)[2017]071号</t>
  </si>
  <si>
    <t>≥30且≤60</t>
  </si>
  <si>
    <t>限地价,限房价,竞自持,竞配建,90/70</t>
  </si>
  <si>
    <t>2017-09-21</t>
  </si>
  <si>
    <t>2017-10-11</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</si>
  <si>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</si>
  <si>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</si>
  <si>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</si>
  <si>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</si>
  <si>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</si>
  <si>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详见出让文件</t>
  </si>
  <si>
    <t>限地价,限房价,竞自持,报高标准商品住宅建设方案,90/70,含租赁用地</t>
  </si>
  <si>
    <t>限地价,限房价,90/70,含租赁用地</t>
  </si>
  <si>
    <t>2017-06-23</t>
  </si>
  <si>
    <t>2017-07-13</t>
  </si>
  <si>
    <t>2017-07-27</t>
  </si>
  <si>
    <t>北京润置商业运营管理有限公司</t>
  </si>
  <si>
    <t>昌平区北七家镇009地块R2二类居住用地</t>
  </si>
  <si>
    <t>京土整储挂(昌)[2017]045号</t>
  </si>
  <si>
    <t>30-60</t>
  </si>
  <si>
    <t>居住建筑规模全部建设“自住型商品住房”,销售价格27000元/平方米(含全装修费用)</t>
  </si>
  <si>
    <t>2017-06-21</t>
  </si>
  <si>
    <t>2017-07-11</t>
  </si>
  <si>
    <t>2017-07-25</t>
  </si>
  <si>
    <t>北京未来科技城昌远置业有限公司</t>
  </si>
  <si>
    <t>昌平区南邵镇(昌平新城东区六期(东))0302-57地块</t>
  </si>
  <si>
    <t>昌平区南邵镇</t>
  </si>
  <si>
    <t>京土整储挂(昌)[2016]007号</t>
  </si>
  <si>
    <t>F1住宅混合公建用地</t>
  </si>
  <si>
    <t>公共租赁房,</t>
  </si>
  <si>
    <t>2016-03-31</t>
  </si>
  <si>
    <t>2016-04-20</t>
  </si>
  <si>
    <t>2016-05-05</t>
  </si>
  <si>
    <t>北京招商局铭嘉房地产开发有限公司</t>
  </si>
  <si>
    <t>昌平区南邵镇(昌平新城东区六期(东))0302-70地块</t>
  </si>
  <si>
    <t>京土整储挂(昌)[2016]008号</t>
  </si>
  <si>
    <t>昌平区百善三角地项目CP00-0600-0041地块、CP00-0600-0042地块</t>
  </si>
  <si>
    <t>昌平区百善镇</t>
  </si>
  <si>
    <t>京土整储招(昌)[2015]068号</t>
  </si>
  <si>
    <t>R2二类居住用地、B1商业用地</t>
  </si>
  <si>
    <t>限价房,</t>
  </si>
  <si>
    <t>已完工</t>
  </si>
  <si>
    <t>2015-11-11</t>
  </si>
  <si>
    <t>2015-12-01</t>
  </si>
  <si>
    <t>2015-12-15</t>
  </si>
  <si>
    <t>北京泰达和信投资管理有限公司</t>
  </si>
  <si>
    <t>昌平区小汤山镇</t>
  </si>
  <si>
    <t>京土整储挂(昌)[2015]063号</t>
  </si>
  <si>
    <t>F1住宅混合公建用地、F2公建混合住宅用地</t>
  </si>
  <si>
    <t>2015-10-19</t>
  </si>
  <si>
    <t>2015-11-09</t>
  </si>
  <si>
    <t>2015-11-23</t>
  </si>
  <si>
    <t>北京华润曙光房地产开发有限公司和北京未来科技城置业有限公司联合体</t>
  </si>
  <si>
    <t>昌平区小汤山镇(未来科技城北区)CP05-0801-0018、0020、0021地块</t>
  </si>
  <si>
    <t>京土整储挂(昌)[2015]062号</t>
  </si>
  <si>
    <t>F2公建混合住宅用地、F3其他类多功能用地</t>
  </si>
  <si>
    <t>住宅70年、商业40年、办公50年</t>
  </si>
  <si>
    <t>昌平区北七家镇GZT-05-1、GZT-07、GZT-09地块(沟自头村储备开发项目西侧地块)</t>
  </si>
  <si>
    <t>京土整储挂(昌)[2015]058号</t>
  </si>
  <si>
    <t>R2二类居住用地、B4综合性商业金融服务业用地、A33基础教育用地</t>
  </si>
  <si>
    <t>2015-10-16</t>
  </si>
  <si>
    <t>2015-11-05</t>
  </si>
  <si>
    <t>2015-11-19</t>
  </si>
  <si>
    <t>北京国瑞兴业地产股份有限公司</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</si>
  <si>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</si>
  <si>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</si>
  <si>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</si>
  <si>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t>京土整储挂(昌)[2015]039号</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</si>
  <si>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</si>
  <si>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</si>
  <si>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</si>
  <si>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</si>
  <si>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</si>
  <si>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</si>
  <si>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</si>
  <si>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北京市门头沟区永定镇岢罗坨、秋坡、石佛村MC00-0500-0009、0010、0013地块R2二类居住用地</t>
  </si>
  <si>
    <t>门头沟区</t>
  </si>
  <si>
    <t>门头沟区永定镇岢罗坨、秋坡、石佛村</t>
  </si>
  <si>
    <t>京土整储挂(门)[2017]116号</t>
  </si>
  <si>
    <t>详见挂牌文件</t>
  </si>
  <si>
    <t>未开工</t>
  </si>
  <si>
    <t>2017-12-29</t>
  </si>
  <si>
    <t>2018-01-19</t>
  </si>
  <si>
    <t>2018-02-02</t>
  </si>
  <si>
    <t>中国电建地产集团有限公司、山西建设投资集团有限公司、北京金地驰创投资咨询有限公司和隆泰实业(北京)有限公司联合体</t>
  </si>
  <si>
    <t>大兴区瀛海镇YZ00-0803-0512、YZ00-0803-0514、C07-3地块R2二类居住用地、A33基础教育用地</t>
  </si>
  <si>
    <t>大兴区</t>
  </si>
  <si>
    <t>大兴区瀛海镇</t>
  </si>
  <si>
    <t>京土整储挂(兴)[2017]047号</t>
  </si>
  <si>
    <t>r2:2;a33:0.8</t>
  </si>
  <si>
    <t>北京中瑞凯华投资管理有限公司、北京德俊置业有限公司和上海骞乐企业管理有限公司联合体</t>
  </si>
  <si>
    <r>
      <rPr>
        <sz val="10"/>
        <rFont val="宋体"/>
        <family val="3"/>
        <charset val="134"/>
      </rPr>
      <t>北京市昌平区沙河镇丽春湖</t>
    </r>
    <r>
      <rPr>
        <sz val="11"/>
        <color theme="1"/>
        <rFont val="宋体"/>
        <family val="3"/>
        <charset val="134"/>
        <scheme val="minor"/>
      </rPr>
      <t>LCH-010</t>
    </r>
    <r>
      <rPr>
        <sz val="10"/>
        <rFont val="宋体"/>
        <family val="3"/>
        <charset val="134"/>
      </rPr>
      <t>等地块</t>
    </r>
    <r>
      <rPr>
        <sz val="11"/>
        <color theme="1"/>
        <rFont val="宋体"/>
        <family val="3"/>
        <charset val="134"/>
        <scheme val="minor"/>
      </rPr>
      <t>R2</t>
    </r>
    <r>
      <rPr>
        <sz val="10"/>
        <rFont val="宋体"/>
        <family val="3"/>
        <charset val="134"/>
      </rPr>
      <t>二类居住用地、</t>
    </r>
    <r>
      <rPr>
        <sz val="11"/>
        <color theme="1"/>
        <rFont val="宋体"/>
        <family val="3"/>
        <charset val="134"/>
        <scheme val="minor"/>
      </rPr>
      <t>F1</t>
    </r>
    <r>
      <rPr>
        <sz val="10"/>
        <rFont val="宋体"/>
        <family val="3"/>
        <charset val="134"/>
      </rPr>
      <t>住宅混合公建用地、</t>
    </r>
    <r>
      <rPr>
        <sz val="11"/>
        <color theme="1"/>
        <rFont val="宋体"/>
        <family val="3"/>
        <charset val="134"/>
        <scheme val="minor"/>
      </rPr>
      <t>B4</t>
    </r>
    <r>
      <rPr>
        <sz val="10"/>
        <rFont val="宋体"/>
        <family val="3"/>
        <charset val="134"/>
      </rPr>
      <t>综合性商业金融服务业用地、</t>
    </r>
    <r>
      <rPr>
        <sz val="11"/>
        <color theme="1"/>
        <rFont val="宋体"/>
        <family val="3"/>
        <charset val="134"/>
        <scheme val="minor"/>
      </rPr>
      <t>A33</t>
    </r>
    <r>
      <rPr>
        <sz val="10"/>
        <rFont val="宋体"/>
        <family val="3"/>
        <charset val="134"/>
      </rPr>
      <t>基础教育用地</t>
    </r>
    <phoneticPr fontId="3" type="noConversion"/>
  </si>
  <si>
    <r>
      <rPr>
        <sz val="10"/>
        <rFont val="宋体"/>
        <family val="3"/>
        <charset val="134"/>
      </rPr>
      <t>昌平区小汤山镇</t>
    </r>
    <r>
      <rPr>
        <sz val="11"/>
        <color theme="1"/>
        <rFont val="宋体"/>
        <family val="3"/>
        <charset val="134"/>
        <scheme val="minor"/>
      </rPr>
      <t>(</t>
    </r>
    <r>
      <rPr>
        <sz val="10"/>
        <rFont val="宋体"/>
        <family val="3"/>
        <charset val="134"/>
      </rPr>
      <t>未来科技城北区</t>
    </r>
    <r>
      <rPr>
        <sz val="11"/>
        <color theme="1"/>
        <rFont val="宋体"/>
        <family val="3"/>
        <charset val="134"/>
        <scheme val="minor"/>
      </rPr>
      <t>)CP05-0801-0011</t>
    </r>
    <r>
      <rPr>
        <sz val="10"/>
        <rFont val="宋体"/>
        <family val="3"/>
        <charset val="134"/>
      </rPr>
      <t>、</t>
    </r>
    <r>
      <rPr>
        <sz val="11"/>
        <color theme="1"/>
        <rFont val="宋体"/>
        <family val="3"/>
        <charset val="134"/>
        <scheme val="minor"/>
      </rPr>
      <t>0013</t>
    </r>
    <r>
      <rPr>
        <sz val="10"/>
        <rFont val="宋体"/>
        <family val="3"/>
        <charset val="134"/>
      </rPr>
      <t>、</t>
    </r>
    <r>
      <rPr>
        <sz val="11"/>
        <color theme="1"/>
        <rFont val="宋体"/>
        <family val="3"/>
        <charset val="134"/>
        <scheme val="minor"/>
      </rPr>
      <t>0015</t>
    </r>
    <r>
      <rPr>
        <sz val="10"/>
        <rFont val="宋体"/>
        <family val="3"/>
        <charset val="134"/>
      </rPr>
      <t>、</t>
    </r>
    <r>
      <rPr>
        <sz val="11"/>
        <color theme="1"/>
        <rFont val="宋体"/>
        <family val="3"/>
        <charset val="134"/>
        <scheme val="minor"/>
      </rPr>
      <t>0017</t>
    </r>
    <r>
      <rPr>
        <sz val="10"/>
        <rFont val="宋体"/>
        <family val="3"/>
        <charset val="134"/>
      </rPr>
      <t>地块</t>
    </r>
    <phoneticPr fontId="3" type="noConversion"/>
  </si>
  <si>
    <r>
      <rPr>
        <sz val="10"/>
        <rFont val="宋体"/>
        <family val="3"/>
        <charset val="134"/>
      </rPr>
      <t>昌平区南邵镇</t>
    </r>
    <r>
      <rPr>
        <sz val="11"/>
        <color theme="1"/>
        <rFont val="宋体"/>
        <family val="3"/>
        <charset val="134"/>
        <scheme val="minor"/>
      </rPr>
      <t>(</t>
    </r>
    <r>
      <rPr>
        <sz val="10"/>
        <rFont val="宋体"/>
        <family val="3"/>
        <charset val="134"/>
      </rPr>
      <t>中关村科技园区昌平园东区二期</t>
    </r>
    <r>
      <rPr>
        <sz val="11"/>
        <color theme="1"/>
        <rFont val="宋体"/>
        <family val="3"/>
        <charset val="134"/>
        <scheme val="minor"/>
      </rPr>
      <t>)0303-07</t>
    </r>
    <r>
      <rPr>
        <sz val="10"/>
        <rFont val="宋体"/>
        <family val="3"/>
        <charset val="134"/>
      </rPr>
      <t>地块</t>
    </r>
    <phoneticPr fontId="3" type="noConversion"/>
  </si>
  <si>
    <t>2018-1-0695-P01DYGJ1</t>
    <phoneticPr fontId="6" type="noConversion"/>
  </si>
  <si>
    <t>郑燚</t>
  </si>
  <si>
    <t>崔锴</t>
  </si>
  <si>
    <t>北京昌业房地产开发有限公司</t>
    <phoneticPr fontId="6" type="noConversion"/>
  </si>
  <si>
    <t>中国银行总行北京分行王府井支行</t>
    <phoneticPr fontId="6" type="noConversion"/>
  </si>
  <si>
    <t>抵押</t>
  </si>
  <si>
    <t>房地产抵押价值</t>
  </si>
  <si>
    <t>企业</t>
  </si>
  <si>
    <t>出让</t>
  </si>
  <si>
    <r>
      <rPr>
        <sz val="12"/>
        <color theme="9" tint="-0.249977111117893"/>
        <rFont val="宋体"/>
        <family val="3"/>
        <charset val="134"/>
      </rPr>
      <t>昌平区北七家镇（中心起步区（海鶄落新村建设）项目一期）</t>
    </r>
    <r>
      <rPr>
        <sz val="12"/>
        <color theme="9" tint="-0.249977111117893"/>
        <rFont val="Arial"/>
        <family val="2"/>
      </rPr>
      <t>HQL-13</t>
    </r>
    <r>
      <rPr>
        <sz val="12"/>
        <color theme="9" tint="-0.249977111117893"/>
        <rFont val="宋体"/>
        <family val="3"/>
        <charset val="134"/>
      </rPr>
      <t>地块、</t>
    </r>
    <r>
      <rPr>
        <sz val="12"/>
        <color theme="9" tint="-0.249977111117893"/>
        <rFont val="Arial"/>
        <family val="2"/>
      </rPr>
      <t>18</t>
    </r>
    <r>
      <rPr>
        <sz val="12"/>
        <color theme="9" tint="-0.249977111117893"/>
        <rFont val="宋体"/>
        <family val="3"/>
        <charset val="134"/>
      </rPr>
      <t>地块二宗住宅用地出让国有建设用地使用权</t>
    </r>
    <phoneticPr fontId="6" type="noConversion"/>
  </si>
  <si>
    <r>
      <rPr>
        <sz val="12"/>
        <color theme="9" tint="-0.249977111117893"/>
        <rFont val="宋体"/>
        <family val="3"/>
        <charset val="134"/>
      </rPr>
      <t>《</t>
    </r>
    <r>
      <rPr>
        <sz val="12"/>
        <color theme="9" tint="-0.249977111117893"/>
        <rFont val="Arial"/>
        <family val="2"/>
      </rPr>
      <t>HQL-13</t>
    </r>
    <r>
      <rPr>
        <sz val="12"/>
        <color theme="9" tint="-0.249977111117893"/>
        <rFont val="宋体"/>
        <family val="3"/>
        <charset val="134"/>
      </rPr>
      <t>地块主要技术经济指标》</t>
    </r>
    <r>
      <rPr>
        <sz val="12"/>
        <color theme="9" tint="-0.249977111117893"/>
        <rFont val="Arial"/>
        <family val="2"/>
      </rPr>
      <t/>
    </r>
    <phoneticPr fontId="6" type="noConversion"/>
  </si>
  <si>
    <t>《不动产权证书》</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</si>
  <si>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）昌平区不动产权第</t>
    </r>
    <r>
      <rPr>
        <sz val="12"/>
        <color theme="9" tint="-0.249977111117893"/>
        <rFont val="Arial"/>
        <family val="2"/>
      </rPr>
      <t>0000033</t>
    </r>
    <r>
      <rPr>
        <sz val="12"/>
        <color theme="9" tint="-0.249977111117893"/>
        <rFont val="宋体"/>
        <family val="3"/>
        <charset val="134"/>
      </rPr>
      <t>号</t>
    </r>
    <r>
      <rPr>
        <sz val="12"/>
        <color theme="9" tint="-0.249977111117893"/>
        <rFont val="Arial"/>
        <family val="2"/>
      </rPr>
      <t>]</t>
    </r>
    <phoneticPr fontId="6" type="noConversion"/>
  </si>
  <si>
    <t>否</t>
  </si>
  <si>
    <t>复印件</t>
  </si>
  <si>
    <t>居住项目</t>
  </si>
  <si>
    <t>无</t>
  </si>
  <si>
    <t>土地</t>
  </si>
  <si>
    <t>通路</t>
  </si>
  <si>
    <t>通电</t>
  </si>
  <si>
    <t>通讯</t>
  </si>
  <si>
    <t>通上水</t>
  </si>
  <si>
    <t>通下水</t>
  </si>
  <si>
    <t>燃气</t>
  </si>
  <si>
    <t>地上</t>
  </si>
  <si>
    <t>住宅</t>
  </si>
  <si>
    <t>普通住宅</t>
  </si>
  <si>
    <t>是</t>
  </si>
  <si>
    <t>地下</t>
  </si>
  <si>
    <t>车库</t>
  </si>
  <si>
    <t>指标</t>
    <phoneticPr fontId="3" type="noConversion"/>
  </si>
  <si>
    <t>叠拼</t>
  </si>
  <si>
    <t>叠拼</t>
    <phoneticPr fontId="7" type="noConversion"/>
  </si>
  <si>
    <t>车库</t>
    <phoneticPr fontId="7" type="noConversion"/>
  </si>
  <si>
    <t>较好</t>
  </si>
  <si>
    <t>较好</t>
    <phoneticPr fontId="41" type="noConversion"/>
  </si>
  <si>
    <t>一般</t>
  </si>
  <si>
    <t>一般</t>
    <phoneticPr fontId="41" type="noConversion"/>
  </si>
  <si>
    <t>较好</t>
    <phoneticPr fontId="41" type="noConversion"/>
  </si>
  <si>
    <t>七通</t>
  </si>
  <si>
    <t>七通</t>
    <phoneticPr fontId="25" type="noConversion"/>
  </si>
  <si>
    <t>较好</t>
    <phoneticPr fontId="25" type="noConversion"/>
  </si>
  <si>
    <t>住宅</t>
    <phoneticPr fontId="31" type="noConversion"/>
  </si>
  <si>
    <t>70</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</si>
  <si>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</si>
  <si>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</si>
  <si>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</si>
  <si>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</si>
  <si>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</si>
  <si>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</si>
  <si>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</si>
  <si>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</si>
  <si>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</si>
  <si>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</si>
  <si>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</si>
  <si>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</si>
  <si>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</si>
  <si>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</si>
  <si>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好</t>
  </si>
  <si>
    <t>较差</t>
  </si>
  <si>
    <t>差</t>
  </si>
  <si>
    <t>土地比较法-住宅、综合</t>
  </si>
  <si>
    <t>假设开发法</t>
  </si>
  <si>
    <t>项目局部</t>
  </si>
  <si>
    <t>翡翠公园</t>
    <phoneticPr fontId="3" type="noConversion"/>
  </si>
  <si>
    <t>翡翠公园</t>
    <phoneticPr fontId="3" type="noConversion"/>
  </si>
  <si>
    <t>住宅</t>
    <phoneticPr fontId="25" type="noConversion"/>
  </si>
  <si>
    <t>60-70（含）</t>
  </si>
  <si>
    <t>独栋</t>
    <phoneticPr fontId="25" type="noConversion"/>
  </si>
  <si>
    <t>联排</t>
  </si>
  <si>
    <t>联排</t>
    <phoneticPr fontId="25" type="noConversion"/>
  </si>
  <si>
    <t>叠拼</t>
    <phoneticPr fontId="25" type="noConversion"/>
  </si>
  <si>
    <t>钢混</t>
  </si>
  <si>
    <t>钢混</t>
    <phoneticPr fontId="25" type="noConversion"/>
  </si>
  <si>
    <t>高档</t>
  </si>
  <si>
    <t>高档</t>
    <phoneticPr fontId="25" type="noConversion"/>
  </si>
  <si>
    <t>精装修</t>
  </si>
  <si>
    <t>精装修</t>
    <phoneticPr fontId="25" type="noConversion"/>
  </si>
  <si>
    <t>专业物业</t>
  </si>
  <si>
    <t>专业物业</t>
    <phoneticPr fontId="25" type="noConversion"/>
  </si>
  <si>
    <t>普通物业</t>
    <phoneticPr fontId="25" type="noConversion"/>
  </si>
  <si>
    <t>普通装修</t>
    <phoneticPr fontId="25" type="noConversion"/>
  </si>
  <si>
    <t>简单装修</t>
  </si>
  <si>
    <t>简单装修</t>
    <phoneticPr fontId="25" type="noConversion"/>
  </si>
  <si>
    <t>毛坯</t>
  </si>
  <si>
    <t>毛坯</t>
    <phoneticPr fontId="25" type="noConversion"/>
  </si>
  <si>
    <t>京基鹭府</t>
    <phoneticPr fontId="3" type="noConversion"/>
  </si>
  <si>
    <t>北京城建龙樾华府</t>
    <phoneticPr fontId="3" type="noConversion"/>
  </si>
  <si>
    <t>恒大幸福家园</t>
    <phoneticPr fontId="3" type="noConversion"/>
  </si>
  <si>
    <t>首开国风美唐</t>
    <phoneticPr fontId="3" type="noConversion"/>
  </si>
  <si>
    <t>保利罗兰香谷</t>
    <phoneticPr fontId="3" type="noConversion"/>
  </si>
  <si>
    <t>正常</t>
  </si>
  <si>
    <t>40-50（含）</t>
  </si>
  <si>
    <t>专业</t>
  </si>
  <si>
    <t>平面车位</t>
  </si>
  <si>
    <t>车库</t>
    <phoneticPr fontId="32" type="noConversion"/>
  </si>
  <si>
    <t>售价</t>
  </si>
  <si>
    <t>元/平方米</t>
  </si>
  <si>
    <t>北京市门头沟区永定镇岢罗坨、秋坡、石佛村MC00-0500-0009、0010、0013地块R2二类居住用地</t>
    <phoneticPr fontId="143" type="noConversion"/>
  </si>
  <si>
    <t>大兴区瀛海镇YZ00-0803-0512、YZ00-0803-0514、C07-3地块R2二类居住用地、A33基础教育用地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</si>
</sst>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3"/>
      <charset val="134"/>
      <scheme val="minor"/>
    </font>
    <font>
      <sz val="11"/>
      <color theme="9" tint="-0.249977111117893"/>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0" fillId="17" borderId="0" xfId="0" applyFill="1" applyAlignment="1"/>
    <xf numFmtId="0" fontId="0" fillId="18" borderId="0" xfId="0" applyFill="1" applyAlignment="1"/>
    <xf numFmtId="0" fontId="0" fillId="19" borderId="0" xfId="0" applyFill="1" applyAlignment="1"/>
    <xf numFmtId="0" fontId="56" fillId="19" borderId="0" xfId="0" applyFont="1" applyFill="1" applyAlignment="1"/>
    <xf numFmtId="0" fontId="0" fillId="9" borderId="0" xfId="0" applyFill="1" applyAlignment="1"/>
    <xf numFmtId="0" fontId="56" fillId="9" borderId="0" xfId="0" applyFont="1"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40" fillId="5" borderId="23" xfId="0" applyFont="1" applyFill="1" applyBorder="1" applyAlignment="1" applyProtection="1">
      <alignment horizontal="center" vertical="center" wrapText="1"/>
      <protection locked="0"/>
    </xf>
    <xf numFmtId="0" fontId="64" fillId="19" borderId="7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10" applyFont="1">
      <alignment vertical="center"/>
    </xf>
    <xf numFmtId="0" fontId="99" fillId="0" borderId="0" xfId="10">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55" fillId="0" borderId="2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484772</xdr:colOff>
      <xdr:row>27</xdr:row>
      <xdr:rowOff>94660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28572" cy="4723810"/>
        </a:xfrm>
        <a:prstGeom prst="rect">
          <a:avLst/>
        </a:prstGeom>
      </xdr:spPr>
    </xdr:pic>
    <xdr:clientData/>
  </xdr:twoCellAnchor>
  <xdr:twoCellAnchor editAs="oneCell">
    <xdr:from>
      <xdr:col>0</xdr:col>
      <xdr:colOff>0</xdr:colOff>
      <xdr:row>28</xdr:row>
      <xdr:rowOff>0</xdr:rowOff>
    </xdr:from>
    <xdr:to>
      <xdr:col>11</xdr:col>
      <xdr:colOff>618105</xdr:colOff>
      <xdr:row>55</xdr:row>
      <xdr:rowOff>27993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161905" cy="4657143"/>
        </a:xfrm>
        <a:prstGeom prst="rect">
          <a:avLst/>
        </a:prstGeom>
      </xdr:spPr>
    </xdr:pic>
    <xdr:clientData/>
  </xdr:twoCellAnchor>
  <xdr:twoCellAnchor editAs="oneCell">
    <xdr:from>
      <xdr:col>0</xdr:col>
      <xdr:colOff>0</xdr:colOff>
      <xdr:row>56</xdr:row>
      <xdr:rowOff>0</xdr:rowOff>
    </xdr:from>
    <xdr:to>
      <xdr:col>12</xdr:col>
      <xdr:colOff>122782</xdr:colOff>
      <xdr:row>84</xdr:row>
      <xdr:rowOff>161305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352382" cy="4961905"/>
        </a:xfrm>
        <a:prstGeom prst="rect">
          <a:avLst/>
        </a:prstGeom>
      </xdr:spPr>
    </xdr:pic>
    <xdr:clientData/>
  </xdr:twoCellAnchor>
  <xdr:twoCellAnchor editAs="oneCell">
    <xdr:from>
      <xdr:col>0</xdr:col>
      <xdr:colOff>0</xdr:colOff>
      <xdr:row>85</xdr:row>
      <xdr:rowOff>0</xdr:rowOff>
    </xdr:from>
    <xdr:to>
      <xdr:col>12</xdr:col>
      <xdr:colOff>65639</xdr:colOff>
      <xdr:row>112</xdr:row>
      <xdr:rowOff>123231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8295239" cy="4752381"/>
        </a:xfrm>
        <a:prstGeom prst="rect">
          <a:avLst/>
        </a:prstGeom>
      </xdr:spPr>
    </xdr:pic>
    <xdr:clientData/>
  </xdr:twoCellAnchor>
  <xdr:twoCellAnchor editAs="oneCell">
    <xdr:from>
      <xdr:col>0</xdr:col>
      <xdr:colOff>0</xdr:colOff>
      <xdr:row>114</xdr:row>
      <xdr:rowOff>0</xdr:rowOff>
    </xdr:from>
    <xdr:to>
      <xdr:col>12</xdr:col>
      <xdr:colOff>122782</xdr:colOff>
      <xdr:row>140</xdr:row>
      <xdr:rowOff>170872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545300"/>
          <a:ext cx="8352382" cy="4628572"/>
        </a:xfrm>
        <a:prstGeom prst="rect">
          <a:avLst/>
        </a:prstGeom>
      </xdr:spPr>
    </xdr:pic>
    <xdr:clientData/>
  </xdr:twoCellAnchor>
  <xdr:twoCellAnchor editAs="oneCell">
    <xdr:from>
      <xdr:col>0</xdr:col>
      <xdr:colOff>0</xdr:colOff>
      <xdr:row>141</xdr:row>
      <xdr:rowOff>0</xdr:rowOff>
    </xdr:from>
    <xdr:to>
      <xdr:col>12</xdr:col>
      <xdr:colOff>27543</xdr:colOff>
      <xdr:row>168</xdr:row>
      <xdr:rowOff>27993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174450"/>
          <a:ext cx="8257143" cy="4657143"/>
        </a:xfrm>
        <a:prstGeom prst="rect">
          <a:avLst/>
        </a:prstGeom>
      </xdr:spPr>
    </xdr:pic>
    <xdr:clientData/>
  </xdr:twoCellAnchor>
  <xdr:twoCellAnchor editAs="oneCell">
    <xdr:from>
      <xdr:col>0</xdr:col>
      <xdr:colOff>0</xdr:colOff>
      <xdr:row>169</xdr:row>
      <xdr:rowOff>0</xdr:rowOff>
    </xdr:from>
    <xdr:to>
      <xdr:col>12</xdr:col>
      <xdr:colOff>294210</xdr:colOff>
      <xdr:row>196</xdr:row>
      <xdr:rowOff>66088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8975050"/>
          <a:ext cx="8523810" cy="4695238"/>
        </a:xfrm>
        <a:prstGeom prst="rect">
          <a:avLst/>
        </a:prstGeom>
      </xdr:spPr>
    </xdr:pic>
    <xdr:clientData/>
  </xdr:twoCellAnchor>
  <xdr:twoCellAnchor editAs="oneCell">
    <xdr:from>
      <xdr:col>0</xdr:col>
      <xdr:colOff>0</xdr:colOff>
      <xdr:row>197</xdr:row>
      <xdr:rowOff>0</xdr:rowOff>
    </xdr:from>
    <xdr:to>
      <xdr:col>11</xdr:col>
      <xdr:colOff>656201</xdr:colOff>
      <xdr:row>224</xdr:row>
      <xdr:rowOff>18469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775650"/>
          <a:ext cx="8200001" cy="4647619"/>
        </a:xfrm>
        <a:prstGeom prst="rect">
          <a:avLst/>
        </a:prstGeom>
      </xdr:spPr>
    </xdr:pic>
    <xdr:clientData/>
  </xdr:twoCellAnchor>
  <xdr:twoCellAnchor editAs="oneCell">
    <xdr:from>
      <xdr:col>12</xdr:col>
      <xdr:colOff>0</xdr:colOff>
      <xdr:row>0</xdr:row>
      <xdr:rowOff>0</xdr:rowOff>
    </xdr:from>
    <xdr:to>
      <xdr:col>23</xdr:col>
      <xdr:colOff>560962</xdr:colOff>
      <xdr:row>34</xdr:row>
      <xdr:rowOff>104034</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0"/>
          <a:ext cx="8104762" cy="5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16</xdr:col>
      <xdr:colOff>341486</xdr:colOff>
      <xdr:row>9</xdr:row>
      <xdr:rowOff>133189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0525"/>
          <a:ext cx="11314286" cy="1285714"/>
        </a:xfrm>
        <a:prstGeom prst="rect">
          <a:avLst/>
        </a:prstGeom>
      </xdr:spPr>
    </xdr:pic>
    <xdr:clientData/>
  </xdr:twoCellAnchor>
  <xdr:twoCellAnchor editAs="oneCell">
    <xdr:from>
      <xdr:col>0</xdr:col>
      <xdr:colOff>0</xdr:colOff>
      <xdr:row>0</xdr:row>
      <xdr:rowOff>0</xdr:rowOff>
    </xdr:from>
    <xdr:to>
      <xdr:col>16</xdr:col>
      <xdr:colOff>351010</xdr:colOff>
      <xdr:row>2</xdr:row>
      <xdr:rowOff>76148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1323810" cy="419048"/>
        </a:xfrm>
        <a:prstGeom prst="rect">
          <a:avLst/>
        </a:prstGeom>
      </xdr:spPr>
    </xdr:pic>
    <xdr:clientData/>
  </xdr:twoCellAnchor>
  <xdr:twoCellAnchor editAs="oneCell">
    <xdr:from>
      <xdr:col>0</xdr:col>
      <xdr:colOff>0</xdr:colOff>
      <xdr:row>10</xdr:row>
      <xdr:rowOff>0</xdr:rowOff>
    </xdr:from>
    <xdr:to>
      <xdr:col>16</xdr:col>
      <xdr:colOff>370058</xdr:colOff>
      <xdr:row>17</xdr:row>
      <xdr:rowOff>114136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
          <a:ext cx="11342858" cy="1314286"/>
        </a:xfrm>
        <a:prstGeom prst="rect">
          <a:avLst/>
        </a:prstGeom>
      </xdr:spPr>
    </xdr:pic>
    <xdr:clientData/>
  </xdr:twoCellAnchor>
  <xdr:twoCellAnchor editAs="oneCell">
    <xdr:from>
      <xdr:col>0</xdr:col>
      <xdr:colOff>0</xdr:colOff>
      <xdr:row>19</xdr:row>
      <xdr:rowOff>0</xdr:rowOff>
    </xdr:from>
    <xdr:to>
      <xdr:col>9</xdr:col>
      <xdr:colOff>618277</xdr:colOff>
      <xdr:row>51</xdr:row>
      <xdr:rowOff>37410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57550"/>
          <a:ext cx="6790477" cy="5523810"/>
        </a:xfrm>
        <a:prstGeom prst="rect">
          <a:avLst/>
        </a:prstGeom>
      </xdr:spPr>
    </xdr:pic>
    <xdr:clientData/>
  </xdr:twoCellAnchor>
  <xdr:twoCellAnchor editAs="oneCell">
    <xdr:from>
      <xdr:col>0</xdr:col>
      <xdr:colOff>0</xdr:colOff>
      <xdr:row>51</xdr:row>
      <xdr:rowOff>0</xdr:rowOff>
    </xdr:from>
    <xdr:to>
      <xdr:col>10</xdr:col>
      <xdr:colOff>218191</xdr:colOff>
      <xdr:row>82</xdr:row>
      <xdr:rowOff>46955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743950"/>
          <a:ext cx="7076191" cy="5361905"/>
        </a:xfrm>
        <a:prstGeom prst="rect">
          <a:avLst/>
        </a:prstGeom>
      </xdr:spPr>
    </xdr:pic>
    <xdr:clientData/>
  </xdr:twoCellAnchor>
  <xdr:twoCellAnchor editAs="oneCell">
    <xdr:from>
      <xdr:col>0</xdr:col>
      <xdr:colOff>0</xdr:colOff>
      <xdr:row>82</xdr:row>
      <xdr:rowOff>0</xdr:rowOff>
    </xdr:from>
    <xdr:to>
      <xdr:col>10</xdr:col>
      <xdr:colOff>265810</xdr:colOff>
      <xdr:row>102</xdr:row>
      <xdr:rowOff>151953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7123810" cy="3580953"/>
        </a:xfrm>
        <a:prstGeom prst="rect">
          <a:avLst/>
        </a:prstGeom>
      </xdr:spPr>
    </xdr:pic>
    <xdr:clientData/>
  </xdr:twoCellAnchor>
  <xdr:twoCellAnchor editAs="oneCell">
    <xdr:from>
      <xdr:col>0</xdr:col>
      <xdr:colOff>0</xdr:colOff>
      <xdr:row>103</xdr:row>
      <xdr:rowOff>0</xdr:rowOff>
    </xdr:from>
    <xdr:to>
      <xdr:col>10</xdr:col>
      <xdr:colOff>494381</xdr:colOff>
      <xdr:row>120</xdr:row>
      <xdr:rowOff>18684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659350"/>
          <a:ext cx="7352381" cy="2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132220</xdr:colOff>
      <xdr:row>15</xdr:row>
      <xdr:rowOff>66345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47620" cy="2638095"/>
        </a:xfrm>
        <a:prstGeom prst="rect">
          <a:avLst/>
        </a:prstGeom>
      </xdr:spPr>
    </xdr:pic>
    <xdr:clientData/>
  </xdr:twoCellAnchor>
  <xdr:twoCellAnchor editAs="oneCell">
    <xdr:from>
      <xdr:col>0</xdr:col>
      <xdr:colOff>0</xdr:colOff>
      <xdr:row>16</xdr:row>
      <xdr:rowOff>0</xdr:rowOff>
    </xdr:from>
    <xdr:to>
      <xdr:col>14</xdr:col>
      <xdr:colOff>160705</xdr:colOff>
      <xdr:row>31</xdr:row>
      <xdr:rowOff>123488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761905"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1271;&#19971;&#23478;-&#34081;&#26149;&#23068;20180607-132927-&#34081;&#26149;&#23068;20180607-150523-&#36213;&#38639;20180607-153527-&#34081;&#26149;&#23068;20180607-1541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2737;&#32736;&#20844;&#22253;-1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自持住宅"/>
      <sheetName val="不动产收益法-地下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不动产收益法-自持住宅</v>
          </cell>
        </row>
        <row r="21">
          <cell r="A21" t="str">
            <v>戊类库房</v>
          </cell>
          <cell r="B21" t="str">
            <v>不动产收益法-地下仓储</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自持住宅</v>
          </cell>
        </row>
        <row r="20">
          <cell r="C20" t="str">
            <v>销售住宅</v>
          </cell>
        </row>
        <row r="21">
          <cell r="C21" t="str">
            <v>地下仓储</v>
          </cell>
        </row>
        <row r="22">
          <cell r="C22" t="str">
            <v>地下车库</v>
          </cell>
        </row>
      </sheetData>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75">
          <cell r="A75" t="str">
            <v>交易情况</v>
          </cell>
          <cell r="C75" t="str">
            <v>正常</v>
          </cell>
        </row>
        <row r="77">
          <cell r="B77" t="str">
            <v>用途</v>
          </cell>
          <cell r="C77" t="str">
            <v>住宅</v>
          </cell>
          <cell r="D77" t="str">
            <v>住宅、商业、办公</v>
          </cell>
        </row>
        <row r="108">
          <cell r="B108" t="str">
            <v>毗邻道路的类型与等级</v>
          </cell>
          <cell r="C108" t="str">
            <v>高速路</v>
          </cell>
          <cell r="D108" t="str">
            <v>快速路</v>
          </cell>
          <cell r="E108" t="str">
            <v>主干道</v>
          </cell>
          <cell r="F108" t="str">
            <v>次干道</v>
          </cell>
          <cell r="G108" t="str">
            <v>支路</v>
          </cell>
          <cell r="H108" t="str">
            <v>不临</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8"/>
      <sheetData sheetId="19"/>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sheetName val="土地案例"/>
      <sheetName val="案例住宅"/>
      <sheetName val="案例车库"/>
      <sheetName val="18东区+西区未售"/>
      <sheetName val="18西B"/>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56955.770000000004</v>
          </cell>
          <cell r="C14">
            <v>26658.01</v>
          </cell>
          <cell r="D14">
            <v>153872</v>
          </cell>
          <cell r="G14">
            <v>153872</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北京市昌平区北七家镇（中心起步区（海鶄落新村建设）项目一期）HQL-13地块、18地块二宗住宅用地出让国有建设用地使用权出让国有建设用地使用权房地产抵押价值预评估</v>
      </c>
    </row>
    <row r="3" spans="1:2" s="1596" customFormat="1">
      <c r="A3" s="1594" t="s">
        <v>1221</v>
      </c>
      <c r="B3" s="1595" t="str">
        <f>'预评函-封皮'!B40</f>
        <v>北京昌业房地产开发有限公司</v>
      </c>
    </row>
    <row r="4" spans="1:2" s="1596" customFormat="1">
      <c r="A4" s="1594" t="s">
        <v>1222</v>
      </c>
      <c r="B4" s="1595" t="str">
        <f ca="1">'预评函-封皮'!B46</f>
        <v>郑燚（注册号：1120070131)、崔锴（注册号：1120100036)</v>
      </c>
    </row>
    <row r="5" spans="1:2" s="1590" customFormat="1" ht="15" thickBot="1">
      <c r="A5" s="1597" t="s">
        <v>1223</v>
      </c>
      <c r="B5" s="1598" t="str">
        <f>'预评函-封皮'!B49</f>
        <v>康正预评字2018-1-0695-P01DYGJ1号</v>
      </c>
    </row>
    <row r="6" spans="1:2" s="1593" customFormat="1" ht="15" thickTop="1">
      <c r="A6" s="1591" t="s">
        <v>1224</v>
      </c>
      <c r="B6" s="1592" t="str">
        <f>'预评函-1'!A4</f>
        <v>受贵公司委托，我公司对北京市昌平区北七家镇（中心起步区（海鶄落新村建设）项目一期）HQL-13地块、18地块二宗住宅用地出让国有建设用地使用权出让国有建设用地使用权抵押价值进行了预评估。</v>
      </c>
    </row>
    <row r="7" spans="1:2" s="1596" customFormat="1">
      <c r="A7" s="1594" t="s">
        <v>1264</v>
      </c>
      <c r="B7" s="1595" t="str">
        <f>'预评函-1'!A7</f>
        <v>估价对象为北京市昌平区北七家镇（中心起步区（海鶄落新村建设）项目一期）HQL-13地块、18地块二宗住宅用地出让国有建设用地使用权出让国有建设用地使用权，为北京昌业房地产开发有限公司所有。根据《不动产权证书》[京（2016）昌平区不动产权第0000033号]，估价对象（分摊）出让国有建设用地使用权面积为44764.76平方米。根据《HQL-13地块主要技术经济指标》，估价对象建筑面积为95346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北七家镇（中心起步区（海鶄落新村建设）项目一期）HQL-13地块、18地块二宗住宅用地出让国有建设用地使用权出让国有建设用地使用权,属北京昌业房地产开发有限公司开发建设的居住项目，该项目尚在开发建设中。根据《不动产权证书》[京（2016）昌平区不动产权第0000033号]，估价对象（分摊）出让国有建设用地使用权面积为44764.76平方米。根据《HQL-13地块主要技术经济指标》，估价对象规划建筑面积为95346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为估价委托人在向中国银行总行北京分行王府井支行办理贷款手续过程中，确定房地产抵押贷款额度提供参考依据而评估房地产抵押价值。</v>
      </c>
    </row>
    <row r="12" spans="1:2" s="1596" customFormat="1">
      <c r="A12" s="1594" t="s">
        <v>1226</v>
      </c>
      <c r="B12" s="1595" t="str">
        <f>'预评函-1'!A15</f>
        <v>2018年10月8日（评估专业人员实地查勘之日）</v>
      </c>
    </row>
    <row r="13" spans="1:2" s="1596" customFormat="1">
      <c r="A13" s="1594" t="s">
        <v>1227</v>
      </c>
      <c r="B13" s="1595" t="str">
        <f>'预评函-1'!A18</f>
        <v>本次估价的“房地产价值”是指在正常市场情况下，在价值时点2018年10月8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201800</v>
      </c>
    </row>
    <row r="21" spans="1:2" s="1596" customFormat="1">
      <c r="A21" s="1594" t="s">
        <v>1235</v>
      </c>
      <c r="B21" s="1595">
        <f ca="1">'预评函-2'!D7</f>
        <v>21165</v>
      </c>
    </row>
    <row r="22" spans="1:2" s="1596" customFormat="1">
      <c r="A22" s="1594" t="s">
        <v>1236</v>
      </c>
      <c r="B22" s="1595" t="str">
        <f ca="1">'预评函-2'!D6</f>
        <v>贰拾亿壹仟捌佰万元整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201800</v>
      </c>
    </row>
    <row r="31" spans="1:2" s="1596" customFormat="1">
      <c r="A31" s="1594" t="s">
        <v>1274</v>
      </c>
      <c r="B31" s="1595">
        <f ca="1">'预评函-2'!D15</f>
        <v>21165</v>
      </c>
    </row>
    <row r="32" spans="1:2" s="1596" customFormat="1">
      <c r="A32" s="1594" t="s">
        <v>1241</v>
      </c>
      <c r="B32" s="1595" t="str">
        <f ca="1">'预评函-2'!D14</f>
        <v>贰拾亿壹仟捌佰万元整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北京市昌平区北七家镇（中心起步区（海鶄落新村建设）项目一期）HQL-13地块、18地块二宗住宅用地出让国有建设用地使用权出让国有建设用地使用权</v>
      </c>
    </row>
    <row r="42" spans="1:2" s="1596" customFormat="1">
      <c r="A42" s="1594" t="s">
        <v>1288</v>
      </c>
      <c r="B42" s="1595" t="str">
        <f>'预评函-3'!B2</f>
        <v>建筑面积</v>
      </c>
    </row>
    <row r="43" spans="1:2" s="1596" customFormat="1">
      <c r="A43" s="1594" t="s">
        <v>1289</v>
      </c>
      <c r="B43" s="1595">
        <f>'预评函-3'!B4</f>
        <v>95346</v>
      </c>
    </row>
    <row r="44" spans="1:2" s="1596" customFormat="1">
      <c r="A44" s="1594" t="s">
        <v>1273</v>
      </c>
      <c r="B44" s="1595" t="str">
        <f>'预评函-3'!C2</f>
        <v>(分摊)土地面积</v>
      </c>
    </row>
    <row r="45" spans="1:2" s="1596" customFormat="1">
      <c r="A45" s="1594" t="s">
        <v>1245</v>
      </c>
      <c r="B45" s="1595">
        <f>'预评函-3'!C4</f>
        <v>44764.76</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为估价委托人在向中国银行总行北京分行王府井支行办理贷款手续过程中，确定房地产抵押贷款额度提供参考依据而评估房地产抵押价值。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业房地产开发有限公司拟使用北京市昌平区北七家镇（中心起步区（海鶄落新村建设）项目一期）HQL-13地块、18地块二宗住宅用地出让国有建设用地使用权出让国有建设用地使用权作为抵押担保物，向中国银行总行北京分行王府井支行办理贷款手续。中国银行总行北京分行王府井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5" t="s">
        <v>864</v>
      </c>
      <c r="C54" s="2022" t="s">
        <v>1281</v>
      </c>
    </row>
    <row r="55" spans="1:4">
      <c r="A55" s="3007"/>
      <c r="B55" s="2025" t="s">
        <v>865</v>
      </c>
      <c r="C55" s="2022" t="s">
        <v>1282</v>
      </c>
    </row>
    <row r="56" spans="1:4">
      <c r="A56" s="3007"/>
      <c r="B56" s="2025" t="s">
        <v>866</v>
      </c>
      <c r="C56" s="2022" t="s">
        <v>1286</v>
      </c>
    </row>
    <row r="57" spans="1:4">
      <c r="A57" s="300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23" sqref="I2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16" t="str">
        <f>IF(B10="北京市","北京市",C10)&amp;F10&amp;IF(结果表!G1="在建","出让国有建设用地使用权及在建建筑物",IF(结果表!G1="土地","出让国有建设用地使用权",))&amp;B9&amp;"预评估"</f>
        <v>北京市昌平区北七家镇（中心起步区（海鶄落新村建设）项目一期）HQL-13地块、18地块二宗住宅用地出让国有建设用地使用权出让国有建设用地使用权房地产抵押价值预评估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北京市昌平区北七家镇（中心起步区（海鶄落新村建设）项目一期）HQL-13地块、18地块二宗住宅用地出让国有建设用地使用权出让国有建设用地使用权抵押价值</v>
      </c>
    </row>
    <row r="2" spans="1:19" ht="18" customHeight="1">
      <c r="A2" s="2029" t="s">
        <v>1777</v>
      </c>
      <c r="B2" s="1042" t="s">
        <v>3227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北京市昌平区北七家镇（中心起步区（海鶄落新村建设）项目一期）HQL-13地块、18地块二宗住宅用地出让国有建设用地使用权出让国有建设用地使用权</v>
      </c>
    </row>
    <row r="3" spans="1:19" ht="18" customHeight="1">
      <c r="A3" s="2038" t="s">
        <v>1778</v>
      </c>
      <c r="B3" s="2039">
        <v>43381</v>
      </c>
      <c r="C3" s="2040" t="s">
        <v>1779</v>
      </c>
      <c r="D3" s="2039">
        <f>B3</f>
        <v>43381</v>
      </c>
      <c r="E3" s="2029"/>
      <c r="F3" s="2029"/>
      <c r="G3" s="2029"/>
      <c r="H3" s="2029"/>
      <c r="I3" s="2029"/>
      <c r="J3" s="2029"/>
      <c r="K3" s="2030"/>
      <c r="L3" s="2031"/>
      <c r="M3" s="2031"/>
      <c r="N3" s="2032"/>
      <c r="O3" s="2033"/>
      <c r="P3" s="2032"/>
      <c r="Q3" s="2032"/>
      <c r="R3" s="2032"/>
      <c r="S3" s="2034"/>
    </row>
    <row r="4" spans="1:19" ht="18" customHeight="1" thickBot="1">
      <c r="A4" s="2041" t="s">
        <v>1780</v>
      </c>
      <c r="B4" s="2042" t="s">
        <v>3228</v>
      </c>
      <c r="C4" s="1040">
        <f ca="1">SUMIF(注册房地产估价师,B4,估价师及机构信息!B3:B24)</f>
        <v>1120070131</v>
      </c>
      <c r="D4" s="2042" t="s">
        <v>3229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1781</v>
      </c>
      <c r="B5" s="2948" t="s">
        <v>3230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9" t="s">
        <v>3231</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北京昌业房地产开发有限公司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3232</v>
      </c>
      <c r="C8" s="2057"/>
      <c r="D8" s="3019" t="s">
        <v>1785</v>
      </c>
      <c r="E8" s="2058" t="s">
        <v>3233</v>
      </c>
      <c r="F8" s="2059"/>
      <c r="G8" s="2029"/>
      <c r="H8" s="2029"/>
      <c r="I8" s="2029"/>
      <c r="J8" s="2045"/>
      <c r="K8" s="2046"/>
      <c r="L8" s="2031"/>
      <c r="M8" s="2031"/>
      <c r="N8" s="2032"/>
      <c r="O8" s="2033"/>
      <c r="P8" s="2032"/>
      <c r="Q8" s="2032"/>
      <c r="R8" s="2032"/>
    </row>
    <row r="9" spans="1:19" ht="18" customHeight="1" thickBot="1">
      <c r="A9" s="2043" t="s">
        <v>1786</v>
      </c>
      <c r="B9" s="2060" t="s">
        <v>3233</v>
      </c>
      <c r="C9" s="2061"/>
      <c r="D9" s="3020"/>
      <c r="E9" s="2060"/>
      <c r="F9" s="2062"/>
      <c r="G9" s="2063"/>
      <c r="H9" s="2063"/>
      <c r="I9" s="2063"/>
      <c r="J9" s="2045"/>
      <c r="K9" s="2055"/>
      <c r="L9" s="2031"/>
      <c r="M9" s="2031"/>
      <c r="N9" s="2032"/>
      <c r="O9" s="2033"/>
      <c r="P9" s="2032"/>
      <c r="Q9" s="2032"/>
      <c r="R9" s="2032"/>
    </row>
    <row r="10" spans="1:19" ht="18" customHeight="1" thickTop="1">
      <c r="A10" s="2064" t="s">
        <v>1787</v>
      </c>
      <c r="B10" s="2065" t="s">
        <v>3078</v>
      </c>
      <c r="C10" s="2066"/>
      <c r="D10" s="2049"/>
      <c r="E10" s="2067" t="s">
        <v>1788</v>
      </c>
      <c r="F10" s="2068" t="s">
        <v>3236</v>
      </c>
      <c r="G10" s="2069"/>
      <c r="H10" s="2070"/>
      <c r="I10" s="2049"/>
      <c r="J10" s="2045"/>
      <c r="K10" s="2055"/>
      <c r="L10" s="2031"/>
      <c r="M10" s="2031"/>
      <c r="N10" s="2032"/>
      <c r="O10" s="2033"/>
      <c r="P10" s="2032"/>
      <c r="Q10" s="2032"/>
      <c r="R10" s="2032"/>
    </row>
    <row r="11" spans="1:19" ht="18" customHeight="1">
      <c r="A11" s="2071" t="s">
        <v>1789</v>
      </c>
      <c r="B11" s="2072" t="s">
        <v>3234</v>
      </c>
      <c r="C11" s="2073" t="str">
        <f>B5</f>
        <v>北京昌业房地产开发有限公司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3235</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v>67619</v>
      </c>
      <c r="E13" s="2081"/>
      <c r="F13" s="2081"/>
      <c r="G13" s="2081">
        <v>60314</v>
      </c>
      <c r="H13" s="2081"/>
      <c r="I13" s="1050"/>
      <c r="J13" s="2045"/>
      <c r="K13" s="2055"/>
      <c r="L13" s="2031"/>
      <c r="M13" s="2031"/>
      <c r="N13" s="2032"/>
      <c r="O13" s="2033"/>
      <c r="P13" s="2032"/>
      <c r="Q13" s="2032"/>
      <c r="R13" s="2032"/>
    </row>
    <row r="14" spans="1:19" ht="18" customHeight="1">
      <c r="A14" s="2078"/>
      <c r="B14" s="2079"/>
      <c r="C14" s="2080" t="s">
        <v>1799</v>
      </c>
      <c r="D14" s="1053">
        <v>70</v>
      </c>
      <c r="E14" s="1053"/>
      <c r="F14" s="1053"/>
      <c r="G14" s="1053">
        <v>50</v>
      </c>
      <c r="H14" s="1053"/>
      <c r="I14" s="1053"/>
      <c r="J14" s="2045"/>
      <c r="K14" s="2082"/>
      <c r="L14" s="2031"/>
      <c r="M14" s="2031"/>
      <c r="N14" s="2032"/>
      <c r="O14" s="2033"/>
      <c r="P14" s="2032"/>
      <c r="Q14" s="2032"/>
      <c r="R14" s="2032"/>
    </row>
    <row r="15" spans="1:19" ht="18" customHeight="1">
      <c r="A15" s="2064"/>
      <c r="B15" s="2083"/>
      <c r="C15" s="2080" t="s">
        <v>1800</v>
      </c>
      <c r="D15" s="1052">
        <f>IF(B12="出让",IF(D13="","",ROUNDDOWN(MIN((D13-$D$3)/365,D14),2)),D14)</f>
        <v>66.400000000000006</v>
      </c>
      <c r="E15" s="1052" t="str">
        <f>IF(B12="出让",IF(E13="","",ROUNDDOWN(MIN((E13-$D$3)/365,E14),2)),E14)</f>
        <v/>
      </c>
      <c r="F15" s="1052" t="str">
        <f>IF(B12="出让",IF(F13="","",ROUNDDOWN(MIN((F13-$D$3)/365,F14),2)),F14)</f>
        <v/>
      </c>
      <c r="G15" s="1052">
        <f>IF(B12="出让",IF(G13="","",ROUNDDOWN(MIN((G13-$D$3)/365,G14),2)),G14)</f>
        <v>46.39</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1801</v>
      </c>
      <c r="B16" s="3026"/>
      <c r="C16" s="3027"/>
      <c r="D16" s="3028"/>
      <c r="E16" s="2087" t="s">
        <v>1802</v>
      </c>
      <c r="F16" s="3029"/>
      <c r="G16" s="3030"/>
      <c r="H16" s="3030"/>
      <c r="I16" s="3031"/>
      <c r="J16" s="2032"/>
      <c r="K16" s="2084"/>
      <c r="L16" s="2085"/>
      <c r="M16" s="2085"/>
      <c r="N16" s="2086"/>
      <c r="O16" s="2085"/>
      <c r="P16" s="2086"/>
      <c r="Q16" s="2032"/>
      <c r="R16" s="2032"/>
    </row>
    <row r="17" spans="1:22" ht="18" customHeight="1">
      <c r="A17" s="2088" t="s">
        <v>1803</v>
      </c>
      <c r="B17" s="2038" t="s">
        <v>1804</v>
      </c>
      <c r="C17" s="1057">
        <f>'数据-汇总表'!E3</f>
        <v>95346</v>
      </c>
      <c r="D17" s="2089" t="s">
        <v>1805</v>
      </c>
      <c r="E17" s="3032" t="s">
        <v>3237</v>
      </c>
      <c r="F17" s="3033"/>
      <c r="G17" s="3033"/>
      <c r="H17" s="3033"/>
      <c r="I17" s="3034"/>
      <c r="J17" s="2032"/>
      <c r="K17" s="2090"/>
      <c r="L17" s="2085"/>
      <c r="M17" s="2085"/>
      <c r="N17" s="2086"/>
      <c r="O17" s="2085"/>
      <c r="P17" s="2086"/>
      <c r="Q17" s="2032"/>
      <c r="R17" s="2032"/>
      <c r="S17" s="2032"/>
      <c r="T17" s="2032"/>
      <c r="U17" s="2032"/>
      <c r="V17" s="2032"/>
    </row>
    <row r="18" spans="1:22" ht="36" customHeight="1" thickBot="1">
      <c r="A18" s="2091" t="s">
        <v>70</v>
      </c>
      <c r="B18" s="2041" t="s">
        <v>1806</v>
      </c>
      <c r="C18" s="1447">
        <f>'数据-汇总表'!D3</f>
        <v>44764.76</v>
      </c>
      <c r="D18" s="2092" t="s">
        <v>1805</v>
      </c>
      <c r="E18" s="3035" t="s">
        <v>3239</v>
      </c>
      <c r="F18" s="3036"/>
      <c r="G18" s="3036"/>
      <c r="H18" s="3036"/>
      <c r="I18" s="3037"/>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3240</v>
      </c>
      <c r="D19" s="2094" t="s">
        <v>1809</v>
      </c>
      <c r="E19" s="2095" t="s">
        <v>70</v>
      </c>
      <c r="F19" s="2096" t="str">
        <f>IF(AND(C19="是",E19="否"),"是否提供他项权证或相关说明","")</f>
        <v/>
      </c>
      <c r="G19" s="2097" t="s">
        <v>70</v>
      </c>
      <c r="H19" s="2045"/>
      <c r="I19" s="2045"/>
      <c r="J19" s="2045"/>
      <c r="K19" s="2055"/>
      <c r="L19" s="2031"/>
      <c r="M19" s="2031"/>
      <c r="N19" s="2086"/>
      <c r="O19" s="2085"/>
      <c r="P19" s="2086"/>
      <c r="Q19" s="2032"/>
      <c r="R19" s="2032"/>
      <c r="S19" s="2032"/>
      <c r="T19" s="2032"/>
      <c r="U19" s="2032"/>
      <c r="V19" s="2032"/>
    </row>
    <row r="20" spans="1:22" ht="18" customHeight="1">
      <c r="A20" s="2098" t="s">
        <v>1810</v>
      </c>
      <c r="B20" s="3022" t="s">
        <v>1811</v>
      </c>
      <c r="C20" s="3023"/>
      <c r="D20" s="3024" t="s">
        <v>1812</v>
      </c>
      <c r="E20" s="3025"/>
      <c r="F20" s="2099" t="s">
        <v>1813</v>
      </c>
      <c r="G20" s="2045"/>
      <c r="H20" s="2045"/>
      <c r="I20" s="2045"/>
      <c r="J20" s="2045"/>
      <c r="K20" s="3021" t="s">
        <v>1814</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1"/>
      <c r="N20" s="2086"/>
      <c r="O20" s="2085"/>
      <c r="P20" s="2086"/>
      <c r="Q20" s="2032"/>
      <c r="R20" s="2032"/>
      <c r="S20" s="2032"/>
      <c r="T20" s="2032"/>
      <c r="U20" s="2032"/>
      <c r="V20" s="2032"/>
    </row>
    <row r="21" spans="1:22" ht="24.75" customHeight="1">
      <c r="A21" s="2098"/>
      <c r="B21" s="2950" t="s">
        <v>3238</v>
      </c>
      <c r="C21" s="2100" t="s">
        <v>3241</v>
      </c>
      <c r="D21" s="2101"/>
      <c r="E21" s="2102"/>
      <c r="F21" s="2103"/>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4"/>
      <c r="C22" s="2100"/>
      <c r="D22" s="2029"/>
      <c r="E22" s="2029"/>
      <c r="F22" s="2105"/>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6" t="s">
        <v>1815</v>
      </c>
      <c r="B23" s="183" t="s">
        <v>1816</v>
      </c>
      <c r="C23" s="2107"/>
      <c r="D23" s="2108" t="s">
        <v>1816</v>
      </c>
      <c r="E23" s="2109"/>
      <c r="F23" s="2105"/>
      <c r="G23" s="2045"/>
      <c r="H23" s="2045"/>
      <c r="I23" s="2045"/>
      <c r="J23" s="2045"/>
      <c r="K23" s="2110"/>
      <c r="L23" s="748"/>
      <c r="M23" s="2031"/>
      <c r="N23" s="2086"/>
      <c r="O23" s="2085"/>
      <c r="P23" s="2086"/>
      <c r="Q23" s="2032"/>
      <c r="R23" s="2032"/>
      <c r="S23" s="2032"/>
      <c r="T23" s="2032"/>
      <c r="U23" s="2032"/>
      <c r="V23" s="2032"/>
    </row>
    <row r="24" spans="1:22" ht="18" customHeight="1">
      <c r="A24" s="2111"/>
      <c r="B24" s="183" t="s">
        <v>1817</v>
      </c>
      <c r="C24" s="2112"/>
      <c r="D24" s="2106" t="s">
        <v>1817</v>
      </c>
      <c r="E24" s="2113"/>
      <c r="F24" s="2105"/>
      <c r="G24" s="2045"/>
      <c r="H24" s="2045"/>
      <c r="I24" s="2045"/>
      <c r="J24" s="2045"/>
      <c r="K24" s="2110"/>
      <c r="L24" s="748"/>
      <c r="M24" s="2031"/>
      <c r="N24" s="2086"/>
      <c r="O24" s="2085"/>
      <c r="P24" s="2086"/>
      <c r="Q24" s="2032"/>
      <c r="R24" s="2032"/>
      <c r="S24" s="2032"/>
      <c r="T24" s="2032"/>
      <c r="U24" s="2032"/>
      <c r="V24" s="2032"/>
    </row>
    <row r="25" spans="1:22" ht="18" customHeight="1">
      <c r="A25" s="2111"/>
      <c r="B25" s="183" t="s">
        <v>1818</v>
      </c>
      <c r="C25" s="2112"/>
      <c r="D25" s="2106" t="s">
        <v>1818</v>
      </c>
      <c r="E25" s="2113"/>
      <c r="F25" s="2105"/>
      <c r="G25" s="2045"/>
      <c r="H25" s="2045"/>
      <c r="I25" s="2045"/>
      <c r="J25" s="2045"/>
      <c r="K25" s="2055"/>
      <c r="L25" s="2031"/>
      <c r="M25" s="2031"/>
      <c r="N25" s="2086"/>
      <c r="O25" s="2085"/>
      <c r="P25" s="2086"/>
      <c r="Q25" s="2032"/>
      <c r="R25" s="2032"/>
      <c r="S25" s="2032"/>
      <c r="T25" s="2032"/>
      <c r="U25" s="2032"/>
      <c r="V25" s="2032"/>
    </row>
    <row r="26" spans="1:22" ht="18" customHeight="1" thickBot="1">
      <c r="A26" s="2114"/>
      <c r="B26" s="2115" t="s">
        <v>1819</v>
      </c>
      <c r="C26" s="2116"/>
      <c r="D26" s="2117" t="s">
        <v>1820</v>
      </c>
      <c r="E26" s="2118"/>
      <c r="F26" s="2119"/>
      <c r="G26" s="2063"/>
      <c r="H26" s="2063"/>
      <c r="I26" s="2063"/>
      <c r="J26" s="2045"/>
      <c r="K26" s="2055"/>
      <c r="L26" s="2031"/>
      <c r="M26" s="2031"/>
      <c r="N26" s="2086"/>
      <c r="O26" s="2085"/>
      <c r="P26" s="2086"/>
      <c r="Q26" s="2032"/>
      <c r="R26" s="2032"/>
      <c r="S26" s="2032"/>
      <c r="T26" s="2032"/>
      <c r="U26" s="2032"/>
      <c r="V26" s="2032"/>
    </row>
    <row r="27" spans="1:22" ht="18" customHeight="1" thickTop="1">
      <c r="A27" s="3009" t="s">
        <v>1821</v>
      </c>
      <c r="B27" s="2064" t="s">
        <v>1822</v>
      </c>
      <c r="C27" s="2120" t="s">
        <v>3242</v>
      </c>
      <c r="D27" s="2121"/>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09"/>
      <c r="B28" s="2038" t="s">
        <v>1823</v>
      </c>
      <c r="C28" s="2122" t="s">
        <v>3243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9"/>
      <c r="B29" s="2038" t="s">
        <v>1824</v>
      </c>
      <c r="C29" s="2125" t="s">
        <v>3240</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0"/>
      <c r="B30" s="2038" t="s">
        <v>1825</v>
      </c>
      <c r="C30" s="3011"/>
      <c r="D30" s="3012"/>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3" t="s">
        <v>1826</v>
      </c>
      <c r="B31" s="2127" t="s">
        <v>3244</v>
      </c>
      <c r="C31" s="2128" t="str">
        <f>IF(B31="现房","成新及维护状况正常否",IF(B31="在建","工程状态是否正常",IF(B31="土地","是否闲置","-")))</f>
        <v>是否闲置</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14"/>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14"/>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1827</v>
      </c>
      <c r="B34" s="2134" t="s">
        <v>3245</v>
      </c>
      <c r="C34" s="2134" t="s">
        <v>3246</v>
      </c>
      <c r="D34" s="2134" t="s">
        <v>3247</v>
      </c>
      <c r="E34" s="2134" t="s">
        <v>3248</v>
      </c>
      <c r="F34" s="2134" t="s">
        <v>3249</v>
      </c>
      <c r="G34" s="2134" t="s">
        <v>3250</v>
      </c>
      <c r="H34" s="2134"/>
      <c r="I34" s="2045"/>
      <c r="J34" s="2045"/>
      <c r="K34" s="1798">
        <f>COUNTIF(B34:H34,"——")</f>
        <v>0</v>
      </c>
      <c r="L34" s="2076" t="s">
        <v>1828</v>
      </c>
      <c r="M34" s="2076" t="s">
        <v>1829</v>
      </c>
      <c r="N34" s="2076" t="s">
        <v>1830</v>
      </c>
      <c r="O34" s="2076" t="s">
        <v>1831</v>
      </c>
      <c r="P34" s="2076" t="s">
        <v>1832</v>
      </c>
      <c r="Q34" s="2076" t="s">
        <v>1833</v>
      </c>
      <c r="R34" s="2076" t="s">
        <v>1834</v>
      </c>
      <c r="S34" s="3008" t="s">
        <v>1835</v>
      </c>
      <c r="T34" s="2135" t="str">
        <f>NUMBERSTRING(7-K34,1)&amp;"通"</f>
        <v>七通</v>
      </c>
      <c r="U34" s="2032"/>
      <c r="V34" s="2032"/>
    </row>
    <row r="35" spans="1:22" ht="18" customHeight="1">
      <c r="A35" s="2136"/>
      <c r="B35" s="3015" t="s">
        <v>1836</v>
      </c>
      <c r="C35" s="3015"/>
      <c r="D35" s="3015"/>
      <c r="E35" s="3015"/>
      <c r="F35" s="2137">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8"/>
      <c r="T35" s="48" t="str">
        <f>IF(T34="一通",L35,IF(T34="二通",M35,IF(T34="三通",N35,IF(T34="四通",O35,IF(T34="五通",P35,IF(T34="六通",Q35,R35))))))</f>
        <v>通路、通电、通讯、通上水、通下水、燃气、</v>
      </c>
      <c r="U35" s="2032"/>
      <c r="V35" s="2032"/>
    </row>
    <row r="36" spans="1:22" ht="18" customHeight="1">
      <c r="A36" s="2138"/>
      <c r="B36" s="2137" t="s">
        <v>1837</v>
      </c>
      <c r="C36" s="2137" t="s">
        <v>1838</v>
      </c>
      <c r="D36" s="2137" t="s">
        <v>1839</v>
      </c>
      <c r="E36" s="2137" t="s">
        <v>1840</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1841</v>
      </c>
      <c r="B37" s="2141"/>
      <c r="C37" s="2141"/>
      <c r="D37" s="2141" t="s">
        <v>526</v>
      </c>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1842</v>
      </c>
      <c r="B38" s="2143"/>
      <c r="C38" s="2143"/>
      <c r="D38" s="2951" t="s">
        <v>439</v>
      </c>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6"/>
      <c r="K40" s="666"/>
      <c r="L40" s="2085"/>
      <c r="M40" s="2085"/>
      <c r="N40" s="2086"/>
      <c r="O40" s="2085"/>
      <c r="P40" s="2032"/>
      <c r="Q40" s="2032"/>
      <c r="R40" s="2032"/>
      <c r="S40" s="2032"/>
      <c r="T40" s="2032"/>
      <c r="U40" s="2032"/>
      <c r="V40" s="2032"/>
    </row>
    <row r="41" spans="1:22" ht="18" customHeight="1">
      <c r="A41" s="8" t="s">
        <v>1844</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6" t="s">
        <v>1845</v>
      </c>
      <c r="B42" s="1798" t="s">
        <v>1846</v>
      </c>
      <c r="C42" s="1798" t="s">
        <v>1847</v>
      </c>
      <c r="D42" s="1798" t="s">
        <v>1848</v>
      </c>
      <c r="E42" s="1798" t="s">
        <v>1849</v>
      </c>
      <c r="F42" s="1798" t="s">
        <v>1850</v>
      </c>
      <c r="G42" s="1798" t="s">
        <v>1851</v>
      </c>
      <c r="H42" s="1798" t="s">
        <v>1852</v>
      </c>
      <c r="I42" s="1798" t="s">
        <v>1853</v>
      </c>
      <c r="J42" s="2153" t="s">
        <v>1854</v>
      </c>
      <c r="K42" s="2077" t="s">
        <v>1855</v>
      </c>
      <c r="L42" s="2077" t="s">
        <v>1856</v>
      </c>
      <c r="M42" s="2077" t="s">
        <v>1857</v>
      </c>
      <c r="N42" s="1798" t="s">
        <v>1858</v>
      </c>
      <c r="O42" s="1798" t="s">
        <v>1859</v>
      </c>
      <c r="P42" s="1798" t="s">
        <v>1860</v>
      </c>
      <c r="Q42" s="2076" t="s">
        <v>1861</v>
      </c>
      <c r="R42" s="2076" t="s">
        <v>1862</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1865</v>
      </c>
      <c r="B2" s="11" t="s">
        <v>1866</v>
      </c>
      <c r="C2" s="11" t="s">
        <v>1867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1868</v>
      </c>
      <c r="AZ2" s="1273" t="s">
        <v>1869</v>
      </c>
      <c r="BA2" s="11" t="s">
        <v>1870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44764.76</v>
      </c>
      <c r="B3" s="14">
        <f>IF(C3="否",G5-AT5,G5)</f>
        <v>95346</v>
      </c>
      <c r="C3" s="2169" t="s">
        <v>1871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1872</v>
      </c>
      <c r="B5" s="1806"/>
      <c r="C5" s="1806"/>
      <c r="D5" s="1809"/>
      <c r="E5" s="16" t="s">
        <v>1</v>
      </c>
      <c r="F5" s="16">
        <f>SUM(F13:F587)</f>
        <v>0</v>
      </c>
      <c r="G5" s="16">
        <f>SUM(G13:G587)</f>
        <v>95346</v>
      </c>
      <c r="H5" s="16">
        <f t="shared" ref="H5:AT5" si="0">SUM(H13:H656)</f>
        <v>69908</v>
      </c>
      <c r="I5" s="16">
        <f t="shared" si="0"/>
        <v>52468</v>
      </c>
      <c r="J5" s="16">
        <f t="shared" si="0"/>
        <v>0</v>
      </c>
      <c r="K5" s="16">
        <f t="shared" si="0"/>
        <v>17440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25438</v>
      </c>
      <c r="AD5" s="16">
        <f t="shared" si="0"/>
        <v>1250</v>
      </c>
      <c r="AE5" s="16">
        <f t="shared" si="0"/>
        <v>0</v>
      </c>
      <c r="AF5" s="16">
        <f t="shared" si="0"/>
        <v>15</v>
      </c>
      <c r="AG5" s="16">
        <f t="shared" si="0"/>
        <v>0</v>
      </c>
      <c r="AH5" s="16">
        <f t="shared" si="0"/>
        <v>0</v>
      </c>
      <c r="AI5" s="16">
        <f t="shared" si="0"/>
        <v>0</v>
      </c>
      <c r="AJ5" s="16">
        <f t="shared" si="0"/>
        <v>0</v>
      </c>
      <c r="AK5" s="16">
        <f t="shared" si="0"/>
        <v>0</v>
      </c>
      <c r="AL5" s="16">
        <f t="shared" si="0"/>
        <v>0</v>
      </c>
      <c r="AM5" s="16">
        <f t="shared" si="0"/>
        <v>0</v>
      </c>
      <c r="AN5" s="16">
        <f t="shared" si="0"/>
        <v>24173</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95346</v>
      </c>
      <c r="BA5" s="18">
        <f t="shared" si="1"/>
        <v>69908</v>
      </c>
      <c r="BB5" s="18">
        <f t="shared" si="1"/>
        <v>52468</v>
      </c>
      <c r="BC5" s="18">
        <f t="shared" si="1"/>
        <v>17440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25438</v>
      </c>
      <c r="BM5" s="18">
        <f t="shared" si="1"/>
        <v>1250</v>
      </c>
      <c r="BN5" s="18">
        <f t="shared" si="1"/>
        <v>15</v>
      </c>
      <c r="BO5" s="18">
        <f t="shared" si="1"/>
        <v>0</v>
      </c>
      <c r="BP5" s="18">
        <f t="shared" si="1"/>
        <v>0</v>
      </c>
      <c r="BQ5" s="18">
        <f t="shared" si="1"/>
        <v>0</v>
      </c>
      <c r="BR5" s="18">
        <f t="shared" si="1"/>
        <v>24173</v>
      </c>
      <c r="BS5" s="18">
        <f t="shared" si="1"/>
        <v>0</v>
      </c>
      <c r="BT5" s="19">
        <f t="shared" si="1"/>
        <v>0</v>
      </c>
    </row>
    <row r="6" spans="1:72" s="2178" customFormat="1" ht="12.75">
      <c r="A6" s="15" t="s">
        <v>1873</v>
      </c>
      <c r="B6" s="2175"/>
      <c r="C6" s="2175"/>
      <c r="D6" s="2176"/>
      <c r="E6" s="16">
        <f>H6+AC6+AT6</f>
        <v>44764.759999999995</v>
      </c>
      <c r="F6" s="16" t="s">
        <v>1</v>
      </c>
      <c r="G6" s="16" t="s">
        <v>2</v>
      </c>
      <c r="H6" s="20">
        <f>SUMIF(I$12:AB$12,"总值",I6:AB6)</f>
        <v>32821.67</v>
      </c>
      <c r="I6" s="16">
        <f t="shared" ref="I6:AB6" si="2">ROUND($A$3*I5/$B$3,2)</f>
        <v>24633.62</v>
      </c>
      <c r="J6" s="16">
        <f t="shared" si="2"/>
        <v>0</v>
      </c>
      <c r="K6" s="16">
        <f t="shared" si="2"/>
        <v>8188.05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11943.09</v>
      </c>
      <c r="AD6" s="16">
        <f t="shared" ref="AD6:AS6" si="3">ROUND($A$3*AD5/$B$3,2)</f>
        <v>586.87</v>
      </c>
      <c r="AE6" s="16">
        <f t="shared" si="3"/>
        <v>0</v>
      </c>
      <c r="AF6" s="16">
        <f t="shared" si="3"/>
        <v>7.04</v>
      </c>
      <c r="AG6" s="16">
        <f t="shared" si="3"/>
        <v>0</v>
      </c>
      <c r="AH6" s="16">
        <f t="shared" si="3"/>
        <v>0</v>
      </c>
      <c r="AI6" s="16">
        <f t="shared" si="3"/>
        <v>0</v>
      </c>
      <c r="AJ6" s="16">
        <f t="shared" si="3"/>
        <v>0</v>
      </c>
      <c r="AK6" s="16">
        <f t="shared" si="3"/>
        <v>0</v>
      </c>
      <c r="AL6" s="16">
        <f t="shared" si="3"/>
        <v>0</v>
      </c>
      <c r="AM6" s="16">
        <f t="shared" si="3"/>
        <v>0</v>
      </c>
      <c r="AN6" s="16">
        <f t="shared" si="3"/>
        <v>11349.18</v>
      </c>
      <c r="AO6" s="16">
        <f t="shared" si="3"/>
        <v>0</v>
      </c>
      <c r="AP6" s="16">
        <f t="shared" si="3"/>
        <v>0</v>
      </c>
      <c r="AQ6" s="16">
        <f t="shared" si="3"/>
        <v>0</v>
      </c>
      <c r="AR6" s="16">
        <f t="shared" si="3"/>
        <v>0</v>
      </c>
      <c r="AS6" s="16">
        <f t="shared" si="3"/>
        <v>0</v>
      </c>
      <c r="AT6" s="20">
        <f>IF(C3="是",ROUND($A$3*AT5/$B$3,2),0)</f>
        <v>0</v>
      </c>
      <c r="AU6" s="2177"/>
      <c r="AV6" s="15" t="s">
        <v>1873</v>
      </c>
      <c r="AW6" s="2175"/>
      <c r="AX6" s="2175"/>
      <c r="AY6" s="21">
        <f>IF(AY3&gt;0,AY3,ROUND($A$3*AZ5/$B$3,2))</f>
        <v>44764.76</v>
      </c>
      <c r="AZ6" s="16" t="s">
        <v>3</v>
      </c>
      <c r="BA6" s="16">
        <f>ROUND($AY$6*BA5/$AZ$5,2)</f>
        <v>32821.67</v>
      </c>
      <c r="BB6" s="16">
        <f>ROUND($AY$6*BB5/$AZ$5,2)</f>
        <v>24633.62</v>
      </c>
      <c r="BC6" s="16">
        <f t="shared" ref="BC6:BH6" si="4">ROUND($AY$6*BC5/$AZ$5,2)</f>
        <v>8188.05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11943.09</v>
      </c>
      <c r="BM6" s="16">
        <f t="shared" si="5"/>
        <v>586.87</v>
      </c>
      <c r="BN6" s="16">
        <f t="shared" si="5"/>
        <v>7.04</v>
      </c>
      <c r="BO6" s="16">
        <f t="shared" si="5"/>
        <v>0</v>
      </c>
      <c r="BP6" s="16">
        <f t="shared" si="5"/>
        <v>0</v>
      </c>
      <c r="BQ6" s="16">
        <f t="shared" si="5"/>
        <v>0</v>
      </c>
      <c r="BR6" s="16">
        <f t="shared" si="5"/>
        <v>11349.18</v>
      </c>
      <c r="BS6" s="16">
        <f t="shared" si="5"/>
        <v>0</v>
      </c>
      <c r="BT6" s="22">
        <f t="shared" si="5"/>
        <v>0</v>
      </c>
    </row>
    <row r="7" spans="1:72" s="2168" customFormat="1" ht="24.75">
      <c r="A7" s="2110" t="s">
        <v>1874</v>
      </c>
      <c r="B7" s="2110" t="s">
        <v>1875</v>
      </c>
      <c r="C7" s="2110" t="s">
        <v>1876</v>
      </c>
      <c r="D7" s="2110" t="s">
        <v>1877</v>
      </c>
      <c r="E7" s="2110" t="s">
        <v>1878</v>
      </c>
      <c r="F7" s="2110" t="s">
        <v>1879</v>
      </c>
      <c r="G7" s="2179" t="s">
        <v>1880</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1881</v>
      </c>
      <c r="AV7" s="23" t="s">
        <v>1882</v>
      </c>
      <c r="AW7" s="2167" t="s">
        <v>1883</v>
      </c>
      <c r="AX7" s="23" t="s">
        <v>1876</v>
      </c>
      <c r="AY7" s="1806" t="s">
        <v>1884</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1885</v>
      </c>
      <c r="H8" s="2185" t="s">
        <v>1886</v>
      </c>
      <c r="I8" s="2186"/>
      <c r="J8" s="1821"/>
      <c r="K8" s="1821"/>
      <c r="L8" s="1821"/>
      <c r="M8" s="1821"/>
      <c r="N8" s="1821"/>
      <c r="O8" s="1821"/>
      <c r="P8" s="1821"/>
      <c r="Q8" s="1821"/>
      <c r="R8" s="1821"/>
      <c r="S8" s="1821"/>
      <c r="T8" s="1821"/>
      <c r="U8" s="1821"/>
      <c r="V8" s="2187"/>
      <c r="W8" s="1821"/>
      <c r="X8" s="1821"/>
      <c r="Y8" s="1821"/>
      <c r="Z8" s="1821"/>
      <c r="AA8" s="2187"/>
      <c r="AB8" s="2188"/>
      <c r="AC8" s="984" t="s">
        <v>1887</v>
      </c>
      <c r="AD8" s="2189"/>
      <c r="AE8" s="2181"/>
      <c r="AF8" s="1821"/>
      <c r="AG8" s="1821"/>
      <c r="AH8" s="1821"/>
      <c r="AI8" s="1821"/>
      <c r="AJ8" s="1821"/>
      <c r="AK8" s="1821"/>
      <c r="AL8" s="1821"/>
      <c r="AM8" s="1821"/>
      <c r="AN8" s="1821"/>
      <c r="AO8" s="1821"/>
      <c r="AP8" s="1821"/>
      <c r="AQ8" s="1821"/>
      <c r="AR8" s="1821"/>
      <c r="AS8" s="1821"/>
      <c r="AT8" s="1295" t="s">
        <v>1888</v>
      </c>
      <c r="AU8" s="2183" t="s">
        <v>1889</v>
      </c>
      <c r="AV8" s="1295"/>
      <c r="AW8" s="2166"/>
      <c r="AX8" s="1295"/>
      <c r="AY8" s="2167"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1892</v>
      </c>
      <c r="I9" s="2192" t="s">
        <v>3251</v>
      </c>
      <c r="J9" s="984"/>
      <c r="K9" s="2192" t="s">
        <v>3255</v>
      </c>
      <c r="L9" s="984"/>
      <c r="M9" s="2192"/>
      <c r="N9" s="984"/>
      <c r="O9" s="2192"/>
      <c r="P9" s="984"/>
      <c r="Q9" s="2192"/>
      <c r="R9" s="984"/>
      <c r="S9" s="2192"/>
      <c r="T9" s="984"/>
      <c r="U9" s="2192"/>
      <c r="V9" s="984"/>
      <c r="W9" s="2192"/>
      <c r="X9" s="2193"/>
      <c r="Y9" s="2192"/>
      <c r="Z9" s="984"/>
      <c r="AA9" s="2192"/>
      <c r="AB9" s="984"/>
      <c r="AC9" s="2184"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4"/>
      <c r="AT9" s="2183"/>
      <c r="AU9" s="2183" t="s">
        <v>1895</v>
      </c>
      <c r="AV9" s="1295"/>
      <c r="AW9" s="2166"/>
      <c r="AX9" s="1295"/>
      <c r="AY9" s="28"/>
      <c r="AZ9" s="28" t="s">
        <v>1885</v>
      </c>
      <c r="BA9" s="2195" t="s">
        <v>1896</v>
      </c>
      <c r="BB9" s="2196"/>
      <c r="BC9" s="1341"/>
      <c r="BD9" s="1341"/>
      <c r="BE9" s="1341"/>
      <c r="BF9" s="1341"/>
      <c r="BG9" s="1341"/>
      <c r="BH9" s="1341"/>
      <c r="BI9" s="1341"/>
      <c r="BJ9" s="1341"/>
      <c r="BK9" s="2197"/>
      <c r="BL9" s="15" t="s">
        <v>1897</v>
      </c>
      <c r="BM9" s="1821"/>
      <c r="BN9" s="2186"/>
      <c r="BO9" s="1821"/>
      <c r="BP9" s="1821"/>
      <c r="BQ9" s="1821"/>
      <c r="BR9" s="1821"/>
      <c r="BS9" s="1821"/>
      <c r="BT9" s="26"/>
    </row>
    <row r="10" spans="1:72" s="2190" customFormat="1" ht="12.75">
      <c r="A10" s="2183"/>
      <c r="B10" s="2183"/>
      <c r="C10" s="2183"/>
      <c r="D10" s="2183"/>
      <c r="E10" s="2183"/>
      <c r="F10" s="2183"/>
      <c r="G10" s="1295"/>
      <c r="H10" s="28"/>
      <c r="I10" s="2192" t="s">
        <v>3252</v>
      </c>
      <c r="J10" s="984"/>
      <c r="K10" s="2198" t="s">
        <v>3256</v>
      </c>
      <c r="L10" s="984"/>
      <c r="M10" s="2198"/>
      <c r="N10" s="984"/>
      <c r="O10" s="2198"/>
      <c r="P10" s="984"/>
      <c r="Q10" s="2198"/>
      <c r="R10" s="984"/>
      <c r="S10" s="2198"/>
      <c r="T10" s="984"/>
      <c r="U10" s="2198"/>
      <c r="V10" s="984"/>
      <c r="W10" s="2198"/>
      <c r="X10" s="984"/>
      <c r="Y10" s="2198"/>
      <c r="Z10" s="984"/>
      <c r="AA10" s="2198"/>
      <c r="AB10" s="984"/>
      <c r="AC10" s="1295"/>
      <c r="AD10" s="15" t="s">
        <v>1898</v>
      </c>
      <c r="AE10" s="2199"/>
      <c r="AF10" s="15" t="s">
        <v>1898</v>
      </c>
      <c r="AG10" s="2199"/>
      <c r="AH10" s="15" t="s">
        <v>1899</v>
      </c>
      <c r="AI10" s="2199"/>
      <c r="AJ10" s="15" t="s">
        <v>1899</v>
      </c>
      <c r="AK10" s="2199"/>
      <c r="AL10" s="15" t="s">
        <v>1900</v>
      </c>
      <c r="AM10" s="1301"/>
      <c r="AN10" s="15" t="s">
        <v>1900</v>
      </c>
      <c r="AO10" s="1301"/>
      <c r="AP10" s="15" t="s">
        <v>1901</v>
      </c>
      <c r="AQ10" s="1301"/>
      <c r="AR10" s="15" t="s">
        <v>1901</v>
      </c>
      <c r="AS10" s="1301"/>
      <c r="AT10" s="2183"/>
      <c r="AU10" s="2183"/>
      <c r="AV10" s="1295"/>
      <c r="AW10" s="2166"/>
      <c r="AX10" s="1295"/>
      <c r="AY10" s="28"/>
      <c r="AZ10" s="28"/>
      <c r="BA10" s="2200" t="s">
        <v>1892</v>
      </c>
      <c r="BB10" s="2201" t="str">
        <f>I9</f>
        <v>地上</v>
      </c>
      <c r="BC10" s="29" t="str">
        <f>K9</f>
        <v>地下</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3253</v>
      </c>
      <c r="J11" s="2204"/>
      <c r="K11" s="2203" t="s">
        <v>3256</v>
      </c>
      <c r="L11" s="2204"/>
      <c r="M11" s="2203"/>
      <c r="N11" s="2204"/>
      <c r="O11" s="2203"/>
      <c r="P11" s="2204"/>
      <c r="Q11" s="2203"/>
      <c r="R11" s="2204"/>
      <c r="S11" s="2203"/>
      <c r="T11" s="2204"/>
      <c r="U11" s="2203"/>
      <c r="V11" s="2204"/>
      <c r="W11" s="2203"/>
      <c r="X11" s="2204"/>
      <c r="Y11" s="2203"/>
      <c r="Z11" s="2204"/>
      <c r="AA11" s="2203"/>
      <c r="AB11" s="2204"/>
      <c r="AC11" s="1295"/>
      <c r="AD11" s="2205" t="s">
        <v>1902</v>
      </c>
      <c r="AE11" s="1822"/>
      <c r="AF11" s="2205" t="s">
        <v>1902</v>
      </c>
      <c r="AG11" s="1822"/>
      <c r="AH11" s="2205" t="s">
        <v>1903</v>
      </c>
      <c r="AI11" s="2206"/>
      <c r="AJ11" s="2205" t="s">
        <v>1903</v>
      </c>
      <c r="AK11" s="1822"/>
      <c r="AL11" s="1820"/>
      <c r="AM11" s="1822"/>
      <c r="AN11" s="1820"/>
      <c r="AO11" s="1822"/>
      <c r="AP11" s="1820"/>
      <c r="AQ11" s="1822"/>
      <c r="AR11" s="1820"/>
      <c r="AS11" s="1822"/>
      <c r="AT11" s="2166"/>
      <c r="AU11" s="2183"/>
      <c r="AV11" s="1295"/>
      <c r="AW11" s="2166"/>
      <c r="AX11" s="1295"/>
      <c r="AY11" s="28"/>
      <c r="AZ11" s="28"/>
      <c r="BA11" s="28"/>
      <c r="BB11" s="2188" t="str">
        <f>I10</f>
        <v>住宅</v>
      </c>
      <c r="BC11" s="2188" t="str">
        <f>K10</f>
        <v>车库</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10"/>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8" t="s">
        <v>1905</v>
      </c>
      <c r="AT12" s="2211"/>
      <c r="AU12" s="2208"/>
      <c r="AV12" s="31"/>
      <c r="AW12" s="2167"/>
      <c r="AX12" s="31"/>
      <c r="AY12" s="2212"/>
      <c r="AZ12" s="28"/>
      <c r="BA12" s="2200"/>
      <c r="BB12" s="24" t="str">
        <f>I11</f>
        <v>普通住宅</v>
      </c>
      <c r="BC12" s="2213" t="str">
        <f>K11</f>
        <v>车库</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52" t="s">
        <v>3257</v>
      </c>
      <c r="D13" s="2214" t="s">
        <v>3254</v>
      </c>
      <c r="E13" s="16">
        <f>IF($C$3="是",ROUND($A$3*G13/$B$3,2),ROUND($A$3*(G13-AT13)/$B$3,2))</f>
        <v>44764.76</v>
      </c>
      <c r="F13" s="32"/>
      <c r="G13" s="33">
        <f>H13+AC13+AT13</f>
        <v>95346</v>
      </c>
      <c r="H13" s="20">
        <f>SUMIF(I$12:AB$12,"总值",I13:AB13)</f>
        <v>69908</v>
      </c>
      <c r="I13" s="2215">
        <v>52468</v>
      </c>
      <c r="J13" s="2215"/>
      <c r="K13" s="2215">
        <v>17440</v>
      </c>
      <c r="L13" s="2215"/>
      <c r="M13" s="2215"/>
      <c r="N13" s="2215"/>
      <c r="O13" s="2215"/>
      <c r="P13" s="2215"/>
      <c r="Q13" s="2215"/>
      <c r="R13" s="2215"/>
      <c r="S13" s="2215"/>
      <c r="T13" s="2215"/>
      <c r="U13" s="2215"/>
      <c r="V13" s="2215"/>
      <c r="W13" s="2215"/>
      <c r="X13" s="2215"/>
      <c r="Y13" s="2215"/>
      <c r="Z13" s="2215"/>
      <c r="AA13" s="2215"/>
      <c r="AB13" s="2215"/>
      <c r="AC13" s="16">
        <f>SUMIF(AD$12:AS$12,"总值",AD13:AS13)</f>
        <v>25438</v>
      </c>
      <c r="AD13" s="2216">
        <v>1250</v>
      </c>
      <c r="AE13" s="2216"/>
      <c r="AF13" s="2216">
        <v>15</v>
      </c>
      <c r="AG13" s="2216"/>
      <c r="AH13" s="2216"/>
      <c r="AI13" s="2216"/>
      <c r="AJ13" s="2216"/>
      <c r="AK13" s="2216"/>
      <c r="AL13" s="2216"/>
      <c r="AM13" s="2216"/>
      <c r="AN13" s="2216">
        <v>24173</v>
      </c>
      <c r="AO13" s="2216"/>
      <c r="AP13" s="2216"/>
      <c r="AQ13" s="2216"/>
      <c r="AR13" s="2216"/>
      <c r="AS13" s="2216"/>
      <c r="AT13" s="2217"/>
      <c r="AU13" s="2218"/>
      <c r="AV13" s="11">
        <f t="shared" ref="AV13:AX17" si="6">A13</f>
        <v>0</v>
      </c>
      <c r="AW13" s="11">
        <f t="shared" si="6"/>
        <v>0</v>
      </c>
      <c r="AX13" s="11" t="str">
        <f t="shared" si="6"/>
        <v>指标</v>
      </c>
      <c r="AY13" s="1809">
        <f>ROUND($AY$6*AZ13/$AZ$5,2)</f>
        <v>44764.76</v>
      </c>
      <c r="AZ13" s="16">
        <f>BA13+BL13</f>
        <v>95346</v>
      </c>
      <c r="BA13" s="16">
        <f>SUM(BB13:BK13)</f>
        <v>69908</v>
      </c>
      <c r="BB13" s="16">
        <f>IF($D13="是",I13-J13,0)</f>
        <v>52468</v>
      </c>
      <c r="BC13" s="16">
        <f>IF($D13="是",K13-L13,0)</f>
        <v>17440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25438</v>
      </c>
      <c r="BM13" s="16">
        <f>IF($D13="是",AD13-AE13,0)</f>
        <v>1250</v>
      </c>
      <c r="BN13" s="16">
        <f>IF($D13="是",AF13-AG13,0)</f>
        <v>15</v>
      </c>
      <c r="BO13" s="16">
        <f>IF($D13="是",AH13-AI13,0)</f>
        <v>0</v>
      </c>
      <c r="BP13" s="16">
        <f>IF($D13="是",AJ13-AK13,0)</f>
        <v>0</v>
      </c>
      <c r="BQ13" s="16">
        <f>IF($D13="是",AL13-AM13,0)</f>
        <v>0</v>
      </c>
      <c r="BR13" s="16">
        <f>IF($D13="是",AN13-AO13,0)</f>
        <v>24173</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1931</v>
      </c>
      <c r="B1" s="1395"/>
      <c r="C1" s="1395"/>
      <c r="D1" s="1395"/>
      <c r="E1" s="1395"/>
      <c r="F1" s="1395"/>
      <c r="G1" s="1395"/>
      <c r="H1" s="1395"/>
      <c r="I1" s="1395"/>
      <c r="J1" s="1395"/>
      <c r="K1" s="1395"/>
      <c r="L1" s="1395"/>
      <c r="M1" s="1395"/>
      <c r="N1" s="1395"/>
      <c r="O1" s="1395"/>
      <c r="P1" s="1395"/>
    </row>
    <row r="2" spans="1:16" ht="15">
      <c r="A2" s="3049" t="s">
        <v>1932</v>
      </c>
      <c r="B2" s="3049"/>
      <c r="C2" s="3049"/>
      <c r="D2" s="970" t="s">
        <v>1908</v>
      </c>
      <c r="E2" s="2228" t="s">
        <v>1909</v>
      </c>
      <c r="F2" s="1395"/>
      <c r="G2" s="2229"/>
      <c r="H2" s="2230"/>
      <c r="I2" s="2231" t="s">
        <v>1933</v>
      </c>
      <c r="J2" s="1395"/>
      <c r="K2" s="1395"/>
      <c r="L2" s="1395"/>
      <c r="M2" s="1395"/>
      <c r="N2" s="1430"/>
      <c r="O2" s="1395"/>
      <c r="P2" s="1395"/>
    </row>
    <row r="3" spans="1:16" ht="15.75" thickBot="1">
      <c r="A3" s="3050" t="s">
        <v>1906</v>
      </c>
      <c r="B3" s="3050"/>
      <c r="C3" s="3050"/>
      <c r="D3" s="46">
        <f>'数据-基础表'!AY6</f>
        <v>44764.76</v>
      </c>
      <c r="E3" s="46">
        <f>'数据-基础表'!AZ5</f>
        <v>95346</v>
      </c>
      <c r="F3" s="1395"/>
      <c r="G3" s="1402"/>
      <c r="H3" s="1250" t="s">
        <v>1907</v>
      </c>
      <c r="I3" s="55">
        <f>ROUND('数据-基础表'!B3/'数据-基础表'!A3,2)</f>
        <v>2.13</v>
      </c>
      <c r="J3" s="1395"/>
      <c r="K3" s="1395"/>
      <c r="L3" s="1395"/>
      <c r="M3" s="1395"/>
      <c r="N3" s="1430"/>
      <c r="O3" s="1395"/>
      <c r="P3" s="1395"/>
    </row>
    <row r="4" spans="1:16" ht="15">
      <c r="A4" s="3051"/>
      <c r="B4" s="3052"/>
      <c r="C4" s="3053"/>
      <c r="D4" s="2232" t="s">
        <v>1908</v>
      </c>
      <c r="E4" s="2233" t="s">
        <v>1909</v>
      </c>
      <c r="F4" s="1395"/>
      <c r="G4" s="2234" t="s">
        <v>1934</v>
      </c>
      <c r="H4" s="1250" t="s">
        <v>1914</v>
      </c>
      <c r="I4" s="55">
        <f>ROUND(SUMIF('数据-基础表'!I9:AS9,"地上",'数据-基础表'!I5:AS5)/'数据-基础表'!A3,2)</f>
        <v>1.2</v>
      </c>
      <c r="J4" s="1395"/>
      <c r="K4" s="1395"/>
      <c r="L4" s="1395"/>
      <c r="M4" s="1395"/>
      <c r="N4" s="1430"/>
      <c r="O4" s="1395"/>
      <c r="P4" s="1395"/>
    </row>
    <row r="5" spans="1:16">
      <c r="A5" s="47" t="s">
        <v>1910</v>
      </c>
      <c r="B5" s="3054" t="s">
        <v>1911</v>
      </c>
      <c r="C5" s="3054"/>
      <c r="D5" s="48">
        <f>ROUND($D$3*E5/$E$3,2)</f>
        <v>24633.62</v>
      </c>
      <c r="E5" s="49">
        <f>SUMIF('数据-基础表'!$11:$11,"住宅",'数据-基础表'!$5:$5)</f>
        <v>52468</v>
      </c>
      <c r="F5" s="1395"/>
      <c r="G5" s="1402"/>
      <c r="H5" s="1250" t="s">
        <v>1907</v>
      </c>
      <c r="I5" s="55">
        <f>ROUND(E31/D31,2)</f>
        <v>2.13</v>
      </c>
      <c r="J5" s="1395"/>
      <c r="K5" s="1395"/>
      <c r="L5" s="1395"/>
      <c r="M5" s="1395"/>
      <c r="N5" s="1395"/>
      <c r="O5" s="1395"/>
      <c r="P5" s="1395"/>
    </row>
    <row r="6" spans="1:16" ht="15" thickBot="1">
      <c r="A6" s="2235"/>
      <c r="B6" s="3054" t="s">
        <v>1912</v>
      </c>
      <c r="C6" s="3054"/>
      <c r="D6" s="48">
        <f>ROUND($D$3*E6/$E$3,2)</f>
        <v>20131.14</v>
      </c>
      <c r="E6" s="49">
        <f>E3-E5</f>
        <v>42878</v>
      </c>
      <c r="F6" s="1395"/>
      <c r="G6" s="2236" t="s">
        <v>1913</v>
      </c>
      <c r="H6" s="1402" t="s">
        <v>1914</v>
      </c>
      <c r="I6" s="942">
        <f>ROUND(F31/D31,2)</f>
        <v>1.2</v>
      </c>
      <c r="J6" s="1395"/>
      <c r="K6" s="1395"/>
      <c r="L6" s="1395"/>
      <c r="M6" s="1395"/>
      <c r="N6" s="1395"/>
      <c r="O6" s="1395"/>
      <c r="P6" s="1395"/>
    </row>
    <row r="7" spans="1:16" ht="15">
      <c r="A7" s="3046"/>
      <c r="B7" s="3047"/>
      <c r="C7" s="3048"/>
      <c r="D7" s="2232" t="s">
        <v>1908</v>
      </c>
      <c r="E7" s="2237" t="s">
        <v>1915</v>
      </c>
      <c r="F7" s="1395"/>
      <c r="G7" s="2229" t="s">
        <v>1916</v>
      </c>
      <c r="H7" s="64"/>
      <c r="I7" s="420"/>
      <c r="J7" s="1395"/>
      <c r="K7" s="1395"/>
      <c r="L7" s="1395"/>
      <c r="M7" s="1395"/>
      <c r="N7" s="1395"/>
      <c r="O7" s="1395"/>
      <c r="P7" s="1395"/>
    </row>
    <row r="8" spans="1:16">
      <c r="A8" s="47" t="s">
        <v>1917</v>
      </c>
      <c r="B8" s="50" t="s">
        <v>1918</v>
      </c>
      <c r="C8" s="48" t="s">
        <v>1919</v>
      </c>
      <c r="D8" s="48">
        <f t="shared" ref="D8:D15" si="0">ROUND($D$3*E8/$E$3,2)</f>
        <v>24633.62</v>
      </c>
      <c r="E8" s="51">
        <f>SUMIF('数据-基础表'!BB10:BK10,"地上",'数据-基础表'!BB5:BK5)</f>
        <v>52468</v>
      </c>
      <c r="F8" s="1395"/>
      <c r="G8" s="2238"/>
      <c r="H8" s="2238"/>
      <c r="I8" s="1395"/>
      <c r="J8" s="1395"/>
      <c r="K8" s="1395"/>
      <c r="L8" s="1395"/>
      <c r="M8" s="1395"/>
      <c r="N8" s="1395"/>
      <c r="O8" s="1395"/>
      <c r="P8" s="1395"/>
    </row>
    <row r="9" spans="1:16">
      <c r="A9" s="2239"/>
      <c r="B9" s="2240"/>
      <c r="C9" s="48" t="s">
        <v>1920</v>
      </c>
      <c r="D9" s="48">
        <f t="shared" si="0"/>
        <v>0</v>
      </c>
      <c r="E9" s="52">
        <v>0</v>
      </c>
      <c r="F9" s="1395"/>
      <c r="G9" s="2238"/>
      <c r="H9" s="2238"/>
      <c r="I9" s="1395"/>
      <c r="J9" s="1395"/>
      <c r="K9" s="1395"/>
      <c r="L9" s="1395"/>
      <c r="M9" s="1395"/>
      <c r="N9" s="1395"/>
      <c r="O9" s="1395"/>
      <c r="P9" s="1395"/>
    </row>
    <row r="10" spans="1:16">
      <c r="A10" s="2239"/>
      <c r="B10" s="2240"/>
      <c r="C10" s="48" t="s">
        <v>1929</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1921</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1922</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1923</v>
      </c>
      <c r="D13" s="48">
        <f t="shared" si="0"/>
        <v>8188.05</v>
      </c>
      <c r="E13" s="51">
        <f>SUMPRODUCT(('数据-基础表'!BB10:BK10="地下")*('数据-基础表'!BB11:BK11="车库")*('数据-基础表'!BB5:BK5))</f>
        <v>17440</v>
      </c>
      <c r="F13" s="1395"/>
      <c r="G13" s="2238"/>
      <c r="H13" s="2238"/>
      <c r="I13" s="1395"/>
      <c r="J13" s="1395"/>
      <c r="K13" s="1395"/>
      <c r="L13" s="1395"/>
      <c r="M13" s="1395"/>
      <c r="N13" s="1395"/>
      <c r="O13" s="1395"/>
      <c r="P13" s="1395"/>
    </row>
    <row r="14" spans="1:16">
      <c r="A14" s="2239"/>
      <c r="B14" s="2240"/>
      <c r="C14" s="48" t="s">
        <v>1935</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1930</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1924</v>
      </c>
      <c r="D16" s="50">
        <f>SUM(D8:D15)</f>
        <v>32821.67</v>
      </c>
      <c r="E16" s="53">
        <f>SUM(E8:E15)</f>
        <v>69908</v>
      </c>
      <c r="F16" s="1395"/>
      <c r="G16" s="2238"/>
      <c r="H16" s="2241" t="s">
        <v>1936</v>
      </c>
      <c r="I16" s="2242"/>
      <c r="J16" s="1395"/>
      <c r="K16" s="3043" t="s">
        <v>1936</v>
      </c>
      <c r="L16" s="3044"/>
      <c r="M16" s="3044"/>
      <c r="N16" s="3044"/>
      <c r="O16" s="3044"/>
      <c r="P16" s="3045"/>
    </row>
    <row r="17" spans="1:19" ht="15">
      <c r="A17" s="2243" t="s">
        <v>1937</v>
      </c>
      <c r="B17" s="2244" t="s">
        <v>1938</v>
      </c>
      <c r="C17" s="2245" t="s">
        <v>1939</v>
      </c>
      <c r="D17" s="2246" t="s">
        <v>1927</v>
      </c>
      <c r="E17" s="2247" t="s">
        <v>1928</v>
      </c>
      <c r="F17" s="2248"/>
      <c r="G17" s="2249"/>
      <c r="H17" s="2250" t="s">
        <v>1940</v>
      </c>
      <c r="I17" s="2251" t="s">
        <v>1925</v>
      </c>
      <c r="J17" s="1395"/>
      <c r="K17" s="3040" t="s">
        <v>1941</v>
      </c>
      <c r="L17" s="3041"/>
      <c r="M17" s="3042"/>
      <c r="N17" s="3040" t="s">
        <v>1942</v>
      </c>
      <c r="O17" s="3041"/>
      <c r="P17" s="3042"/>
      <c r="R17" s="2229" t="s">
        <v>1943</v>
      </c>
      <c r="S17" s="64"/>
    </row>
    <row r="18" spans="1:19" ht="15">
      <c r="A18" s="2239"/>
      <c r="B18" s="2252"/>
      <c r="C18" s="2253"/>
      <c r="D18" s="2254"/>
      <c r="E18" s="2255" t="s">
        <v>1944</v>
      </c>
      <c r="F18" s="2256" t="s">
        <v>1945</v>
      </c>
      <c r="G18" s="2257" t="s">
        <v>1946</v>
      </c>
      <c r="H18" s="1265" t="s">
        <v>1947</v>
      </c>
      <c r="I18" s="2258" t="s">
        <v>1948</v>
      </c>
      <c r="J18" s="1395"/>
      <c r="K18" s="1265" t="s">
        <v>1949</v>
      </c>
      <c r="L18" s="2259" t="s">
        <v>1950</v>
      </c>
      <c r="M18" s="1049" t="s">
        <v>1951</v>
      </c>
      <c r="N18" s="1265" t="s">
        <v>1949</v>
      </c>
      <c r="O18" s="2259" t="s">
        <v>1950</v>
      </c>
      <c r="P18" s="1049" t="s">
        <v>1951</v>
      </c>
      <c r="R18" s="1250" t="s">
        <v>1952</v>
      </c>
      <c r="S18" s="1250" t="s">
        <v>1953</v>
      </c>
    </row>
    <row r="19" spans="1:19">
      <c r="A19" s="2260"/>
      <c r="B19" s="50" t="s">
        <v>1926</v>
      </c>
      <c r="C19" s="2953" t="s">
        <v>3259</v>
      </c>
      <c r="D19" s="48">
        <f>ROUND($D$3*E19/$E$3,2)</f>
        <v>24633.62</v>
      </c>
      <c r="E19" s="56">
        <f t="shared" ref="E19:E26" si="1">SUM(F19:G19)</f>
        <v>52468</v>
      </c>
      <c r="F19" s="57">
        <f>'数据-基础表'!I5</f>
        <v>52468</v>
      </c>
      <c r="G19" s="58"/>
      <c r="H19" s="723">
        <f>ROUND($D$3*I19/$E$3,2)</f>
        <v>8517.89</v>
      </c>
      <c r="I19" s="51">
        <f t="shared" ref="I19:I26" si="2">IF($I$17="自定义",P19,M19)</f>
        <v>18142.54</v>
      </c>
      <c r="J19" s="1395"/>
      <c r="K19" s="1394">
        <f t="shared" ref="K19:K26" si="3">ROUND(E$28*E19/E$27,2)</f>
        <v>18142.54</v>
      </c>
      <c r="L19" s="1250">
        <f t="shared" ref="L19:L26" si="4">ROUND(IF(COUNTIF(C19,"*住宅*")&gt;0,E$29*E19/E$32,0),2)</f>
        <v>0</v>
      </c>
      <c r="M19" s="1406">
        <f>K19+L19</f>
        <v>18142.54</v>
      </c>
      <c r="N19" s="2262"/>
      <c r="O19" s="2263"/>
      <c r="P19" s="1406">
        <f>N19+O19</f>
        <v>0</v>
      </c>
      <c r="R19" s="1250">
        <f t="shared" ref="R19:S26" si="5">D19+H19</f>
        <v>33151.509999999995</v>
      </c>
      <c r="S19" s="1251">
        <f t="shared" si="5"/>
        <v>70610.540000000008</v>
      </c>
    </row>
    <row r="20" spans="1:19">
      <c r="A20" s="2264"/>
      <c r="B20" s="50" t="s">
        <v>1954</v>
      </c>
      <c r="C20" s="2953" t="s">
        <v>3260</v>
      </c>
      <c r="D20" s="48">
        <f t="shared" ref="D20:D26" si="6">ROUND($D$3*E20/$E$3,2)</f>
        <v>8188.05</v>
      </c>
      <c r="E20" s="56">
        <f t="shared" si="1"/>
        <v>17440</v>
      </c>
      <c r="F20" s="57"/>
      <c r="G20" s="58">
        <f>'数据-基础表'!K5</f>
        <v>17440</v>
      </c>
      <c r="H20" s="723">
        <f t="shared" ref="H20:H26" si="7">ROUND($D$3*I20/$E$3,2)</f>
        <v>2831.29</v>
      </c>
      <c r="I20" s="51">
        <f t="shared" si="2"/>
        <v>6030.46</v>
      </c>
      <c r="J20" s="1395"/>
      <c r="K20" s="1394">
        <f t="shared" si="3"/>
        <v>6030.46</v>
      </c>
      <c r="L20" s="1250">
        <f t="shared" si="4"/>
        <v>0</v>
      </c>
      <c r="M20" s="1406">
        <f t="shared" ref="M20:M26" si="8">K20+L20</f>
        <v>6030.46</v>
      </c>
      <c r="N20" s="2262"/>
      <c r="O20" s="2263"/>
      <c r="P20" s="1406">
        <f t="shared" ref="P20:P26" si="9">N20+O20</f>
        <v>0</v>
      </c>
      <c r="R20" s="1250">
        <f t="shared" si="5"/>
        <v>11019.34</v>
      </c>
      <c r="S20" s="1251">
        <f t="shared" si="5"/>
        <v>23470.46</v>
      </c>
    </row>
    <row r="21" spans="1:19">
      <c r="A21" s="2264"/>
      <c r="B21" s="50" t="s">
        <v>1954</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43.5" thickBot="1">
      <c r="A27" s="2264"/>
      <c r="B27" s="48"/>
      <c r="C27" s="2267" t="s">
        <v>1955</v>
      </c>
      <c r="D27" s="1396">
        <f>SUM(D19:D26)</f>
        <v>32821.67</v>
      </c>
      <c r="E27" s="1397">
        <f>IF(SUM(E19:E26)='数据-基础表'!BA5,SUM(E19:E26),IF(F27="地上面积有误","面积有误","地下面积有误"))</f>
        <v>69908</v>
      </c>
      <c r="F27" s="1396">
        <f>IF(SUM(F19:F26)=E8,SUM(F19:F26),"地上面积有误")</f>
        <v>52468</v>
      </c>
      <c r="G27" s="1398">
        <f>SUM(G19:G26)</f>
        <v>17440</v>
      </c>
      <c r="H27" s="1399">
        <f>SUM(H19:H26)</f>
        <v>11349.18</v>
      </c>
      <c r="I27" s="1400">
        <f>SUM(I19:I26)</f>
        <v>24173</v>
      </c>
      <c r="J27" s="1395"/>
      <c r="K27" s="1403">
        <f>SUM(K19:K26)</f>
        <v>24173</v>
      </c>
      <c r="L27" s="1404">
        <f>SUM(L19:L26)</f>
        <v>0</v>
      </c>
      <c r="M27" s="1407">
        <f>SUM(M19:M26)</f>
        <v>24173</v>
      </c>
      <c r="N27" s="1403">
        <f t="shared" ref="N27:O27" si="10">SUM(N19:N26)</f>
        <v>0</v>
      </c>
      <c r="O27" s="1404">
        <f t="shared" si="10"/>
        <v>0</v>
      </c>
      <c r="P27" s="1405">
        <f>SUM(P19:P26)</f>
        <v>0</v>
      </c>
      <c r="R27" s="1252" t="str">
        <f>IF(SUM(R19:R26)=$D$3,SUM(R19:R26),SUM(R19:R26)&amp;"误差"&amp;ROUND(SUM(R19:R26)-$D$3,2))</f>
        <v>44170.85误差-593.91</v>
      </c>
      <c r="S27" s="1250" t="str">
        <f>IF(SUM(S19:S26)=$E$3,SUM(S19:S26),SUM(S19:S26)&amp;"误差"&amp;ROUND(SUM(S19:S26)-E3,2))</f>
        <v>94081误差-1265</v>
      </c>
    </row>
    <row r="28" spans="1:19">
      <c r="A28" s="2264"/>
      <c r="B28" s="50" t="s">
        <v>1956</v>
      </c>
      <c r="C28" s="1262" t="s">
        <v>1957</v>
      </c>
      <c r="D28" s="48">
        <f>ROUND($D$3*E28/$E$3,2)</f>
        <v>11349.18</v>
      </c>
      <c r="E28" s="56">
        <f>SUM(F28:G28)</f>
        <v>24173</v>
      </c>
      <c r="F28" s="64">
        <f>'数据-基础表'!BQ5+'数据-基础表'!BS5</f>
        <v>0</v>
      </c>
      <c r="G28" s="65">
        <f>'数据-基础表'!BR5+'数据-基础表'!BT5</f>
        <v>24173</v>
      </c>
      <c r="H28" s="1395"/>
      <c r="I28" s="1395"/>
      <c r="J28" s="1395"/>
      <c r="K28" s="1395"/>
      <c r="L28" s="1395"/>
      <c r="M28" s="1395"/>
      <c r="N28" s="1395"/>
      <c r="O28" s="1395"/>
      <c r="P28" s="1395"/>
    </row>
    <row r="29" spans="1:19">
      <c r="A29" s="2264"/>
      <c r="B29" s="50" t="s">
        <v>1956</v>
      </c>
      <c r="C29" s="2268" t="s">
        <v>1958</v>
      </c>
      <c r="D29" s="48">
        <f>ROUND($D$3*E29/$E$3,2)</f>
        <v>593.91999999999996</v>
      </c>
      <c r="E29" s="56">
        <f>SUM(F29:G29)</f>
        <v>1265</v>
      </c>
      <c r="F29" s="66">
        <f>'数据-基础表'!BM5+'数据-基础表'!BO5</f>
        <v>1250</v>
      </c>
      <c r="G29" s="67">
        <f>'数据-基础表'!BN5+'数据-基础表'!BP5</f>
        <v>15</v>
      </c>
      <c r="H29" s="1395"/>
      <c r="I29" s="1395"/>
      <c r="J29" s="1395"/>
      <c r="K29" s="1395"/>
      <c r="L29" s="1395"/>
      <c r="M29" s="1395"/>
      <c r="N29" s="1395"/>
      <c r="O29" s="1395"/>
      <c r="P29" s="1395"/>
    </row>
    <row r="30" spans="1:19" ht="15">
      <c r="A30" s="2264"/>
      <c r="B30" s="50"/>
      <c r="C30" s="2269" t="s">
        <v>1955</v>
      </c>
      <c r="D30" s="1396">
        <f>SUM(D28:D29)</f>
        <v>11943.1</v>
      </c>
      <c r="E30" s="1396">
        <f>SUM(E28:E29)</f>
        <v>25438</v>
      </c>
      <c r="F30" s="1396">
        <f>SUM(F28:F29)</f>
        <v>1250</v>
      </c>
      <c r="G30" s="1398">
        <f>SUM(G28:G29)</f>
        <v>24188</v>
      </c>
      <c r="H30" s="1395"/>
      <c r="I30" s="1395"/>
      <c r="J30" s="1395"/>
      <c r="K30" s="1395"/>
      <c r="L30" s="1395"/>
      <c r="M30" s="1395"/>
      <c r="N30" s="1395"/>
      <c r="O30" s="1395"/>
      <c r="P30" s="1395"/>
    </row>
    <row r="31" spans="1:19" ht="15.75" thickBot="1">
      <c r="A31" s="2270"/>
      <c r="B31" s="2271"/>
      <c r="C31" s="1010" t="s">
        <v>1959</v>
      </c>
      <c r="D31" s="729">
        <f>D27+D30</f>
        <v>44764.77</v>
      </c>
      <c r="E31" s="729">
        <f>E27+E30</f>
        <v>95346</v>
      </c>
      <c r="F31" s="730">
        <f>F27+F30</f>
        <v>53718</v>
      </c>
      <c r="G31" s="731">
        <f>G27+G30</f>
        <v>41628</v>
      </c>
      <c r="H31" s="1395"/>
      <c r="I31" s="1395"/>
      <c r="J31" s="1395"/>
      <c r="K31" s="1395"/>
      <c r="L31" s="1395"/>
      <c r="M31" s="1395"/>
      <c r="N31" s="1395"/>
      <c r="O31" s="1395"/>
      <c r="P31" s="1395"/>
    </row>
    <row r="32" spans="1:19">
      <c r="A32" s="2234"/>
      <c r="B32" s="2234" t="s">
        <v>1960</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K7" sqref="K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1961</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1962</v>
      </c>
      <c r="B2" s="1269">
        <f>项目基本情况!D3</f>
        <v>43381</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1963</v>
      </c>
      <c r="B4" s="2282"/>
      <c r="C4" s="2283"/>
      <c r="D4" s="2284"/>
      <c r="E4" s="2283" t="s">
        <v>1964</v>
      </c>
      <c r="F4" s="2283"/>
      <c r="G4" s="2283"/>
      <c r="H4" s="2283"/>
      <c r="I4" s="2283"/>
      <c r="J4" s="2285"/>
      <c r="K4" s="2286"/>
      <c r="L4" s="2287"/>
      <c r="M4" s="2283"/>
      <c r="N4" s="2283" t="s">
        <v>1965</v>
      </c>
      <c r="O4" s="2283"/>
      <c r="P4" s="2283"/>
      <c r="Q4" s="2283"/>
      <c r="R4" s="2283"/>
      <c r="S4" s="2285"/>
      <c r="T4" s="2288" t="str">
        <f>'数据-汇总表'!I17</f>
        <v>按面积比例</v>
      </c>
      <c r="U4" s="2282" t="s">
        <v>1966</v>
      </c>
      <c r="V4" s="2283"/>
      <c r="W4" s="2283"/>
      <c r="X4" s="2283"/>
      <c r="Y4" s="2285"/>
      <c r="Z4" s="2245" t="s">
        <v>1967</v>
      </c>
      <c r="AA4" s="2245"/>
      <c r="AB4" s="2245"/>
      <c r="AC4" s="2245"/>
      <c r="AD4" s="2245"/>
      <c r="AE4" s="2243" t="s">
        <v>1968</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1969</v>
      </c>
      <c r="B5" s="2291" t="s">
        <v>1970</v>
      </c>
      <c r="C5" s="2292" t="s">
        <v>1971</v>
      </c>
      <c r="D5" s="2293" t="s">
        <v>1972</v>
      </c>
      <c r="E5" s="1271" t="s">
        <v>1973</v>
      </c>
      <c r="F5" s="2294" t="s">
        <v>1974</v>
      </c>
      <c r="G5" s="1271" t="s">
        <v>1975</v>
      </c>
      <c r="H5" s="1271" t="s">
        <v>1976</v>
      </c>
      <c r="I5" s="1271" t="s">
        <v>1977</v>
      </c>
      <c r="J5" s="2295" t="s">
        <v>1978</v>
      </c>
      <c r="K5" s="2296" t="s">
        <v>1979</v>
      </c>
      <c r="L5" s="2297" t="s">
        <v>1980</v>
      </c>
      <c r="M5" s="2298" t="s">
        <v>1981</v>
      </c>
      <c r="N5" s="2299" t="s">
        <v>1982</v>
      </c>
      <c r="O5" s="2297" t="s">
        <v>1983</v>
      </c>
      <c r="P5" s="2300" t="s">
        <v>1984</v>
      </c>
      <c r="Q5" s="69" t="s">
        <v>1985</v>
      </c>
      <c r="R5" s="2301" t="s">
        <v>1986</v>
      </c>
      <c r="S5" s="2302" t="s">
        <v>1987</v>
      </c>
      <c r="T5" s="2303" t="s">
        <v>1988</v>
      </c>
      <c r="U5" s="1270" t="s">
        <v>1989</v>
      </c>
      <c r="V5" s="1271" t="s">
        <v>1990</v>
      </c>
      <c r="W5" s="1271" t="s">
        <v>1991</v>
      </c>
      <c r="X5" s="71"/>
      <c r="Y5" s="70" t="s">
        <v>1992</v>
      </c>
      <c r="Z5" s="2304" t="s">
        <v>1989</v>
      </c>
      <c r="AA5" s="1271" t="s">
        <v>1990</v>
      </c>
      <c r="AB5" s="1271" t="s">
        <v>1991</v>
      </c>
      <c r="AC5" s="71"/>
      <c r="AD5" s="71" t="s">
        <v>1992</v>
      </c>
      <c r="AE5" s="1270" t="s">
        <v>1993</v>
      </c>
      <c r="AF5" s="1271" t="s">
        <v>1994</v>
      </c>
      <c r="AG5" s="70" t="s">
        <v>1995</v>
      </c>
      <c r="AH5" s="1270" t="s">
        <v>1996</v>
      </c>
      <c r="AI5" s="2304" t="s">
        <v>1997</v>
      </c>
      <c r="AJ5" s="2304" t="s">
        <v>1998</v>
      </c>
      <c r="AK5" s="1271" t="s">
        <v>1999</v>
      </c>
      <c r="AL5" s="1271" t="s">
        <v>2000</v>
      </c>
      <c r="AM5" s="70" t="s">
        <v>2001</v>
      </c>
      <c r="AN5" s="2305" t="s">
        <v>2002</v>
      </c>
      <c r="AO5" s="2076" t="s">
        <v>2003</v>
      </c>
      <c r="AP5" s="1252" t="s">
        <v>2004</v>
      </c>
      <c r="AQ5" s="2306" t="s">
        <v>2005</v>
      </c>
      <c r="AR5" s="2306" t="s">
        <v>2006</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叠拼</v>
      </c>
      <c r="B6" s="2308" t="str">
        <f>IF(A6=0,"","经营性")</f>
        <v>经营性</v>
      </c>
      <c r="C6" s="2309" t="s">
        <v>3252</v>
      </c>
      <c r="D6" s="1054">
        <f>SUMIF(项目基本情况!D$12:I$12,C6,项目基本情况!D$14:I$14)</f>
        <v>70</v>
      </c>
      <c r="E6" s="1051">
        <f>IF(B6="","",SUMIF(项目基本情况!D$12:I$12,C6,项目基本情况!D$13:I$13))</f>
        <v>67619</v>
      </c>
      <c r="F6" s="72">
        <f>SUMIF(项目基本情况!D$12:I$12,C6,项目基本情况!D$15:I$15)</f>
        <v>66.400000000000006</v>
      </c>
      <c r="G6" s="73">
        <f>IF(ISERROR(ROUND(POWER(1+H6,D6-F6)*(POWER(1+H6,F6)-1)/(POWER(1+H6,D6)-1),3)),0,ROUND(POWER(1+H6,D6-F6)*(POWER(1+H6,F6)-1)/(POWER(1+H6,D6)-1),3))</f>
        <v>0.99</v>
      </c>
      <c r="H6" s="802">
        <v>0.04</v>
      </c>
      <c r="I6" s="802">
        <v>4.4999999999999998E-2</v>
      </c>
      <c r="J6" s="74"/>
      <c r="K6" s="1254">
        <f>SUMIF('数据-汇总表'!C$19:C$33,A6,'数据-汇总表'!E$19:E$33)</f>
        <v>52468</v>
      </c>
      <c r="L6" s="803">
        <v>2500</v>
      </c>
      <c r="M6" s="75">
        <f t="shared" ref="M6:M14" si="0">ROUND(K6*L6/10000,0)</f>
        <v>13117</v>
      </c>
      <c r="N6" s="801">
        <v>0</v>
      </c>
      <c r="O6" s="75">
        <f>IF($N$5="成新度","——",ROUND(M6*N6,0))</f>
        <v>0</v>
      </c>
      <c r="P6" s="76">
        <f>IF($N$5="成新度","——",M6-O6)</f>
        <v>13117</v>
      </c>
      <c r="Q6" s="804">
        <v>0.25</v>
      </c>
      <c r="R6" s="77">
        <f ca="1">SUMIF('数据-汇总表'!C$19:C$33,A6,'数据-汇总表'!R$19:R$27)</f>
        <v>33151.509999999995</v>
      </c>
      <c r="S6" s="54">
        <f>IF('数据-汇总表'!$I$17="按面积比例",SUMIF('数据-汇总表'!C$19:C$33,A6,'数据-汇总表'!K$19:K$33),SUMIF('数据-汇总表'!C$19:C$33,A6,'数据-汇总表'!N$19:N$33))</f>
        <v>18142.54</v>
      </c>
      <c r="T6" s="1446">
        <f>ROUND($L$14*S6/10000,0)</f>
        <v>4536</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10"/>
      <c r="AO6" s="55" t="e">
        <f ca="1">SUMIF(INDIRECT("'"&amp;AN6&amp;"'"&amp;"!A:A"),"总价",INDIRECT("'"&amp;AN6&amp;"'"&amp;"!B:B"))</f>
        <v>#REF!</v>
      </c>
      <c r="AP6" s="2311">
        <f>IF(C6="住宅",K6*L6,0)</f>
        <v>131170000</v>
      </c>
      <c r="AQ6" s="55">
        <f>ROUND($L$14*$N$14*S6/10000,0)</f>
        <v>0</v>
      </c>
      <c r="AR6" s="55">
        <f>ROUND($L$14*(1-$N$14)*S6/10000,0)</f>
        <v>4536</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车库</v>
      </c>
      <c r="B7" s="2308" t="str">
        <f t="shared" ref="B7:B13" si="1">IF(A7=0,"","经营性")</f>
        <v>经营性</v>
      </c>
      <c r="C7" s="2309" t="s">
        <v>3256</v>
      </c>
      <c r="D7" s="1054">
        <f>SUMIF(项目基本情况!D$12:I$12,C7,项目基本情况!D$14:I$14)</f>
        <v>50</v>
      </c>
      <c r="E7" s="1051">
        <f>IF(B7="","",SUMIF(项目基本情况!D$12:I$12,C7,项目基本情况!D$13:I$13))</f>
        <v>60314</v>
      </c>
      <c r="F7" s="72">
        <f>SUMIF(项目基本情况!D$12:I$12,C7,项目基本情况!D$15:I$15)</f>
        <v>46.39</v>
      </c>
      <c r="G7" s="73">
        <f t="shared" ref="G7:G11" si="2">IF(ISERROR(ROUND(POWER(1+H7,D7-F7)*(POWER(1+H7,F7)-1)/(POWER(1+H7,D7)-1),3)),0,ROUND(POWER(1+H7,D7-F7)*(POWER(1+H7,F7)-1)/(POWER(1+H7,D7)-1),3))</f>
        <v>0.97899999999999998</v>
      </c>
      <c r="H7" s="802">
        <v>4.4999999999999998E-2</v>
      </c>
      <c r="I7" s="802">
        <v>0.05</v>
      </c>
      <c r="J7" s="74"/>
      <c r="K7" s="1254">
        <f>SUMIF('数据-汇总表'!C$19:C$33,A7,'数据-汇总表'!E$19:E$33)</f>
        <v>17440</v>
      </c>
      <c r="L7" s="803">
        <v>2500</v>
      </c>
      <c r="M7" s="75">
        <f t="shared" si="0"/>
        <v>4360</v>
      </c>
      <c r="N7" s="801">
        <v>0</v>
      </c>
      <c r="O7" s="75">
        <f t="shared" ref="O7:O14" si="3">IF($N$5="成新度","——",ROUND(M7*N7,0))</f>
        <v>0</v>
      </c>
      <c r="P7" s="76">
        <f t="shared" ref="P7:P14" si="4">IF($N$5="成新度","——",M7-O7)</f>
        <v>4360</v>
      </c>
      <c r="Q7" s="804">
        <v>0.1</v>
      </c>
      <c r="R7" s="77">
        <f ca="1">SUMIF('数据-汇总表'!C$19:C$33,A7,'数据-汇总表'!R$19:R$27)</f>
        <v>11019.34</v>
      </c>
      <c r="S7" s="54">
        <f>IF('数据-汇总表'!$I$17="按面积比例",SUMIF('数据-汇总表'!C$19:C$33,A7,'数据-汇总表'!K$19:K$33),SUMIF('数据-汇总表'!C$19:C$33,A7,'数据-汇总表'!N$19:N$33))</f>
        <v>6030.46</v>
      </c>
      <c r="T7" s="1446">
        <f t="shared" ref="T7:T13" si="5">ROUND($L$14*S7/10000,0)</f>
        <v>1508</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v>436</v>
      </c>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1508</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2007</v>
      </c>
      <c r="B14" s="2308" t="s">
        <v>2008</v>
      </c>
      <c r="C14" s="2313" t="s">
        <v>2007</v>
      </c>
      <c r="D14" s="1054"/>
      <c r="E14" s="1051"/>
      <c r="F14" s="72"/>
      <c r="G14" s="73"/>
      <c r="H14" s="1253"/>
      <c r="I14" s="1253"/>
      <c r="J14" s="1253"/>
      <c r="K14" s="1254">
        <f>SUMIF('数据-汇总表'!C$19:C$33,A14,'数据-汇总表'!E$19:E$33)</f>
        <v>24173</v>
      </c>
      <c r="L14" s="91">
        <v>2500</v>
      </c>
      <c r="M14" s="75">
        <f t="shared" si="0"/>
        <v>6043</v>
      </c>
      <c r="N14" s="92">
        <v>0</v>
      </c>
      <c r="O14" s="75">
        <f t="shared" si="3"/>
        <v>0</v>
      </c>
      <c r="P14" s="76">
        <f t="shared" si="4"/>
        <v>6043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2009</v>
      </c>
      <c r="B15" s="2308" t="s">
        <v>2008</v>
      </c>
      <c r="C15" s="2313" t="s">
        <v>2010</v>
      </c>
      <c r="D15" s="1054"/>
      <c r="E15" s="1051"/>
      <c r="F15" s="72"/>
      <c r="G15" s="73"/>
      <c r="H15" s="1253"/>
      <c r="I15" s="1253"/>
      <c r="J15" s="1253"/>
      <c r="K15" s="1254">
        <f>SUMIF('数据-汇总表'!C$19:C$33,A15,'数据-汇总表'!E$19:E$33)</f>
        <v>1265</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2011</v>
      </c>
      <c r="B16" s="97"/>
      <c r="C16" s="1008"/>
      <c r="D16" s="2315"/>
      <c r="E16" s="97"/>
      <c r="F16" s="97"/>
      <c r="G16" s="98">
        <f>ROUND(SUMPRODUCT(G6:G13,K6:K13)/SUMPRODUCT((G6:G13&gt;0)*(K6:K13)),3)</f>
        <v>0.98699999999999999</v>
      </c>
      <c r="H16" s="99">
        <f>ROUND(SUMPRODUCT(H6:H13,K6:K13)/SUMPRODUCT((H6:H13&gt;0)*(K6:K13)),3)</f>
        <v>4.1000000000000002E-2</v>
      </c>
      <c r="I16" s="100"/>
      <c r="J16" s="100"/>
      <c r="K16" s="101">
        <f>SUM(K6:K15)</f>
        <v>95346</v>
      </c>
      <c r="L16" s="102">
        <f>ROUND(M16*10000/SUM(K6:K14),0)</f>
        <v>2500</v>
      </c>
      <c r="M16" s="102">
        <f>SUM(M6:M14)</f>
        <v>23520</v>
      </c>
      <c r="N16" s="103">
        <f>ROUND(SUMPRODUCT(M6:M14,N6:N14)/M16,3)</f>
        <v>0</v>
      </c>
      <c r="O16" s="102">
        <f>SUM(O6:O14)</f>
        <v>0</v>
      </c>
      <c r="P16" s="102">
        <f>SUM(P6:P14)</f>
        <v>23520</v>
      </c>
      <c r="Q16" s="104">
        <f>ROUND(SUMPRODUCT(Q6:Q13,K6:K13)/SUMPRODUCT((Q6:Q13&gt;0)*(K6:K13)),2)</f>
        <v>0.21</v>
      </c>
      <c r="R16" s="1258">
        <f ca="1">SUM(R6:R13)</f>
        <v>44170.849999999991</v>
      </c>
      <c r="S16" s="105">
        <f>SUM(S6:S13)</f>
        <v>24173</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2013</v>
      </c>
      <c r="B19" s="112">
        <v>0</v>
      </c>
      <c r="C19" s="2278" t="s">
        <v>2014</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2015</v>
      </c>
      <c r="B20" s="113">
        <v>2</v>
      </c>
      <c r="C20" s="2278" t="s">
        <v>2016</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2017</v>
      </c>
      <c r="B21" s="113">
        <v>0</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2018</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2019</v>
      </c>
      <c r="B23" s="114">
        <f>B19+B21</f>
        <v>0</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2020</v>
      </c>
      <c r="B24" s="115">
        <f>B20-B21</f>
        <v>2</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2021</v>
      </c>
      <c r="B26" s="2321" t="s">
        <v>2022</v>
      </c>
      <c r="C26" s="2322" t="s">
        <v>2023</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2024</v>
      </c>
      <c r="B27" s="116">
        <v>160</v>
      </c>
      <c r="C27" s="1767" t="s">
        <v>2025</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2026</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2027</v>
      </c>
      <c r="B29" s="121">
        <v>0</v>
      </c>
      <c r="C29" s="1767" t="s">
        <v>2028</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2029</v>
      </c>
      <c r="B30" s="724">
        <v>180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2030</v>
      </c>
      <c r="B31" s="120">
        <f>B30-B32</f>
        <v>180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2031</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2032</v>
      </c>
      <c r="B33" s="726">
        <v>0.03</v>
      </c>
      <c r="C33" s="1766" t="s">
        <v>2033</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2034</v>
      </c>
      <c r="B34" s="122">
        <v>0.05</v>
      </c>
      <c r="C34" s="1766" t="s">
        <v>2035</v>
      </c>
      <c r="D34" s="2279" t="s">
        <v>2036</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2037</v>
      </c>
      <c r="B35" s="119">
        <v>200</v>
      </c>
      <c r="C35" s="1766" t="s">
        <v>2038</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2039</v>
      </c>
      <c r="B36" s="123">
        <v>1.4999999999999999E-2</v>
      </c>
      <c r="C36" s="1766" t="s">
        <v>2040</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2041</v>
      </c>
      <c r="B37" s="124">
        <v>0.02</v>
      </c>
      <c r="C37" s="1766" t="s">
        <v>2042</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2043</v>
      </c>
      <c r="B38" s="122">
        <v>0.02</v>
      </c>
      <c r="C38" s="1766" t="s">
        <v>2042</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2044</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2045</v>
      </c>
      <c r="B40" s="1303">
        <f ca="1">存贷款利率!G1</f>
        <v>4.7500000000000001E-2</v>
      </c>
      <c r="C40" s="1766" t="s">
        <v>2046</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2047</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2048</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2049</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2050</v>
      </c>
      <c r="B44" s="128">
        <v>0.05</v>
      </c>
      <c r="C44" s="1766" t="s">
        <v>2051</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2052</v>
      </c>
      <c r="B45" s="126">
        <v>0.03</v>
      </c>
      <c r="C45" s="1767" t="s">
        <v>2053</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2054</v>
      </c>
      <c r="B46" s="126">
        <v>0.02</v>
      </c>
      <c r="C46" s="1767" t="s">
        <v>2055</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2056</v>
      </c>
      <c r="B47" s="129">
        <v>0</v>
      </c>
      <c r="C47" s="1767" t="s">
        <v>2057</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2058</v>
      </c>
      <c r="B48" s="130">
        <v>0.03</v>
      </c>
      <c r="C48" s="1774" t="s">
        <v>2059</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2060</v>
      </c>
      <c r="B49" s="126">
        <v>5.0000000000000001E-4</v>
      </c>
      <c r="C49" s="1774" t="s">
        <v>2061</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2062</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2063</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2064</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2065</v>
      </c>
      <c r="B53" s="2337" t="s">
        <v>56</v>
      </c>
      <c r="C53" s="1430" t="s">
        <v>2066</v>
      </c>
      <c r="D53" s="2338" t="s">
        <v>2067</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2068</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2069</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2070</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2071</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2072</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2073</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2074</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2075</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2076</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2077</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31" sqref="H31"/>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55" t="s">
        <v>2078</v>
      </c>
      <c r="B1" s="3056"/>
      <c r="C1" s="3056"/>
      <c r="D1" s="3056"/>
      <c r="E1" s="3056"/>
      <c r="F1" s="3056"/>
      <c r="G1" s="305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2079</v>
      </c>
      <c r="D2" s="2367"/>
      <c r="E2" s="2368"/>
      <c r="F2" s="2287"/>
      <c r="G2" s="2366" t="s">
        <v>2080</v>
      </c>
      <c r="H2" s="2369"/>
      <c r="I2" s="2369"/>
      <c r="J2" s="2369"/>
      <c r="K2" s="2369"/>
      <c r="L2" s="2369"/>
      <c r="M2" s="2369"/>
      <c r="N2" s="2369"/>
      <c r="O2" s="2369"/>
      <c r="P2" s="2369"/>
      <c r="Q2" s="2369"/>
      <c r="R2" s="2369"/>
    </row>
    <row r="3" spans="1:29" ht="27">
      <c r="A3" s="415" t="s">
        <v>2081</v>
      </c>
      <c r="B3" s="1271" t="s">
        <v>2082</v>
      </c>
      <c r="C3" s="2954" t="s">
        <v>3262</v>
      </c>
      <c r="D3" s="2371"/>
      <c r="E3" s="431" t="s">
        <v>2081</v>
      </c>
      <c r="F3" s="2372" t="s">
        <v>2083</v>
      </c>
      <c r="G3" s="2373"/>
      <c r="H3" s="2369"/>
      <c r="I3" s="2369"/>
      <c r="J3" s="2369"/>
      <c r="K3" s="2369"/>
      <c r="L3" s="2369"/>
      <c r="M3" s="2369"/>
      <c r="N3" s="2369"/>
      <c r="O3" s="2369"/>
      <c r="P3" s="2369"/>
      <c r="Q3" s="2369"/>
      <c r="R3" s="2369"/>
    </row>
    <row r="4" spans="1:29" ht="15">
      <c r="A4" s="431"/>
      <c r="B4" s="1798" t="s">
        <v>2084</v>
      </c>
      <c r="C4" s="2374"/>
      <c r="D4" s="2371"/>
      <c r="E4" s="2375"/>
      <c r="F4" s="42" t="s">
        <v>2085</v>
      </c>
      <c r="G4" s="2376"/>
      <c r="H4" s="2369"/>
      <c r="I4" s="2369"/>
      <c r="J4" s="2369"/>
      <c r="K4" s="2369"/>
      <c r="L4" s="2369"/>
      <c r="M4" s="2369"/>
      <c r="N4" s="2369"/>
      <c r="O4" s="2369"/>
      <c r="P4" s="2369"/>
      <c r="Q4" s="2369"/>
      <c r="R4" s="2369"/>
    </row>
    <row r="5" spans="1:29" ht="15">
      <c r="A5" s="431"/>
      <c r="B5" s="1798" t="s">
        <v>2086</v>
      </c>
      <c r="C5" s="2374"/>
      <c r="D5" s="2371"/>
      <c r="E5" s="2375"/>
      <c r="F5" s="1798" t="s">
        <v>2087</v>
      </c>
      <c r="G5" s="2376"/>
      <c r="H5" s="2369"/>
      <c r="I5" s="2369"/>
      <c r="J5" s="2369"/>
      <c r="K5" s="2369"/>
      <c r="L5" s="2369"/>
      <c r="M5" s="2369"/>
      <c r="N5" s="2369"/>
      <c r="O5" s="2369"/>
      <c r="P5" s="2369"/>
      <c r="Q5" s="2369"/>
      <c r="R5" s="2369"/>
    </row>
    <row r="6" spans="1:29" ht="15">
      <c r="A6" s="431"/>
      <c r="B6" s="1798" t="s">
        <v>2088</v>
      </c>
      <c r="C6" s="2955" t="s">
        <v>3264</v>
      </c>
      <c r="D6" s="2371"/>
      <c r="E6" s="2375"/>
      <c r="F6" s="1798" t="s">
        <v>2089</v>
      </c>
      <c r="G6" s="2376"/>
      <c r="H6" s="2369"/>
      <c r="I6" s="2369"/>
      <c r="J6" s="2369"/>
      <c r="K6" s="2369"/>
      <c r="L6" s="2369"/>
      <c r="M6" s="2369"/>
      <c r="N6" s="2369"/>
      <c r="O6" s="2369"/>
      <c r="P6" s="2369"/>
      <c r="Q6" s="2369"/>
      <c r="R6" s="2369"/>
    </row>
    <row r="7" spans="1:29" ht="15.75" thickBot="1">
      <c r="A7" s="431"/>
      <c r="B7" s="1798" t="s">
        <v>2087</v>
      </c>
      <c r="C7" s="2955" t="s">
        <v>3265</v>
      </c>
      <c r="D7" s="2377"/>
      <c r="E7" s="2378"/>
      <c r="F7" s="2379" t="s">
        <v>2090</v>
      </c>
      <c r="G7" s="2380"/>
      <c r="H7" s="2369"/>
      <c r="I7" s="2369"/>
      <c r="J7" s="2369"/>
      <c r="K7" s="2369"/>
      <c r="L7" s="2369"/>
      <c r="M7" s="2369"/>
      <c r="N7" s="2369"/>
      <c r="O7" s="2369"/>
      <c r="P7" s="2369"/>
      <c r="Q7" s="2369"/>
      <c r="R7" s="2369"/>
    </row>
    <row r="8" spans="1:29" ht="15">
      <c r="A8" s="431"/>
      <c r="B8" s="1798" t="s">
        <v>2089</v>
      </c>
      <c r="C8" s="2955" t="s">
        <v>3267</v>
      </c>
      <c r="D8" s="2377"/>
      <c r="E8" s="2377"/>
      <c r="F8" s="1136"/>
      <c r="G8" s="1136"/>
      <c r="H8" s="2369"/>
      <c r="I8" s="2369"/>
      <c r="J8" s="2369"/>
      <c r="K8" s="2369"/>
      <c r="L8" s="2369"/>
      <c r="M8" s="2369"/>
      <c r="N8" s="2369"/>
      <c r="O8" s="2369"/>
      <c r="P8" s="2369"/>
      <c r="Q8" s="2369"/>
      <c r="R8" s="2369"/>
    </row>
    <row r="9" spans="1:29" ht="15">
      <c r="A9" s="431"/>
      <c r="B9" s="1798" t="s">
        <v>2091</v>
      </c>
      <c r="C9" s="2956" t="s">
        <v>3265</v>
      </c>
      <c r="D9" s="2371"/>
      <c r="E9" s="2377"/>
      <c r="F9" s="1136"/>
      <c r="G9" s="1136"/>
      <c r="H9" s="2369"/>
      <c r="I9" s="2369"/>
      <c r="J9" s="2369"/>
      <c r="K9" s="2369"/>
      <c r="L9" s="2369"/>
      <c r="M9" s="2369"/>
      <c r="N9" s="2369"/>
      <c r="O9" s="2369"/>
      <c r="P9" s="2369"/>
      <c r="Q9" s="2369"/>
      <c r="R9" s="2369"/>
    </row>
    <row r="10" spans="1:29" s="117" customFormat="1" ht="15.75" thickBot="1">
      <c r="A10" s="2381"/>
      <c r="B10" s="2382" t="s">
        <v>2092</v>
      </c>
      <c r="C10" s="2383"/>
      <c r="D10" s="2371"/>
      <c r="E10" s="2371"/>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2093</v>
      </c>
      <c r="B13" s="2388"/>
      <c r="C13" s="2388"/>
      <c r="D13" s="2395"/>
      <c r="E13" s="2388"/>
      <c r="F13" s="2388"/>
      <c r="G13" s="2388"/>
    </row>
    <row r="14" spans="1:29" ht="15.75" thickBot="1">
      <c r="A14" s="2399"/>
      <c r="B14" s="2400"/>
      <c r="C14" s="2401" t="s">
        <v>2094</v>
      </c>
      <c r="D14" s="2371"/>
      <c r="E14" s="2402"/>
      <c r="F14" s="2402"/>
      <c r="G14" s="2366" t="s">
        <v>2095</v>
      </c>
    </row>
    <row r="15" spans="1:29" ht="27">
      <c r="A15" s="68" t="s">
        <v>2096</v>
      </c>
      <c r="B15" s="1270" t="s">
        <v>2082</v>
      </c>
      <c r="C15" s="2403" t="str">
        <f>C3</f>
        <v>较好</v>
      </c>
      <c r="D15" s="2371"/>
      <c r="E15" s="2404" t="s">
        <v>2097</v>
      </c>
      <c r="F15" s="1270" t="s">
        <v>2098</v>
      </c>
      <c r="G15" s="135">
        <f>G3</f>
        <v>0</v>
      </c>
    </row>
    <row r="16" spans="1:29" ht="15">
      <c r="A16" s="645"/>
      <c r="B16" s="2405" t="s">
        <v>2084</v>
      </c>
      <c r="C16" s="2406">
        <f>C4</f>
        <v>0</v>
      </c>
      <c r="D16" s="2371"/>
      <c r="E16" s="2407"/>
      <c r="F16" s="2408" t="s">
        <v>2085</v>
      </c>
      <c r="G16" s="136">
        <f>G4</f>
        <v>0</v>
      </c>
    </row>
    <row r="17" spans="1:18" ht="15">
      <c r="A17" s="645"/>
      <c r="B17" s="2405" t="s">
        <v>2086</v>
      </c>
      <c r="C17" s="2406">
        <f>C5</f>
        <v>0</v>
      </c>
      <c r="D17" s="2377"/>
      <c r="E17" s="2407"/>
      <c r="F17" s="2408" t="s">
        <v>2099</v>
      </c>
      <c r="G17" s="1572"/>
    </row>
    <row r="18" spans="1:18" ht="15">
      <c r="A18" s="645"/>
      <c r="B18" s="2408" t="s">
        <v>2088</v>
      </c>
      <c r="C18" s="136" t="str">
        <f>C6</f>
        <v>一般</v>
      </c>
      <c r="D18" s="2377"/>
      <c r="E18" s="2407"/>
      <c r="F18" s="2408" t="s">
        <v>2090</v>
      </c>
      <c r="G18" s="136">
        <f>G7</f>
        <v>0</v>
      </c>
    </row>
    <row r="19" spans="1:18" ht="15">
      <c r="A19" s="645"/>
      <c r="B19" s="2408" t="s">
        <v>2100</v>
      </c>
      <c r="C19" s="2957" t="s">
        <v>3268</v>
      </c>
      <c r="D19" s="2371"/>
      <c r="E19" s="2407"/>
      <c r="F19" s="1798" t="s">
        <v>2087</v>
      </c>
      <c r="G19" s="136">
        <f>G5</f>
        <v>0</v>
      </c>
    </row>
    <row r="20" spans="1:18" ht="15">
      <c r="A20" s="645"/>
      <c r="B20" s="2408" t="s">
        <v>2101</v>
      </c>
      <c r="C20" s="2406" t="str">
        <f>C9</f>
        <v>较好</v>
      </c>
      <c r="D20" s="2377"/>
      <c r="E20" s="2407"/>
      <c r="F20" s="1798" t="s">
        <v>2102</v>
      </c>
      <c r="G20" s="136">
        <f>G6</f>
        <v>0</v>
      </c>
    </row>
    <row r="21" spans="1:18" ht="15">
      <c r="A21" s="645"/>
      <c r="B21" s="1798" t="s">
        <v>2087</v>
      </c>
      <c r="C21" s="136" t="str">
        <f>C7</f>
        <v>较好</v>
      </c>
      <c r="D21" s="2371"/>
      <c r="E21" s="2407"/>
      <c r="F21" s="2408" t="s">
        <v>2103</v>
      </c>
      <c r="G21" s="2409"/>
    </row>
    <row r="22" spans="1:18" ht="13.5" customHeight="1">
      <c r="A22" s="645"/>
      <c r="B22" s="1798" t="s">
        <v>2089</v>
      </c>
      <c r="C22" s="136" t="str">
        <f>C8</f>
        <v>七通</v>
      </c>
      <c r="D22" s="2371"/>
      <c r="E22" s="2407"/>
      <c r="F22" s="2408" t="s">
        <v>2092</v>
      </c>
      <c r="G22" s="1572"/>
    </row>
    <row r="23" spans="1:18" s="2369" customFormat="1" ht="15.75" thickBot="1">
      <c r="A23" s="645"/>
      <c r="B23" s="2408" t="s">
        <v>2103</v>
      </c>
      <c r="C23" s="2409"/>
      <c r="D23" s="2396"/>
      <c r="E23" s="2410"/>
      <c r="F23" s="2411" t="s">
        <v>2104</v>
      </c>
      <c r="G23" s="2412"/>
      <c r="H23" s="2396"/>
      <c r="I23" s="2397"/>
      <c r="J23" s="2396"/>
      <c r="K23" s="2396"/>
      <c r="L23" s="2397"/>
      <c r="M23" s="2396"/>
      <c r="N23" s="2396"/>
      <c r="O23" s="2397"/>
      <c r="P23" s="2396"/>
      <c r="Q23" s="2396"/>
      <c r="R23" s="2398"/>
    </row>
    <row r="24" spans="1:18" s="2369" customFormat="1" ht="15.75" thickBot="1">
      <c r="A24" s="2413"/>
      <c r="B24" s="2411" t="s">
        <v>2105</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9" sqref="H19"/>
    </sheetView>
  </sheetViews>
  <sheetFormatPr defaultRowHeight="13.5"/>
  <cols>
    <col min="1" max="1" width="23.375" style="1741" customWidth="1"/>
    <col min="2" max="9" width="15.75" style="1741" customWidth="1"/>
    <col min="10" max="16384" width="9" style="1741"/>
  </cols>
  <sheetData>
    <row r="1" spans="1:10" ht="16.5">
      <c r="A1" s="1746" t="s">
        <v>1365</v>
      </c>
      <c r="B1" s="1746">
        <f>SUM(B14:B23)</f>
        <v>152301.77000000002</v>
      </c>
      <c r="C1" s="1745"/>
      <c r="D1" s="1745"/>
      <c r="E1" s="1745"/>
      <c r="F1" s="1745"/>
      <c r="G1" s="1743"/>
    </row>
    <row r="2" spans="1:10" ht="16.5">
      <c r="A2" s="1746" t="s">
        <v>1353</v>
      </c>
      <c r="B2" s="1746">
        <f>SUM(C14:C23)</f>
        <v>71422.77</v>
      </c>
      <c r="C2" s="1745"/>
      <c r="D2" s="1745"/>
      <c r="E2" s="1745"/>
      <c r="F2" s="1745"/>
      <c r="G2" s="1743"/>
    </row>
    <row r="3" spans="1:10" ht="16.5">
      <c r="A3" s="1746" t="s">
        <v>1362</v>
      </c>
      <c r="B3" s="1747">
        <f>项目基本情况!D3</f>
        <v>43381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355672</v>
      </c>
      <c r="C5" s="1746">
        <f ca="1">ROUND(B5*10000/$B$1,0)</f>
        <v>23353</v>
      </c>
      <c r="D5" s="1746">
        <f ca="1">ROUND(B5*10000/$B$2,0)</f>
        <v>49798</v>
      </c>
      <c r="E5" s="1745"/>
      <c r="F5" s="1743"/>
      <c r="G5" s="1743"/>
    </row>
    <row r="6" spans="1:10" ht="16.5">
      <c r="A6" s="1746" t="s">
        <v>1356</v>
      </c>
      <c r="B6" s="1746">
        <f ca="1">SUM(G14:G23)</f>
        <v>355672</v>
      </c>
      <c r="C6" s="1746">
        <f ca="1">ROUND(B6*10000/$B$1,0)</f>
        <v>23353</v>
      </c>
      <c r="D6" s="1746">
        <f ca="1">ROUND(B6*10000/$B$2,0)</f>
        <v>49798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95346</v>
      </c>
      <c r="C14" s="1744">
        <f>结果表!C118</f>
        <v>44764.76</v>
      </c>
      <c r="D14" s="1744">
        <f ca="1">结果表!H118</f>
        <v>201800</v>
      </c>
      <c r="E14" s="1744">
        <f ca="1">ROUND(D14*10000/B14,0)</f>
        <v>21165</v>
      </c>
      <c r="F14" s="1744">
        <f ca="1">ROUND(D14*10000/C14,0)</f>
        <v>45080</v>
      </c>
      <c r="G14" s="1744">
        <f ca="1">结果表!D122</f>
        <v>201800</v>
      </c>
      <c r="H14" s="1744" t="str">
        <f>结果表!D124</f>
        <v>——</v>
      </c>
      <c r="I14" s="1744" t="str">
        <f>结果表!D126</f>
        <v>——</v>
      </c>
      <c r="J14" s="1743"/>
    </row>
    <row r="15" spans="1:10" ht="16.5">
      <c r="A15" s="1742" t="s">
        <v>1349</v>
      </c>
      <c r="B15" s="3293">
        <f>[2]系统读取表!B14</f>
        <v>56955.770000000004</v>
      </c>
      <c r="C15" s="3293">
        <f>[2]系统读取表!C14</f>
        <v>26658.01</v>
      </c>
      <c r="D15" s="3293">
        <f ca="1">[2]系统读取表!D14</f>
        <v>153872</v>
      </c>
      <c r="E15" s="1744">
        <f t="shared" ref="E15:E23" ca="1" si="0">ROUND(D15*10000/B15,0)</f>
        <v>27016</v>
      </c>
      <c r="F15" s="1744">
        <f t="shared" ref="F15:F23" ca="1" si="1">ROUND(D15*10000/C15,0)</f>
        <v>57721</v>
      </c>
      <c r="G15" s="3293">
        <f ca="1">[2]系统读取表!G14</f>
        <v>153872</v>
      </c>
      <c r="H15" s="3293" t="str">
        <f>[2]系统读取表!H14</f>
        <v>——</v>
      </c>
      <c r="I15" s="3293" t="str">
        <f>[2]系统读取表!I14</f>
        <v>——</v>
      </c>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2106</v>
      </c>
      <c r="B1" s="2419"/>
      <c r="C1" s="2420"/>
      <c r="D1" s="2419"/>
      <c r="E1" s="2419"/>
      <c r="F1" s="2421" t="s">
        <v>2107</v>
      </c>
      <c r="G1" s="2072" t="s">
        <v>3244</v>
      </c>
      <c r="H1" s="2422" t="str">
        <f>IF(G1="现房","——","估价对象范围")</f>
        <v>估价对象范围</v>
      </c>
      <c r="I1" s="2423" t="s">
        <v>3290</v>
      </c>
    </row>
    <row r="2" spans="1:12" ht="21.75" customHeight="1" thickBot="1">
      <c r="A2" s="3090" t="str">
        <f>项目基本情况!S2</f>
        <v>北京市昌平区北七家镇（中心起步区（海鶄落新村建设）项目一期）HQL-13地块、18地块二宗住宅用地出让国有建设用地使用权出让国有建设用地使用权</v>
      </c>
      <c r="B2" s="3091"/>
      <c r="C2" s="3091"/>
      <c r="D2" s="3091"/>
      <c r="E2" s="3091"/>
      <c r="F2" s="3091"/>
      <c r="G2" s="3091"/>
      <c r="H2" s="3091"/>
      <c r="I2" s="3092"/>
    </row>
    <row r="3" spans="1:12" ht="12.75">
      <c r="A3" s="3094" t="s">
        <v>2108</v>
      </c>
      <c r="B3" s="3095"/>
      <c r="C3" s="3095"/>
      <c r="D3" s="3095"/>
      <c r="E3" s="3095"/>
      <c r="F3" s="3095"/>
      <c r="G3" s="3095"/>
      <c r="H3" s="3095"/>
      <c r="I3" s="3095"/>
    </row>
    <row r="4" spans="1:12" ht="14.25">
      <c r="A4" s="2426" t="s">
        <v>2109</v>
      </c>
      <c r="B4" s="2427" t="s">
        <v>2110</v>
      </c>
      <c r="C4" s="2428" t="s">
        <v>3288</v>
      </c>
      <c r="D4" s="2428" t="s">
        <v>3289</v>
      </c>
      <c r="E4" s="3087" t="s">
        <v>2111</v>
      </c>
      <c r="F4" s="3088"/>
      <c r="G4" s="3088"/>
      <c r="H4" s="3088"/>
      <c r="I4" s="3096"/>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070" t="s">
        <v>2112</v>
      </c>
      <c r="B5" s="3008">
        <v>25</v>
      </c>
      <c r="C5" s="3073"/>
      <c r="D5" s="3093"/>
      <c r="E5" s="140" t="s">
        <v>2113</v>
      </c>
      <c r="F5" s="2430"/>
      <c r="G5" s="2430"/>
      <c r="H5" s="2430"/>
      <c r="I5" s="1834"/>
    </row>
    <row r="6" spans="1:12" ht="12.75">
      <c r="A6" s="3070"/>
      <c r="B6" s="3008"/>
      <c r="C6" s="3074"/>
      <c r="D6" s="3093"/>
      <c r="E6" s="140" t="s">
        <v>2114</v>
      </c>
      <c r="F6" s="2430"/>
      <c r="G6" s="2430"/>
      <c r="H6" s="2430"/>
      <c r="I6" s="1834"/>
    </row>
    <row r="7" spans="1:12" ht="12.75">
      <c r="A7" s="3070"/>
      <c r="B7" s="3008"/>
      <c r="C7" s="3075"/>
      <c r="D7" s="3093"/>
      <c r="E7" s="140" t="s">
        <v>2115</v>
      </c>
      <c r="F7" s="2430"/>
      <c r="G7" s="2430"/>
      <c r="H7" s="2430"/>
      <c r="I7" s="1834"/>
    </row>
    <row r="8" spans="1:12" ht="12.75">
      <c r="A8" s="3070" t="s">
        <v>2116</v>
      </c>
      <c r="B8" s="3008">
        <v>15</v>
      </c>
      <c r="C8" s="3073"/>
      <c r="D8" s="3093"/>
      <c r="E8" s="140" t="s">
        <v>2117</v>
      </c>
      <c r="F8" s="2430"/>
      <c r="G8" s="2430"/>
      <c r="H8" s="2430"/>
      <c r="I8" s="1834"/>
    </row>
    <row r="9" spans="1:12" ht="12.75">
      <c r="A9" s="3070"/>
      <c r="B9" s="3008"/>
      <c r="C9" s="3075"/>
      <c r="D9" s="3093"/>
      <c r="E9" s="140" t="s">
        <v>2118</v>
      </c>
      <c r="F9" s="2430"/>
      <c r="G9" s="2430"/>
      <c r="H9" s="2430"/>
      <c r="I9" s="1834"/>
    </row>
    <row r="10" spans="1:12" ht="12.75">
      <c r="A10" s="3070" t="s">
        <v>2119</v>
      </c>
      <c r="B10" s="3008">
        <v>15</v>
      </c>
      <c r="C10" s="3073"/>
      <c r="D10" s="3093"/>
      <c r="E10" s="140" t="s">
        <v>2120</v>
      </c>
      <c r="F10" s="2430"/>
      <c r="G10" s="2430"/>
      <c r="H10" s="2430"/>
      <c r="I10" s="1834"/>
    </row>
    <row r="11" spans="1:12" ht="12.75">
      <c r="A11" s="3070"/>
      <c r="B11" s="3008"/>
      <c r="C11" s="3075"/>
      <c r="D11" s="3093"/>
      <c r="E11" s="140" t="s">
        <v>2121</v>
      </c>
      <c r="F11" s="2430"/>
      <c r="G11" s="2430"/>
      <c r="H11" s="2430"/>
      <c r="I11" s="1834"/>
    </row>
    <row r="12" spans="1:12" ht="12.75">
      <c r="A12" s="3070" t="s">
        <v>2122</v>
      </c>
      <c r="B12" s="3008">
        <v>15</v>
      </c>
      <c r="C12" s="3073"/>
      <c r="D12" s="3093"/>
      <c r="E12" s="140" t="s">
        <v>2123</v>
      </c>
      <c r="F12" s="2430"/>
      <c r="G12" s="2430"/>
      <c r="H12" s="2430"/>
      <c r="I12" s="1834"/>
    </row>
    <row r="13" spans="1:12" ht="12.75">
      <c r="A13" s="3070"/>
      <c r="B13" s="3008"/>
      <c r="C13" s="3075"/>
      <c r="D13" s="3093"/>
      <c r="E13" s="140" t="s">
        <v>2124</v>
      </c>
      <c r="F13" s="2430"/>
      <c r="G13" s="2430"/>
      <c r="H13" s="2430"/>
      <c r="I13" s="1834"/>
    </row>
    <row r="14" spans="1:12" ht="12.75">
      <c r="A14" s="3070" t="s">
        <v>2125</v>
      </c>
      <c r="B14" s="3008">
        <v>30</v>
      </c>
      <c r="C14" s="3073">
        <v>5</v>
      </c>
      <c r="D14" s="3093">
        <v>5</v>
      </c>
      <c r="E14" s="140" t="s">
        <v>2126</v>
      </c>
      <c r="F14" s="2430"/>
      <c r="G14" s="2430"/>
      <c r="H14" s="2430"/>
      <c r="I14" s="1834"/>
    </row>
    <row r="15" spans="1:12" ht="12.75">
      <c r="A15" s="3070"/>
      <c r="B15" s="3008"/>
      <c r="C15" s="3074"/>
      <c r="D15" s="3093"/>
      <c r="E15" s="140" t="s">
        <v>2127</v>
      </c>
      <c r="F15" s="2430"/>
      <c r="G15" s="2430"/>
      <c r="H15" s="2430"/>
      <c r="I15" s="1834"/>
    </row>
    <row r="16" spans="1:12" ht="12.75">
      <c r="A16" s="3070"/>
      <c r="B16" s="3008"/>
      <c r="C16" s="3075"/>
      <c r="D16" s="3093"/>
      <c r="E16" s="140" t="s">
        <v>2128</v>
      </c>
      <c r="F16" s="2430"/>
      <c r="G16" s="2430"/>
      <c r="H16" s="2430"/>
      <c r="I16" s="1834"/>
    </row>
    <row r="17" spans="1:35" ht="15">
      <c r="A17" s="2431" t="s">
        <v>2129</v>
      </c>
      <c r="B17" s="64"/>
      <c r="C17" s="141">
        <f>SUM(C5:C16)</f>
        <v>5</v>
      </c>
      <c r="D17" s="141">
        <f>SUM(D5:D16)</f>
        <v>5</v>
      </c>
      <c r="E17" s="138"/>
      <c r="F17" s="138"/>
      <c r="G17" s="138"/>
      <c r="H17" s="138"/>
      <c r="I17" s="138"/>
      <c r="K17" s="2429"/>
      <c r="L17" s="2432" t="s">
        <v>2130</v>
      </c>
      <c r="M17" s="2432" t="s">
        <v>2131</v>
      </c>
    </row>
    <row r="18" spans="1:35" ht="15.75" thickBot="1">
      <c r="A18" s="2433" t="s">
        <v>2132</v>
      </c>
      <c r="B18" s="2434"/>
      <c r="C18" s="142">
        <f>ROUND(C17/SUM(C17:D17),2)</f>
        <v>0.5</v>
      </c>
      <c r="D18" s="142">
        <f>1-C18</f>
        <v>0.5</v>
      </c>
      <c r="E18" s="138"/>
      <c r="F18" s="138"/>
      <c r="G18" s="138"/>
      <c r="H18" s="138"/>
      <c r="I18" s="138"/>
      <c r="K18" s="2429" t="s">
        <v>2133</v>
      </c>
      <c r="L18" s="2429">
        <f>IF(C1="",'数据-汇总表'!E3,SUMIF(项目类型,C1,'数据-汇总表'!E17:E26)+SUMIF(项目类型,C1,'数据-汇总表'!I17:I26))</f>
        <v>95346</v>
      </c>
      <c r="M18" s="2429">
        <f>IF(C1="",'数据-汇总表'!E3,SUMIF(项目类型,C1,'数据-汇总表'!E17:E26))</f>
        <v>95346</v>
      </c>
    </row>
    <row r="19" spans="1:35" ht="15">
      <c r="A19" s="2435" t="s">
        <v>2134</v>
      </c>
      <c r="B19" s="2436" t="s">
        <v>2135</v>
      </c>
      <c r="C19" s="143">
        <f ca="1">SUMIF(INDIRECT("'"&amp;C4&amp;"'"&amp;"!A:A"),结果表!B19,INDIRECT("'"&amp;C4&amp;"'"&amp;"!B:B"))</f>
        <v>194675</v>
      </c>
      <c r="D19" s="144">
        <f ca="1">SUMIF(INDIRECT("'"&amp;D4&amp;"'"&amp;"!A:A"),结果表!B19,INDIRECT("'"&amp;D4&amp;"'"&amp;"!B:B"))</f>
        <v>208925</v>
      </c>
      <c r="E19" s="2435" t="s">
        <v>2136</v>
      </c>
      <c r="F19" s="2436" t="s">
        <v>2135</v>
      </c>
      <c r="G19" s="145">
        <f ca="1">ROUND(C19*$C$18+D19*$D$18,0)</f>
        <v>201800</v>
      </c>
      <c r="H19" s="2437" t="s">
        <v>2137</v>
      </c>
      <c r="I19" s="138"/>
      <c r="K19" s="2429" t="s">
        <v>2138</v>
      </c>
      <c r="L19" s="2429">
        <f>IF(C1="",'数据-汇总表'!D3,SUMIF(项目类型,C1,'数据-汇总表'!D17:D26)+SUMIF(项目类型,C1,'数据-汇总表'!H17:H27))</f>
        <v>44764.76</v>
      </c>
      <c r="M19" s="2429">
        <f>IF(C1="",'数据-汇总表'!D3,SUMIF(项目类型,C1,'数据-汇总表'!D17:D26))</f>
        <v>44764.76</v>
      </c>
    </row>
    <row r="20" spans="1:35" ht="15">
      <c r="A20" s="2438"/>
      <c r="B20" s="1250" t="s">
        <v>2139</v>
      </c>
      <c r="C20" s="146">
        <f ca="1">SUMIF(INDIRECT("'"&amp;C4&amp;"'"&amp;"!A:A"),结果表!B20,INDIRECT("'"&amp;C4&amp;"'"&amp;"!B:B"))</f>
        <v>20418</v>
      </c>
      <c r="D20" s="147">
        <f ca="1">SUMIF(INDIRECT("'"&amp;D4&amp;"'"&amp;"!A:A"),结果表!B20,INDIRECT("'"&amp;D4&amp;"'"&amp;"!B:B"))</f>
        <v>21912</v>
      </c>
      <c r="E20" s="2438"/>
      <c r="F20" s="1250" t="s">
        <v>2139</v>
      </c>
      <c r="G20" s="148">
        <f ca="1">ROUND(C20*$C$18+D20*$D$18,0)</f>
        <v>21165</v>
      </c>
      <c r="H20" s="983" t="s">
        <v>2140</v>
      </c>
      <c r="I20" s="138"/>
    </row>
    <row r="21" spans="1:35" ht="15" customHeight="1" thickBot="1">
      <c r="A21" s="1003"/>
      <c r="B21" s="2439" t="s">
        <v>2141</v>
      </c>
      <c r="C21" s="789">
        <f ca="1">ROUND(C19*10000/L19,0)</f>
        <v>43488</v>
      </c>
      <c r="D21" s="790">
        <f ca="1">ROUND(D19*10000/L19,0)</f>
        <v>46672</v>
      </c>
      <c r="E21" s="1003"/>
      <c r="F21" s="2439" t="s">
        <v>2141</v>
      </c>
      <c r="G21" s="149">
        <f ca="1">ROUND(G19*10000/L19,0)</f>
        <v>45080</v>
      </c>
      <c r="H21" s="2440" t="s">
        <v>2140</v>
      </c>
      <c r="I21" s="138"/>
    </row>
    <row r="22" spans="1:35" ht="15" thickBot="1">
      <c r="A22" s="2282" t="s">
        <v>2142</v>
      </c>
      <c r="B22" s="2441"/>
      <c r="C22" s="2442"/>
      <c r="D22" s="791">
        <f ca="1">IF(C19&lt;D19,D19/C19-1,C19/D19-1)</f>
        <v>7.3198921279054918E-2</v>
      </c>
      <c r="E22" s="138"/>
      <c r="F22" s="138"/>
      <c r="G22" s="138"/>
      <c r="H22" s="138"/>
      <c r="I22" s="138"/>
    </row>
    <row r="23" spans="1:35" ht="13.5" thickBot="1">
      <c r="A23" s="2419"/>
      <c r="B23" s="2419"/>
      <c r="C23" s="2419"/>
      <c r="D23" s="2419"/>
      <c r="E23" s="138"/>
      <c r="F23" s="138"/>
      <c r="G23" s="138"/>
      <c r="H23" s="138"/>
      <c r="I23" s="138"/>
    </row>
    <row r="24" spans="1:35" ht="14.25">
      <c r="A24" s="3064" t="s">
        <v>2143</v>
      </c>
      <c r="B24" s="2436" t="s">
        <v>2135</v>
      </c>
      <c r="C24" s="145">
        <f>IF(B30=0,0,D30)</f>
        <v>0</v>
      </c>
      <c r="D24" s="2443"/>
      <c r="E24" s="138"/>
      <c r="F24" s="138"/>
      <c r="G24" s="138"/>
      <c r="H24" s="138"/>
      <c r="I24" s="138"/>
    </row>
    <row r="25" spans="1:35" ht="14.25">
      <c r="A25" s="3065"/>
      <c r="B25" s="1250" t="s">
        <v>2139</v>
      </c>
      <c r="C25" s="150">
        <f>IF(B30=0,0,C30)</f>
        <v>0</v>
      </c>
      <c r="D25" s="2444"/>
      <c r="E25" s="138"/>
      <c r="F25" s="138"/>
      <c r="G25" s="138"/>
      <c r="H25" s="138"/>
      <c r="I25" s="138"/>
    </row>
    <row r="26" spans="1:35" ht="13.5" customHeight="1">
      <c r="A26" s="2445" t="s">
        <v>2144</v>
      </c>
      <c r="B26" s="151" t="s">
        <v>2145</v>
      </c>
      <c r="C26" s="151" t="s">
        <v>2146</v>
      </c>
      <c r="D26" s="152" t="s">
        <v>2147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2148</v>
      </c>
      <c r="B30" s="151"/>
      <c r="C30" s="151"/>
      <c r="D30" s="151"/>
      <c r="E30" s="2925" t="s">
        <v>3023</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2149</v>
      </c>
      <c r="B32" s="2449"/>
      <c r="C32" s="153">
        <f ca="1">IF(D32="总价",G19-C24,G20-C25)</f>
        <v>201800</v>
      </c>
      <c r="D32" s="2450" t="s">
        <v>2150</v>
      </c>
      <c r="E32" s="138"/>
      <c r="F32" s="138"/>
      <c r="G32" s="138"/>
      <c r="H32" s="138"/>
      <c r="I32" s="138"/>
    </row>
    <row r="33" spans="1:15" ht="15">
      <c r="A33" s="960" t="s">
        <v>2151</v>
      </c>
      <c r="B33" s="2451"/>
      <c r="C33" s="2452"/>
      <c r="D33" s="2453"/>
      <c r="E33" s="2454" t="s">
        <v>2152</v>
      </c>
      <c r="F33" s="2455" t="str">
        <f>IF(D32="楼面单价","取值（单价）","取值（总价）")</f>
        <v>取值（总价）</v>
      </c>
      <c r="G33" s="138"/>
      <c r="H33" s="138"/>
      <c r="I33" s="138"/>
    </row>
    <row r="34" spans="1:15" ht="15">
      <c r="A34" s="2456"/>
      <c r="B34" s="2457" t="s">
        <v>2153</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2154</v>
      </c>
      <c r="F34" s="1739"/>
      <c r="G34" s="138"/>
      <c r="H34" s="138"/>
      <c r="I34" s="138"/>
    </row>
    <row r="35" spans="1:15" ht="15.75" thickBot="1">
      <c r="A35" s="2459"/>
      <c r="B35" s="2460" t="s">
        <v>2155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2156</v>
      </c>
      <c r="F35" s="163"/>
      <c r="G35" s="138"/>
      <c r="H35" s="138"/>
      <c r="I35" s="138"/>
    </row>
    <row r="36" spans="1:15" ht="15.75" thickBot="1">
      <c r="A36" s="3082" t="s">
        <v>2157</v>
      </c>
      <c r="B36" s="2462" t="s">
        <v>2158</v>
      </c>
      <c r="C36" s="154"/>
      <c r="D36" s="2463"/>
      <c r="E36" s="2464"/>
      <c r="F36" s="2465"/>
      <c r="G36" s="138"/>
      <c r="H36" s="138"/>
      <c r="I36" s="138"/>
    </row>
    <row r="37" spans="1:15" ht="15.75" thickBot="1">
      <c r="A37" s="3083"/>
      <c r="B37" s="2268" t="s">
        <v>2159</v>
      </c>
      <c r="C37" s="156"/>
      <c r="D37" s="1395"/>
      <c r="E37" s="1395"/>
      <c r="F37" s="2465"/>
      <c r="G37" s="138"/>
      <c r="H37" s="138"/>
      <c r="I37" s="138"/>
    </row>
    <row r="38" spans="1:15" ht="15.75" thickBot="1">
      <c r="A38" s="3084"/>
      <c r="B38" s="2466" t="s">
        <v>2160</v>
      </c>
      <c r="C38" s="727"/>
      <c r="D38" s="2467" t="s">
        <v>2161</v>
      </c>
      <c r="E38" s="1395"/>
      <c r="F38" s="2465"/>
      <c r="G38" s="138"/>
      <c r="H38" s="138"/>
      <c r="I38" s="138"/>
    </row>
    <row r="39" spans="1:15" ht="15">
      <c r="A39" s="2438" t="s">
        <v>2162</v>
      </c>
      <c r="B39" s="2468" t="s">
        <v>2163</v>
      </c>
      <c r="C39" s="2469" t="s">
        <v>2164</v>
      </c>
      <c r="D39" s="2469" t="s">
        <v>2165</v>
      </c>
      <c r="E39" s="2470" t="s">
        <v>2166</v>
      </c>
      <c r="F39" s="2465"/>
      <c r="G39" s="138"/>
      <c r="H39" s="138"/>
      <c r="I39" s="138"/>
    </row>
    <row r="40" spans="1:15" ht="14.25">
      <c r="A40" s="2471" t="s">
        <v>2167</v>
      </c>
      <c r="B40" s="158"/>
      <c r="C40" s="159"/>
      <c r="D40" s="159"/>
      <c r="E40" s="160"/>
      <c r="F40" s="2465"/>
      <c r="G40" s="138"/>
      <c r="H40" s="138"/>
      <c r="I40" s="138"/>
    </row>
    <row r="41" spans="1:15" ht="14.25">
      <c r="A41" s="2471" t="s">
        <v>2168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hidden="1">
      <c r="A44" s="2475" t="s">
        <v>2169</v>
      </c>
      <c r="B44" s="2476"/>
      <c r="C44" s="2476"/>
      <c r="D44" s="2477"/>
      <c r="E44" s="2477"/>
      <c r="F44" s="2478"/>
      <c r="G44" s="2478"/>
      <c r="H44" s="2478"/>
      <c r="I44" s="2478"/>
      <c r="J44" s="2479" t="s">
        <v>2170</v>
      </c>
      <c r="K44" s="2480"/>
      <c r="L44" s="2480"/>
      <c r="M44" s="2480"/>
      <c r="N44" s="2480"/>
      <c r="O44" s="2480"/>
    </row>
    <row r="45" spans="1:15" ht="14.25" hidden="1" customHeight="1" thickBot="1">
      <c r="A45" s="3061" t="s">
        <v>2171</v>
      </c>
      <c r="B45" s="3062"/>
      <c r="C45" s="3063"/>
      <c r="D45" s="164">
        <f ca="1">ROUND(H101*F45,0)</f>
        <v>201800</v>
      </c>
      <c r="E45" s="165" t="s">
        <v>2172</v>
      </c>
      <c r="F45" s="166">
        <v>1</v>
      </c>
      <c r="G45" s="167" t="s">
        <v>2173</v>
      </c>
      <c r="H45" s="138"/>
      <c r="I45" s="138"/>
      <c r="J45" s="3121" t="s">
        <v>2174</v>
      </c>
      <c r="K45" s="3121"/>
      <c r="L45" s="3121"/>
      <c r="M45" s="3121"/>
      <c r="N45" s="3121"/>
      <c r="O45" s="3121"/>
    </row>
    <row r="46" spans="1:15" ht="14.25" hidden="1" customHeight="1">
      <c r="A46" s="3058" t="s">
        <v>2175</v>
      </c>
      <c r="B46" s="3059"/>
      <c r="C46" s="3059"/>
      <c r="D46" s="3059"/>
      <c r="E46" s="3059"/>
      <c r="F46" s="3059"/>
      <c r="G46" s="3060"/>
      <c r="H46" s="2481"/>
      <c r="I46" s="168"/>
      <c r="J46" s="1812">
        <v>1</v>
      </c>
      <c r="K46" s="3121" t="s">
        <v>2176</v>
      </c>
      <c r="L46" s="3121"/>
      <c r="M46" s="3141"/>
      <c r="N46" s="3141"/>
      <c r="O46" s="3141"/>
    </row>
    <row r="47" spans="1:15" ht="12" hidden="1" customHeight="1">
      <c r="A47" s="169" t="s">
        <v>2177</v>
      </c>
      <c r="B47" s="170"/>
      <c r="C47" s="171"/>
      <c r="D47" s="172" t="s">
        <v>2178</v>
      </c>
      <c r="E47" s="24" t="s">
        <v>2179</v>
      </c>
      <c r="F47" s="173" t="s">
        <v>2180</v>
      </c>
      <c r="G47" s="174" t="s">
        <v>2181</v>
      </c>
      <c r="H47" s="2481"/>
      <c r="I47" s="168"/>
      <c r="J47" s="1812">
        <v>2</v>
      </c>
      <c r="K47" s="3121" t="s">
        <v>2182</v>
      </c>
      <c r="L47" s="3121"/>
      <c r="M47" s="3142">
        <f>'数据-取费表'!B2</f>
        <v>43381</v>
      </c>
      <c r="N47" s="3142"/>
      <c r="O47" s="3142"/>
    </row>
    <row r="48" spans="1:15" ht="25.5" hidden="1">
      <c r="A48" s="3089" t="s">
        <v>2183</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2" t="s">
        <v>2184</v>
      </c>
      <c r="H48" s="2483" t="s">
        <v>2185</v>
      </c>
      <c r="I48" s="2481"/>
      <c r="J48" s="1812">
        <v>3</v>
      </c>
      <c r="K48" s="3121" t="s">
        <v>2186</v>
      </c>
      <c r="L48" s="3121"/>
      <c r="M48" s="3143">
        <f ca="1">H101</f>
        <v>201800</v>
      </c>
      <c r="N48" s="3143"/>
      <c r="O48" s="3143"/>
    </row>
    <row r="49" spans="1:35" ht="25.5" hidden="1" customHeight="1">
      <c r="A49" s="176" t="s">
        <v>2187</v>
      </c>
      <c r="B49" s="3057" t="s">
        <v>2188</v>
      </c>
      <c r="C49" s="3057"/>
      <c r="D49" s="177">
        <v>0</v>
      </c>
      <c r="E49" s="23" t="s">
        <v>2189</v>
      </c>
      <c r="F49" s="28" t="s">
        <v>34</v>
      </c>
      <c r="G49" s="3127"/>
      <c r="H49" s="138"/>
      <c r="I49" s="2484"/>
      <c r="J49" s="1812">
        <v>4</v>
      </c>
      <c r="K49" s="3121" t="str">
        <f>IF(项目基本情况!E8="房地产抵押价值","房地产抵押价值","抵押担保权已注销时的房地产抵押价值")</f>
        <v>房地产抵押价值</v>
      </c>
      <c r="L49" s="3121"/>
      <c r="M49" s="3143">
        <f ca="1">IF(项目基本情况!E8="房地产抵押价值",H107,H109)</f>
        <v>201800</v>
      </c>
      <c r="N49" s="3143"/>
      <c r="O49" s="3143"/>
    </row>
    <row r="50" spans="1:35" ht="25.5" hidden="1" customHeight="1">
      <c r="A50" s="178"/>
      <c r="B50" s="3057" t="s">
        <v>2190</v>
      </c>
      <c r="C50" s="3057"/>
      <c r="D50" s="179"/>
      <c r="E50" s="31"/>
      <c r="F50" s="180"/>
      <c r="G50" s="3128"/>
      <c r="H50" s="138"/>
      <c r="I50" s="2484"/>
      <c r="J50" s="3121" t="s">
        <v>2191</v>
      </c>
      <c r="K50" s="3121"/>
      <c r="L50" s="3121"/>
      <c r="M50" s="3121"/>
      <c r="N50" s="3121"/>
      <c r="O50" s="3121"/>
    </row>
    <row r="51" spans="1:35" ht="12" hidden="1" customHeight="1">
      <c r="A51" s="181"/>
      <c r="B51" s="3057" t="s">
        <v>2192</v>
      </c>
      <c r="C51" s="3057"/>
      <c r="D51" s="182"/>
      <c r="E51" s="30"/>
      <c r="F51" s="180"/>
      <c r="G51" s="3129"/>
      <c r="H51" s="138"/>
      <c r="I51" s="2484"/>
      <c r="J51" s="2485" t="s">
        <v>2193</v>
      </c>
      <c r="K51" s="3121" t="s">
        <v>2194</v>
      </c>
      <c r="L51" s="3121"/>
      <c r="M51" s="2485" t="s">
        <v>2195</v>
      </c>
      <c r="N51" s="2485" t="s">
        <v>2196</v>
      </c>
      <c r="O51" s="2485" t="s">
        <v>2197</v>
      </c>
    </row>
    <row r="52" spans="1:35" ht="24" hidden="1" customHeight="1">
      <c r="A52" s="183" t="s">
        <v>2198</v>
      </c>
      <c r="B52" s="3057" t="s">
        <v>2199</v>
      </c>
      <c r="C52" s="3057"/>
      <c r="D52" s="182">
        <f ca="1">ROUND(D45*'数据-取费表'!B41/(1+'数据-取费表'!C42),0)</f>
        <v>10570</v>
      </c>
      <c r="E52" s="11" t="s">
        <v>2200</v>
      </c>
      <c r="F52" s="184">
        <f>'数据-取费表'!B41</f>
        <v>5.5000000000000007E-2</v>
      </c>
      <c r="G52" s="2486"/>
      <c r="H52" s="138"/>
      <c r="I52" s="2484"/>
      <c r="J52" s="1812">
        <v>1</v>
      </c>
      <c r="K52" s="3122" t="s">
        <v>2201</v>
      </c>
      <c r="L52" s="3122"/>
      <c r="M52" s="1754">
        <f>D48</f>
        <v>0</v>
      </c>
      <c r="N52" s="1812" t="str">
        <f>E48</f>
        <v>销售额×税（费）率</v>
      </c>
      <c r="O52" s="1755" t="str">
        <f>F48</f>
        <v>免征</v>
      </c>
    </row>
    <row r="53" spans="1:35" ht="12" hidden="1" customHeight="1">
      <c r="A53" s="183" t="s">
        <v>2202</v>
      </c>
      <c r="B53" s="3080" t="s">
        <v>2203</v>
      </c>
      <c r="C53" s="3081"/>
      <c r="D53" s="182">
        <f ca="1">ROUND(D45*'数据-取费表'!B41/(1+'数据-取费表'!C42),0)</f>
        <v>10570</v>
      </c>
      <c r="E53" s="11" t="s">
        <v>2200</v>
      </c>
      <c r="F53" s="184">
        <f>'数据-取费表'!B41</f>
        <v>5.5000000000000007E-2</v>
      </c>
      <c r="G53" s="2486"/>
      <c r="H53" s="138"/>
      <c r="I53" s="2484"/>
      <c r="J53" s="1812">
        <v>2</v>
      </c>
      <c r="K53" s="3122" t="s">
        <v>2204</v>
      </c>
      <c r="L53" s="3122"/>
      <c r="M53" s="1754">
        <f t="shared" ref="M53:O54" ca="1" si="0">D55</f>
        <v>101</v>
      </c>
      <c r="N53" s="1812" t="str">
        <f t="shared" si="0"/>
        <v>销售额×税（费）率</v>
      </c>
      <c r="O53" s="1755">
        <f t="shared" si="0"/>
        <v>5.0000000000000001E-4</v>
      </c>
    </row>
    <row r="54" spans="1:35" ht="12" hidden="1" customHeight="1">
      <c r="A54" s="183" t="s">
        <v>2205</v>
      </c>
      <c r="B54" s="3080" t="s">
        <v>2206</v>
      </c>
      <c r="C54" s="3081"/>
      <c r="D54" s="182">
        <f ca="1">C68</f>
        <v>10570</v>
      </c>
      <c r="E54" s="30" t="s">
        <v>2207</v>
      </c>
      <c r="F54" s="184">
        <f>'数据-取费表'!B41</f>
        <v>5.5000000000000007E-2</v>
      </c>
      <c r="G54" s="2486"/>
      <c r="H54" s="2487"/>
      <c r="I54" s="2484"/>
      <c r="J54" s="1812">
        <v>3</v>
      </c>
      <c r="K54" s="3122" t="s">
        <v>2208</v>
      </c>
      <c r="L54" s="3122"/>
      <c r="M54" s="1754">
        <f t="shared" ca="1" si="0"/>
        <v>114401</v>
      </c>
      <c r="N54" s="1812" t="str">
        <f t="shared" si="0"/>
        <v>增值额×税（费）率</v>
      </c>
      <c r="O54" s="1756" t="str">
        <f t="shared" si="0"/>
        <v>——</v>
      </c>
    </row>
    <row r="55" spans="1:35" ht="24" hidden="1" customHeight="1">
      <c r="A55" s="3071" t="s">
        <v>2209</v>
      </c>
      <c r="B55" s="3072"/>
      <c r="C55" s="3072"/>
      <c r="D55" s="185">
        <f ca="1">IF(H55="个人住宅",0,ROUND(D45*I55,0))</f>
        <v>101</v>
      </c>
      <c r="E55" s="11" t="s">
        <v>2210</v>
      </c>
      <c r="F55" s="184">
        <f>IF(H55="正常",I55,"免征")</f>
        <v>5.0000000000000001E-4</v>
      </c>
      <c r="G55" s="2486"/>
      <c r="H55" s="2483" t="s">
        <v>2211</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hidden="1">
      <c r="A56" s="3071" t="s">
        <v>2212</v>
      </c>
      <c r="B56" s="3072"/>
      <c r="C56" s="3072"/>
      <c r="D56" s="185">
        <f ca="1">IF(H56="个人住宅",D57,D58)</f>
        <v>114401</v>
      </c>
      <c r="E56" s="11" t="s">
        <v>2213</v>
      </c>
      <c r="F56" s="184" t="str">
        <f>IF(H56="正常",F58,"免征")</f>
        <v>——</v>
      </c>
      <c r="G56" s="2488" t="s">
        <v>2214</v>
      </c>
      <c r="H56" s="2489" t="s">
        <v>2211</v>
      </c>
      <c r="I56" s="2490"/>
      <c r="J56" s="1812" t="str">
        <f>IF(项目基本情况!K6="上海银行",IF(J55="",4,J55+1),"")</f>
        <v/>
      </c>
      <c r="K56" s="3145" t="str">
        <f>IF(项目基本情况!K6="上海银行","其他处置费用","")</f>
        <v/>
      </c>
      <c r="L56" s="3146"/>
      <c r="M56" s="1754" t="str">
        <f>IF(项目基本情况!K6="上海银行",M69,"")</f>
        <v/>
      </c>
      <c r="N56" s="3148" t="str">
        <f>IF(项目基本情况!K6="上海银行","包含处置中涉及的律师、诉讼、拍卖、评估等费用","")</f>
        <v/>
      </c>
      <c r="O56" s="3149"/>
    </row>
    <row r="57" spans="1:35" ht="12.75" hidden="1">
      <c r="A57" s="183" t="s">
        <v>2187</v>
      </c>
      <c r="B57" s="3087" t="s">
        <v>2215</v>
      </c>
      <c r="C57" s="3096"/>
      <c r="D57" s="187">
        <v>0</v>
      </c>
      <c r="E57" s="23" t="s">
        <v>2189</v>
      </c>
      <c r="F57" s="155"/>
      <c r="G57" s="2486"/>
      <c r="H57" s="2490"/>
      <c r="I57" s="2490"/>
      <c r="J57" s="3122">
        <f>IF(AND(J55="",J56=""),4,IF(项目基本情况!K6="上海银行",结果表!J56+1,结果表!J55+1))</f>
        <v>4</v>
      </c>
      <c r="K57" s="3122" t="s">
        <v>2216</v>
      </c>
      <c r="L57" s="2491" t="s">
        <v>2217</v>
      </c>
      <c r="M57" s="1759"/>
      <c r="N57" s="1760">
        <f ca="1">SUMIF(M52:M56,"&lt;9e307")</f>
        <v>114502</v>
      </c>
      <c r="O57" s="2492"/>
      <c r="P57" s="1753">
        <f ca="1">N57/M49</f>
        <v>0.56740336967294347</v>
      </c>
    </row>
    <row r="58" spans="1:35" ht="24.75" hidden="1">
      <c r="A58" s="183" t="s">
        <v>2198</v>
      </c>
      <c r="B58" s="3087" t="s">
        <v>2218</v>
      </c>
      <c r="C58" s="3088"/>
      <c r="D58" s="185">
        <f ca="1">IF(H58="转让取得",C81,C97)</f>
        <v>114401</v>
      </c>
      <c r="E58" s="11" t="s">
        <v>2213</v>
      </c>
      <c r="F58" s="24" t="s">
        <v>34</v>
      </c>
      <c r="G58" s="2486"/>
      <c r="H58" s="2489" t="s">
        <v>2219</v>
      </c>
      <c r="I58" s="2490"/>
      <c r="J58" s="3122"/>
      <c r="K58" s="3122"/>
      <c r="L58" s="2491" t="s">
        <v>2220</v>
      </c>
      <c r="M58" s="1761"/>
      <c r="N58" s="2493" t="str">
        <f ca="1">NUMBERSTRING(INT(N57*10000),2)&amp;"元整"</f>
        <v>壹拾壹亿肆仟伍佰零贰万元整</v>
      </c>
      <c r="O58" s="2494"/>
    </row>
    <row r="59" spans="1:35" ht="24.75" hidden="1" thickBot="1">
      <c r="A59" s="3125" t="s">
        <v>2221</v>
      </c>
      <c r="B59" s="3126"/>
      <c r="C59" s="3126"/>
      <c r="D59" s="188" t="str">
        <f>IF(H59="非个人房产","——",IF(H59="个人住宅",0,ROUND(D45*I59,0)))</f>
        <v>——</v>
      </c>
      <c r="E59" s="189" t="str">
        <f>IF(H59="非个人房产","——","销售额×税（费）率")</f>
        <v>——</v>
      </c>
      <c r="F59" s="190" t="str">
        <f>IF(H59="非个人房产","——",IF(H59="个人住宅","免征",I59))</f>
        <v>——</v>
      </c>
      <c r="G59" s="2495" t="s">
        <v>2214</v>
      </c>
      <c r="H59" s="2489" t="s">
        <v>2222</v>
      </c>
      <c r="I59" s="191">
        <v>0.01</v>
      </c>
      <c r="J59" s="3123">
        <f>J57+1</f>
        <v>5</v>
      </c>
      <c r="K59" s="3122" t="s">
        <v>2223</v>
      </c>
      <c r="L59" s="1812" t="s">
        <v>2217</v>
      </c>
      <c r="M59" s="1762"/>
      <c r="N59" s="1763">
        <f ca="1">M49-N57</f>
        <v>87298</v>
      </c>
      <c r="O59" s="2496"/>
    </row>
    <row r="60" spans="1:35" ht="12" hidden="1" customHeight="1">
      <c r="A60" s="2497"/>
      <c r="B60" s="2419"/>
      <c r="C60" s="2419"/>
      <c r="D60" s="2419"/>
      <c r="E60" s="2167"/>
      <c r="F60" s="2490"/>
      <c r="G60" s="2490"/>
      <c r="H60" s="2498"/>
      <c r="I60" s="138"/>
      <c r="J60" s="3124"/>
      <c r="K60" s="3122"/>
      <c r="L60" s="2491" t="s">
        <v>2220</v>
      </c>
      <c r="M60" s="1761"/>
      <c r="N60" s="2493" t="str">
        <f ca="1">NUMBERSTRING(INT(N59*10000),2)&amp;"元整"</f>
        <v>捌亿柒仟贰佰玖拾捌万元整</v>
      </c>
      <c r="O60" s="2494"/>
    </row>
    <row r="61" spans="1:35" ht="13.5" hidden="1" thickBot="1">
      <c r="A61" s="3069" t="s">
        <v>2224</v>
      </c>
      <c r="B61" s="3069"/>
      <c r="C61" s="3069"/>
      <c r="D61" s="3069"/>
      <c r="E61" s="3069"/>
      <c r="F61" s="2490"/>
      <c r="G61" s="2490"/>
      <c r="H61" s="2498"/>
      <c r="I61" s="138"/>
      <c r="J61" s="1812">
        <f>J59+1</f>
        <v>6</v>
      </c>
      <c r="K61" s="3122" t="s">
        <v>2225</v>
      </c>
      <c r="L61" s="3122"/>
      <c r="M61" s="1764"/>
      <c r="N61" s="1765">
        <f ca="1">ROUND(N59*10000/'数据-汇总表'!E3,0)</f>
        <v>9156</v>
      </c>
      <c r="O61" s="2499"/>
    </row>
    <row r="62" spans="1:35" ht="12.75" hidden="1">
      <c r="A62" s="3085" t="s">
        <v>2226</v>
      </c>
      <c r="B62" s="3086"/>
      <c r="C62" s="1804"/>
      <c r="D62" s="1804" t="s">
        <v>2227</v>
      </c>
      <c r="E62" s="192" t="s">
        <v>2228</v>
      </c>
      <c r="F62" s="2490"/>
      <c r="G62" s="2490"/>
      <c r="H62" s="2498"/>
      <c r="I62" s="138"/>
    </row>
    <row r="63" spans="1:35" ht="12.75" hidden="1">
      <c r="A63" s="203" t="s">
        <v>775</v>
      </c>
      <c r="B63" s="193" t="s">
        <v>2229</v>
      </c>
      <c r="C63" s="194">
        <f ca="1">ROUND((C64+C65)/(1+'数据-取费表'!C42),0)</f>
        <v>192190</v>
      </c>
      <c r="D63" s="195"/>
      <c r="E63" s="196"/>
      <c r="F63" s="2490"/>
      <c r="G63" s="2490"/>
      <c r="H63" s="2498"/>
      <c r="I63" s="138"/>
      <c r="J63" s="3147" t="s">
        <v>2230</v>
      </c>
      <c r="K63" s="2500" t="s">
        <v>2231</v>
      </c>
      <c r="L63" s="1752">
        <f ca="1">IF(M49&gt;10000,M49*0.5%,IF(AND(M49&gt;1000,M49&lt;=10000),M49*1%,IF(AND(M49&gt;100,M49&lt;=1000),M49*3%,IF(AND(M49&gt;10,M49&lt;=100),M49*5%,M49*8%))))</f>
        <v>1009</v>
      </c>
      <c r="M63" s="24">
        <f ca="1">ROUND(L63,1)</f>
        <v>1009</v>
      </c>
      <c r="Z63" s="2424"/>
      <c r="AI63" s="2425"/>
    </row>
    <row r="64" spans="1:35" ht="14.25" hidden="1" customHeight="1">
      <c r="A64" s="197" t="s">
        <v>770</v>
      </c>
      <c r="B64" s="198" t="s">
        <v>2232</v>
      </c>
      <c r="C64" s="199">
        <f ca="1">D45</f>
        <v>201800</v>
      </c>
      <c r="D64" s="200" t="s">
        <v>32</v>
      </c>
      <c r="E64" s="201"/>
      <c r="F64" s="2490"/>
      <c r="G64" s="2490"/>
      <c r="H64" s="2498"/>
      <c r="I64" s="138"/>
      <c r="J64" s="3147"/>
      <c r="K64" s="2500" t="s">
        <v>2233</v>
      </c>
      <c r="L64" s="1752">
        <f ca="1">IF(M49&gt;2000,M49*0.5%,IF(AND(M49&gt;1000,M49&lt;=2000),M49*0.6%,IF(AND(M49&gt;500,M49&lt;=1000),M49*0.7%,IF(AND(M49&gt;200,M49&lt;=500),M49*0.8%,IF(AND(M49&gt;100,M49&lt;=200),M49*0.9%,IF(AND(M49&gt;50,M49&lt;=100),M49*1%,IF(AND(M49&gt;20,M49&lt;=50),M49*1.5%,IF(AND(M49&gt;10,M49&lt;=20),M49*2%,IF(AND(M49&gt;1,M49&lt;=10),M49*2.5%)))))))))</f>
        <v>1009</v>
      </c>
      <c r="M64" s="24">
        <f t="shared" ref="M64:M65" ca="1" si="1">ROUND(L64,1)</f>
        <v>1009</v>
      </c>
      <c r="N64" s="138" t="s">
        <v>2234</v>
      </c>
      <c r="Z64" s="2424"/>
      <c r="AI64" s="2425"/>
    </row>
    <row r="65" spans="1:35" ht="14.25" hidden="1" customHeight="1">
      <c r="A65" s="197" t="s">
        <v>771</v>
      </c>
      <c r="B65" s="198" t="s">
        <v>2235</v>
      </c>
      <c r="C65" s="202"/>
      <c r="D65" s="200"/>
      <c r="E65" s="201"/>
      <c r="F65" s="2490"/>
      <c r="G65" s="2490"/>
      <c r="H65" s="2498"/>
      <c r="I65" s="138"/>
      <c r="J65" s="3147"/>
      <c r="K65" s="2500" t="s">
        <v>2236</v>
      </c>
      <c r="L65" s="1752">
        <f ca="1">IF(M49&gt;1000,M49*0.1%,IF(AND(M49&gt;500,M49&lt;=1000),M49*0.5%,IF(AND(M49&gt;50,M49&lt;=500),M49*1%,IF(AND(M49&gt;1,M49&lt;=50),M49*1.5%))))</f>
        <v>201.8</v>
      </c>
      <c r="M65" s="24">
        <f t="shared" ca="1" si="1"/>
        <v>201.8</v>
      </c>
      <c r="N65" s="138" t="s">
        <v>2234</v>
      </c>
      <c r="Z65" s="2424"/>
      <c r="AI65" s="2425"/>
    </row>
    <row r="66" spans="1:35" ht="14.25" hidden="1" customHeight="1">
      <c r="A66" s="203" t="s">
        <v>772</v>
      </c>
      <c r="B66" s="204" t="s">
        <v>2237</v>
      </c>
      <c r="C66" s="205"/>
      <c r="D66" s="206" t="s">
        <v>32</v>
      </c>
      <c r="E66" s="1776" t="s">
        <v>1371</v>
      </c>
      <c r="F66" s="2490"/>
      <c r="G66" s="2490"/>
      <c r="H66" s="2498"/>
      <c r="I66" s="138"/>
      <c r="J66" s="3147"/>
      <c r="K66" s="2500" t="s">
        <v>2238</v>
      </c>
      <c r="L66" s="1752">
        <f ca="1">M49*0.5%</f>
        <v>1009</v>
      </c>
      <c r="M66" s="24">
        <f ca="1">IF(L66&gt;0.5,0.5,ROUND(L66,0))</f>
        <v>0.5</v>
      </c>
      <c r="N66" s="138" t="s">
        <v>2239</v>
      </c>
      <c r="Z66" s="2424"/>
      <c r="AI66" s="2425"/>
    </row>
    <row r="67" spans="1:35" ht="14.25" hidden="1" customHeight="1">
      <c r="A67" s="203" t="s">
        <v>773</v>
      </c>
      <c r="B67" s="204" t="s">
        <v>2240</v>
      </c>
      <c r="C67" s="207">
        <f ca="1">C63-C66</f>
        <v>192190</v>
      </c>
      <c r="D67" s="200" t="s">
        <v>32</v>
      </c>
      <c r="E67" s="201"/>
      <c r="F67" s="2490"/>
      <c r="G67" s="2490"/>
      <c r="H67" s="2498"/>
      <c r="I67" s="138"/>
      <c r="J67" s="3147"/>
      <c r="K67" s="2500" t="s">
        <v>2241</v>
      </c>
      <c r="L67" s="1752">
        <f ca="1">IF(M49&gt;=10000,(8.25+(M49-10000)*0.01%),IF(AND(M49&gt;=8000,M49&lt;10000),(7.85+(M49-8000)*0.02%),IF(AND(M49&gt;=5000,M49&lt;8000),(6.65+(M49-5000)*0.04%),IF(AND(M49&gt;=2000,M49&lt;5000),(4.25+(PM49-2000)*0.08%),IF(AND(M49&gt;=1000,M49&lt;2000),(2.75+(M49-1000)*0.15%),IF(AND(M49&gt;=100,M49&lt;1000),(0.5+(M49-100)*0.25%),IF(AND(M49&gt;0,M49&lt;100),M49*0.5%)))))))</f>
        <v>27.43</v>
      </c>
      <c r="M67" s="24">
        <f ca="1">ROUND(L67*0.9,1)</f>
        <v>24.7</v>
      </c>
      <c r="Z67" s="2424"/>
      <c r="AI67" s="2425"/>
    </row>
    <row r="68" spans="1:35" ht="14.25" hidden="1" customHeight="1" thickBot="1">
      <c r="A68" s="208" t="s">
        <v>774</v>
      </c>
      <c r="B68" s="209" t="s">
        <v>2242</v>
      </c>
      <c r="C68" s="210">
        <f ca="1">IF(C67&lt;=0,0,ROUND(C67*D68,0))</f>
        <v>10570</v>
      </c>
      <c r="D68" s="211">
        <f>'数据-取费表'!B41</f>
        <v>5.5000000000000007E-2</v>
      </c>
      <c r="E68" s="212"/>
      <c r="F68" s="2490"/>
      <c r="G68" s="2490"/>
      <c r="H68" s="2498"/>
      <c r="I68" s="138"/>
      <c r="J68" s="3147"/>
      <c r="K68" s="2500" t="s">
        <v>2243</v>
      </c>
      <c r="L68" s="1752">
        <f ca="1">IF(M49&gt;10000,M49*0.5%,IF(AND(M49&gt;5000,M49&lt;=10000),M49*1%,IF(AND(M49&gt;1000,M49&lt;=5000),M49*2%,IF(AND(M49&gt;200,M49&lt;=1000),M49*3%,M49*5%))))</f>
        <v>1009</v>
      </c>
      <c r="M68" s="24">
        <f ca="1">ROUND(L68,1)</f>
        <v>1009</v>
      </c>
      <c r="Z68" s="2424"/>
      <c r="AI68" s="2425"/>
    </row>
    <row r="69" spans="1:35" s="2447" customFormat="1" ht="16.5" hidden="1" customHeight="1">
      <c r="A69" s="2501"/>
      <c r="B69" s="2502"/>
      <c r="C69" s="2503"/>
      <c r="D69" s="2504"/>
      <c r="E69" s="2505"/>
      <c r="F69" s="2167"/>
      <c r="G69" s="2167"/>
      <c r="H69" s="2166"/>
      <c r="I69" s="2419"/>
      <c r="J69" s="3147"/>
      <c r="K69" s="2500" t="s">
        <v>2244</v>
      </c>
      <c r="L69" s="2506"/>
      <c r="M69" s="24">
        <f ca="1">ROUND(SUM(M63:M68),0)</f>
        <v>3254</v>
      </c>
      <c r="N69" s="1753">
        <f ca="1">M69/M49</f>
        <v>1.6124876114965311E-2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hidden="1" thickBot="1">
      <c r="A70" s="3106" t="s">
        <v>2245</v>
      </c>
      <c r="B70" s="3107"/>
      <c r="C70" s="3107"/>
      <c r="D70" s="3107"/>
      <c r="E70" s="3107"/>
      <c r="F70" s="3107"/>
      <c r="G70" s="3107"/>
      <c r="H70" s="310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085" t="s">
        <v>2226</v>
      </c>
      <c r="B71" s="3086"/>
      <c r="C71" s="1804"/>
      <c r="D71" s="1804" t="s">
        <v>2227</v>
      </c>
      <c r="E71" s="213" t="s">
        <v>2228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3" t="s">
        <v>775</v>
      </c>
      <c r="B72" s="204" t="s">
        <v>2246</v>
      </c>
      <c r="C72" s="207">
        <f ca="1">ROUND(D45/(1+'数据-取费表'!C42),0)</f>
        <v>192190</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3" t="s">
        <v>772</v>
      </c>
      <c r="B73" s="173" t="s">
        <v>2247</v>
      </c>
      <c r="C73" s="207">
        <f ca="1">C74+C78</f>
        <v>961</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7" t="s">
        <v>770</v>
      </c>
      <c r="B74" s="198" t="s">
        <v>2248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7" t="s">
        <v>776</v>
      </c>
      <c r="B75" s="198" t="s">
        <v>2249</v>
      </c>
      <c r="C75" s="218"/>
      <c r="D75" s="200" t="s">
        <v>32</v>
      </c>
      <c r="E75" s="219" t="s">
        <v>2250</v>
      </c>
      <c r="F75" s="2512" t="s">
        <v>2251</v>
      </c>
      <c r="G75" s="219" t="s">
        <v>2252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7" t="s">
        <v>777</v>
      </c>
      <c r="B76" s="221" t="s">
        <v>2253</v>
      </c>
      <c r="C76" s="200">
        <f>IF(F75="购房发票",ROUND(C75*H75*D76,0),0)</f>
        <v>0</v>
      </c>
      <c r="D76" s="222">
        <v>0.05</v>
      </c>
      <c r="E76" s="3080" t="s">
        <v>2254</v>
      </c>
      <c r="F76" s="3057"/>
      <c r="G76" s="3057"/>
      <c r="H76" s="310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14" t="s">
        <v>2257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7" t="s">
        <v>771</v>
      </c>
      <c r="B78" s="198" t="s">
        <v>2258</v>
      </c>
      <c r="C78" s="225">
        <f ca="1">ROUND(D45*D78/(1+'数据-取费表'!C42),0)</f>
        <v>961</v>
      </c>
      <c r="D78" s="226">
        <f>'数据-取费表'!B43</f>
        <v>5.000000000000001E-3</v>
      </c>
      <c r="E78" s="3066" t="s">
        <v>2259</v>
      </c>
      <c r="F78" s="3067"/>
      <c r="G78" s="3067"/>
      <c r="H78" s="307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4" t="s">
        <v>2260</v>
      </c>
      <c r="C79" s="207">
        <f ca="1">C72-C73</f>
        <v>191229</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4" t="s">
        <v>2261</v>
      </c>
      <c r="C80" s="227">
        <f ca="1">IF(C79&lt;=0,0,C79/C73)</f>
        <v>198.98959417273673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09" t="s">
        <v>2262</v>
      </c>
      <c r="C81" s="228">
        <f ca="1">ROUND(IF(C79&lt;=0,0,IF(C80&gt;=200%,C79*60%-C73*35%,IF(C80&gt;=100%,C79*50%-C73*15%,IF(C80&gt;=50%,C79*40%-C73*5%,IF(C80&lt;50%,C79*30%,0))))),0)</f>
        <v>114401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06" t="s">
        <v>2263</v>
      </c>
      <c r="B83" s="3107"/>
      <c r="C83" s="3107"/>
      <c r="D83" s="3107"/>
      <c r="E83" s="3107"/>
      <c r="F83" s="3107"/>
      <c r="G83" s="3107"/>
      <c r="H83" s="310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085" t="s">
        <v>2226</v>
      </c>
      <c r="B84" s="3086"/>
      <c r="C84" s="1804"/>
      <c r="D84" s="1804" t="s">
        <v>2227</v>
      </c>
      <c r="E84" s="213" t="s">
        <v>2228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3" t="s">
        <v>775</v>
      </c>
      <c r="B85" s="204" t="s">
        <v>2246</v>
      </c>
      <c r="C85" s="207">
        <f ca="1">ROUND(D45/(1+'数据-取费表'!C42),0)</f>
        <v>192190</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3" t="s">
        <v>772</v>
      </c>
      <c r="B86" s="173" t="s">
        <v>2247</v>
      </c>
      <c r="C86" s="207">
        <f ca="1">IF(H88="仅含出让金",C87+C90+C91+C92+C93+C94,C87+C91+C92+C93+C94)</f>
        <v>961</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7" t="s">
        <v>770</v>
      </c>
      <c r="B87" s="198" t="s">
        <v>2264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7" t="s">
        <v>776</v>
      </c>
      <c r="B88" s="198" t="s">
        <v>2265</v>
      </c>
      <c r="C88" s="236"/>
      <c r="D88" s="226"/>
      <c r="E88" s="237" t="s">
        <v>2266</v>
      </c>
      <c r="F88" s="1800"/>
      <c r="G88" s="238" t="s">
        <v>2267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7" t="s">
        <v>777</v>
      </c>
      <c r="B89" s="198" t="s">
        <v>2255</v>
      </c>
      <c r="C89" s="225">
        <f>ROUND(C88*D89,0)</f>
        <v>0</v>
      </c>
      <c r="D89" s="226">
        <f>'数据-取费表'!B48+'数据-取费表'!B49</f>
        <v>3.0499999999999999E-2</v>
      </c>
      <c r="E89" s="237" t="s">
        <v>2268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7" t="s">
        <v>771</v>
      </c>
      <c r="B90" s="198" t="s">
        <v>2269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7" t="s">
        <v>2270</v>
      </c>
      <c r="B91" s="198" t="s">
        <v>2271</v>
      </c>
      <c r="C91" s="225">
        <f>IF(H91="——",成本法!C33,I91)</f>
        <v>0</v>
      </c>
      <c r="D91" s="226"/>
      <c r="E91" s="3066" t="s">
        <v>2272</v>
      </c>
      <c r="F91" s="3067"/>
      <c r="G91" s="3067"/>
      <c r="H91" s="2519" t="s">
        <v>2273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7" t="s">
        <v>2274</v>
      </c>
      <c r="B92" s="198" t="s">
        <v>2275</v>
      </c>
      <c r="C92" s="225">
        <f>ROUND((C87+C90+C91)*D92,0)</f>
        <v>0</v>
      </c>
      <c r="D92" s="226">
        <v>0.1</v>
      </c>
      <c r="E92" s="3066" t="s">
        <v>2276</v>
      </c>
      <c r="F92" s="3067"/>
      <c r="G92" s="3067"/>
      <c r="H92" s="307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7" t="s">
        <v>2277</v>
      </c>
      <c r="B93" s="198" t="s">
        <v>2258</v>
      </c>
      <c r="C93" s="225">
        <f ca="1">ROUND(D45*D93/(1+'数据-取费表'!C42),0)</f>
        <v>961</v>
      </c>
      <c r="D93" s="226">
        <f>'数据-取费表'!B43</f>
        <v>5.000000000000001E-3</v>
      </c>
      <c r="E93" s="3066" t="s">
        <v>2259</v>
      </c>
      <c r="F93" s="3067"/>
      <c r="G93" s="3067"/>
      <c r="H93" s="307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7" t="s">
        <v>2278</v>
      </c>
      <c r="B94" s="198" t="s">
        <v>2279</v>
      </c>
      <c r="C94" s="236">
        <f>ROUND((C87+C90+C91)*D94,0)</f>
        <v>0</v>
      </c>
      <c r="D94" s="226">
        <v>0.2</v>
      </c>
      <c r="E94" s="3077" t="s">
        <v>2280</v>
      </c>
      <c r="F94" s="3078"/>
      <c r="G94" s="3078"/>
      <c r="H94" s="307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4" t="s">
        <v>2260</v>
      </c>
      <c r="C95" s="207">
        <f ca="1">ROUND(C85-C86,0)</f>
        <v>191229</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4" t="s">
        <v>2261</v>
      </c>
      <c r="C96" s="227">
        <f ca="1">IF(C95&lt;=0,0,C95/C86)</f>
        <v>198.98959417273673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09" t="s">
        <v>2262</v>
      </c>
      <c r="C97" s="228">
        <f ca="1">ROUND(IF(C95&lt;=0,0,IF(C96&gt;=200%,C95*60%-C86*35%,IF(C96&gt;=100%,C95*50%-C86*15%,IF(C96&gt;=50%,C95*40%-C86*5%,IF(C96&lt;50%,C95*30%,0))))),0)</f>
        <v>114401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7"/>
      <c r="F98" s="2167"/>
      <c r="G98" s="2167"/>
      <c r="H98" s="2166"/>
      <c r="I98" s="138"/>
    </row>
    <row r="99" spans="1:35" ht="21.75" customHeight="1" thickBot="1">
      <c r="A99" s="2475" t="s">
        <v>2281</v>
      </c>
      <c r="B99" s="2419"/>
      <c r="C99" s="2419"/>
      <c r="D99" s="2419"/>
      <c r="E99" s="2167"/>
      <c r="F99" s="2167"/>
      <c r="G99" s="2167"/>
      <c r="H99" s="2166"/>
      <c r="I99" s="138"/>
    </row>
    <row r="100" spans="1:35" ht="18.75" customHeight="1">
      <c r="A100" s="3051" t="s">
        <v>2282</v>
      </c>
      <c r="B100" s="3052"/>
      <c r="C100" s="3052"/>
      <c r="D100" s="3068"/>
      <c r="E100" s="3052" t="s">
        <v>2283</v>
      </c>
      <c r="F100" s="3052"/>
      <c r="G100" s="3052"/>
      <c r="H100" s="3068"/>
      <c r="I100" s="138"/>
    </row>
    <row r="101" spans="1:35" ht="18.75" customHeight="1">
      <c r="A101" s="3130" t="s">
        <v>2284</v>
      </c>
      <c r="B101" s="3131"/>
      <c r="C101" s="736" t="str">
        <f>C4</f>
        <v>土地比较法-住宅、综合</v>
      </c>
      <c r="D101" s="737" t="str">
        <f>D4</f>
        <v>假设开发法</v>
      </c>
      <c r="E101" s="3144" t="s">
        <v>2285</v>
      </c>
      <c r="F101" s="3098"/>
      <c r="G101" s="2521" t="s">
        <v>2286</v>
      </c>
      <c r="H101" s="1048">
        <f ca="1">H118</f>
        <v>201800</v>
      </c>
      <c r="I101" s="138"/>
    </row>
    <row r="102" spans="1:35" ht="18.75" customHeight="1">
      <c r="A102" s="3100" t="s">
        <v>2287</v>
      </c>
      <c r="B102" s="2521" t="s">
        <v>2286</v>
      </c>
      <c r="C102" s="736">
        <f ca="1">C19</f>
        <v>194675</v>
      </c>
      <c r="D102" s="737">
        <f ca="1">D19</f>
        <v>208925</v>
      </c>
      <c r="E102" s="3144"/>
      <c r="F102" s="3098"/>
      <c r="G102" s="2521" t="s">
        <v>2288</v>
      </c>
      <c r="H102" s="371">
        <f ca="1">I118</f>
        <v>21165</v>
      </c>
      <c r="I102" s="138"/>
    </row>
    <row r="103" spans="1:35" ht="42.75" customHeight="1">
      <c r="A103" s="3100"/>
      <c r="B103" s="2521" t="s">
        <v>2288</v>
      </c>
      <c r="C103" s="738">
        <f ca="1">C20</f>
        <v>20418</v>
      </c>
      <c r="D103" s="739">
        <f ca="1">D20</f>
        <v>21912</v>
      </c>
      <c r="E103" s="3139" t="s">
        <v>2289</v>
      </c>
      <c r="F103" s="3140"/>
      <c r="G103" s="2522" t="s">
        <v>2290</v>
      </c>
      <c r="H103" s="1048">
        <f>IF(D36="正常操作",H104+H105+H106,H105+H106)</f>
        <v>0</v>
      </c>
      <c r="I103" s="138"/>
    </row>
    <row r="104" spans="1:35" ht="18.75" customHeight="1">
      <c r="A104" s="3100" t="s">
        <v>2291</v>
      </c>
      <c r="B104" s="2523" t="s">
        <v>2286</v>
      </c>
      <c r="C104" s="740">
        <f ca="1">H118</f>
        <v>201800</v>
      </c>
      <c r="D104" s="741"/>
      <c r="E104" s="2268" t="s">
        <v>2292</v>
      </c>
      <c r="F104" s="2259"/>
      <c r="G104" s="2522" t="s">
        <v>2290</v>
      </c>
      <c r="H104" s="1049">
        <f>IF(D36="同一抵押权人同一抵押物续贷",C36&amp;"（未扣减，详见特别提示）",C36)</f>
        <v>0</v>
      </c>
      <c r="I104" s="138"/>
    </row>
    <row r="105" spans="1:35" ht="18.75" customHeight="1" thickBot="1">
      <c r="A105" s="3101"/>
      <c r="B105" s="2524" t="s">
        <v>2288</v>
      </c>
      <c r="C105" s="742">
        <f ca="1">I118</f>
        <v>21165</v>
      </c>
      <c r="D105" s="743"/>
      <c r="E105" s="2268" t="s">
        <v>2293</v>
      </c>
      <c r="F105" s="2259"/>
      <c r="G105" s="2522" t="s">
        <v>2290</v>
      </c>
      <c r="H105" s="1049">
        <f>C37</f>
        <v>0</v>
      </c>
      <c r="I105" s="138"/>
    </row>
    <row r="106" spans="1:35" ht="18.75" customHeight="1">
      <c r="A106" s="2419" t="s">
        <v>2294</v>
      </c>
      <c r="B106" s="2419"/>
      <c r="C106" s="2419"/>
      <c r="D106" s="2419"/>
      <c r="E106" s="2525" t="s">
        <v>2295</v>
      </c>
      <c r="F106" s="2259"/>
      <c r="G106" s="2522" t="s">
        <v>2290</v>
      </c>
      <c r="H106" s="1049">
        <f>C38</f>
        <v>0</v>
      </c>
      <c r="I106" s="138"/>
    </row>
    <row r="107" spans="1:35" ht="18.75" customHeight="1">
      <c r="A107" s="138"/>
      <c r="B107" s="138"/>
      <c r="C107" s="138"/>
      <c r="D107" s="138"/>
      <c r="E107" s="3097" t="str">
        <f>IF(项目基本情况!E8="已注销","——","3.房地产抵押价值")</f>
        <v>3.房地产抵押价值</v>
      </c>
      <c r="F107" s="3098"/>
      <c r="G107" s="2521" t="s">
        <v>2286</v>
      </c>
      <c r="H107" s="1048">
        <f ca="1">IF(E107="——","——",H101-H103)</f>
        <v>201800</v>
      </c>
      <c r="I107" s="138"/>
    </row>
    <row r="108" spans="1:35" ht="18.75" customHeight="1">
      <c r="A108" s="138"/>
      <c r="B108" s="138"/>
      <c r="C108" s="138"/>
      <c r="D108" s="138"/>
      <c r="E108" s="3097"/>
      <c r="F108" s="3098"/>
      <c r="G108" s="2521" t="s">
        <v>2288</v>
      </c>
      <c r="H108" s="371">
        <f ca="1">ROUND(H107*10000/'数据-汇总表'!E3,0)</f>
        <v>21165</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1" t="s">
        <v>2286</v>
      </c>
      <c r="H109" s="348" t="str">
        <f>IF(E109="——","——",H101-H105-H106)</f>
        <v>——</v>
      </c>
      <c r="I109" s="138"/>
    </row>
    <row r="110" spans="1:35" ht="18.75" customHeight="1">
      <c r="A110" s="138"/>
      <c r="B110" s="138"/>
      <c r="C110" s="138"/>
      <c r="D110" s="138"/>
      <c r="E110" s="3097"/>
      <c r="F110" s="3098"/>
      <c r="G110" s="2521" t="s">
        <v>2288</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1" t="s">
        <v>2286</v>
      </c>
      <c r="H111" s="1048" t="str">
        <f>IF(E111="——","——",N59)</f>
        <v>——</v>
      </c>
      <c r="I111" s="138"/>
    </row>
    <row r="112" spans="1:35" ht="18.75" customHeight="1" thickBot="1">
      <c r="A112" s="138"/>
      <c r="B112" s="138"/>
      <c r="C112" s="138"/>
      <c r="D112" s="138"/>
      <c r="E112" s="3134"/>
      <c r="F112" s="3135"/>
      <c r="G112" s="2526" t="s">
        <v>2288</v>
      </c>
      <c r="H112" s="790" t="str">
        <f>IF(E111="——","——",N61)</f>
        <v>——</v>
      </c>
      <c r="I112" s="138"/>
    </row>
    <row r="113" spans="1:11" ht="18.75" customHeight="1">
      <c r="A113" s="138"/>
      <c r="B113" s="138"/>
      <c r="C113" s="138"/>
      <c r="D113" s="138"/>
      <c r="E113" s="3102" t="s">
        <v>2294</v>
      </c>
      <c r="F113" s="3102"/>
      <c r="G113" s="3102"/>
      <c r="H113" s="3102"/>
      <c r="I113" s="138"/>
    </row>
    <row r="114" spans="1:11" ht="3.75" customHeight="1">
      <c r="A114" s="2419"/>
      <c r="B114" s="2419"/>
      <c r="C114" s="2419"/>
      <c r="D114" s="2419"/>
      <c r="E114" s="2497"/>
      <c r="F114" s="2497"/>
      <c r="G114" s="2497"/>
      <c r="H114" s="2497"/>
      <c r="I114" s="2419"/>
    </row>
    <row r="115" spans="1:11" ht="18.75" customHeight="1">
      <c r="A115" s="3115" t="s">
        <v>2296</v>
      </c>
      <c r="B115" s="3116"/>
      <c r="C115" s="3116"/>
      <c r="D115" s="3116"/>
      <c r="E115" s="3116"/>
      <c r="F115" s="3116"/>
      <c r="G115" s="3116"/>
      <c r="H115" s="3116"/>
      <c r="I115" s="3117"/>
    </row>
    <row r="116" spans="1:11" ht="27" customHeight="1">
      <c r="A116" s="3008" t="s">
        <v>2297</v>
      </c>
      <c r="B116" s="3103" t="s">
        <v>2298</v>
      </c>
      <c r="C116" s="3103" t="s">
        <v>2299</v>
      </c>
      <c r="D116" s="3119" t="s">
        <v>2300</v>
      </c>
      <c r="E116" s="3120"/>
      <c r="F116" s="3111" t="s">
        <v>2301</v>
      </c>
      <c r="G116" s="3111"/>
      <c r="H116" s="3008" t="s">
        <v>2302</v>
      </c>
      <c r="I116" s="3008"/>
    </row>
    <row r="117" spans="1:11" ht="18.75" customHeight="1">
      <c r="A117" s="3008"/>
      <c r="B117" s="3104"/>
      <c r="C117" s="3104"/>
      <c r="D117" s="1798" t="s">
        <v>2303</v>
      </c>
      <c r="E117" s="1798" t="s">
        <v>2304</v>
      </c>
      <c r="F117" s="1798" t="s">
        <v>2303</v>
      </c>
      <c r="G117" s="1798" t="s">
        <v>2305</v>
      </c>
      <c r="H117" s="1798" t="s">
        <v>2303</v>
      </c>
      <c r="I117" s="1798" t="s">
        <v>2305</v>
      </c>
    </row>
    <row r="118" spans="1:11" ht="24.75" customHeight="1">
      <c r="A118" s="2527" t="str">
        <f>项目基本情况!S2</f>
        <v>北京市昌平区北七家镇（中心起步区（海鶄落新村建设）项目一期）HQL-13地块、18地块二宗住宅用地出让国有建设用地使用权出让国有建设用地使用权</v>
      </c>
      <c r="B118" s="1798">
        <f>M18</f>
        <v>95346</v>
      </c>
      <c r="C118" s="1798">
        <f>M19</f>
        <v>44764.76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201800</v>
      </c>
      <c r="I118" s="1798">
        <f ca="1">ROUND(IF(D32="楼面单价",C32,H118*10000/B118),0)</f>
        <v>21165</v>
      </c>
    </row>
    <row r="119" spans="1:11" ht="18.75" customHeight="1">
      <c r="A119" s="3008" t="s">
        <v>2306</v>
      </c>
      <c r="B119" s="3008"/>
      <c r="C119" s="3008"/>
      <c r="D119" s="3108" t="e">
        <f ca="1">NUMBERSTRING(INT(D118*10000),2)&amp;"元整"</f>
        <v>#REF!</v>
      </c>
      <c r="E119" s="3110"/>
      <c r="F119" s="3108" t="e">
        <f ca="1">NUMBERSTRING(INT(F118*10000),2)&amp;"元整"</f>
        <v>#REF!</v>
      </c>
      <c r="G119" s="3110"/>
      <c r="H119" s="3108" t="str">
        <f ca="1">NUMBERSTRING(INT(H118*10000),2)&amp;"元整"</f>
        <v>贰拾亿壹仟捌佰万元整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4" t="str">
        <f>IF(D120=0,"故，本次评估不存在"&amp;A120,"故，本次评估"&amp;A120&amp;"为人民币"&amp;D120&amp;"万元整。")</f>
        <v>故，本次评估不存在估价师知悉的法定优先受偿款</v>
      </c>
    </row>
    <row r="121" spans="1:11" ht="18.75" customHeight="1">
      <c r="A121" s="3112" t="s">
        <v>2306</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201800</v>
      </c>
      <c r="E122" s="3137"/>
      <c r="F122" s="3137"/>
      <c r="G122" s="3137"/>
      <c r="H122" s="3137"/>
      <c r="I122" s="3138"/>
    </row>
    <row r="123" spans="1:11" ht="18.75" customHeight="1">
      <c r="A123" s="3008" t="s">
        <v>2306</v>
      </c>
      <c r="B123" s="3008"/>
      <c r="C123" s="3008"/>
      <c r="D123" s="3108" t="str">
        <f ca="1">NUMBERSTRING(INT(D122*10000),2)&amp;"元整"</f>
        <v>贰拾亿壹仟捌佰万元整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2306</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2306</v>
      </c>
      <c r="B127" s="3008"/>
      <c r="C127" s="3008"/>
      <c r="D127" s="3108" t="e">
        <f>NUMBERSTRING(INT(D126*10000),2)&amp;"元整"</f>
        <v>#VALUE!</v>
      </c>
      <c r="E127" s="3109"/>
      <c r="F127" s="3109"/>
      <c r="G127" s="3109"/>
      <c r="H127" s="3109"/>
      <c r="I127" s="3110"/>
    </row>
    <row r="128" spans="1:11" ht="21.75" customHeight="1">
      <c r="A128" s="3118" t="s">
        <v>2307</v>
      </c>
      <c r="B128" s="3118"/>
      <c r="C128" s="3118"/>
      <c r="D128" s="3118"/>
      <c r="E128" s="3118"/>
      <c r="F128" s="3118"/>
      <c r="G128" s="3118"/>
      <c r="H128" s="3118"/>
      <c r="I128" s="3118"/>
    </row>
    <row r="129" spans="1:35" ht="21.75" customHeight="1">
      <c r="A129" s="2528" t="s">
        <v>2308</v>
      </c>
      <c r="B129" s="2529"/>
      <c r="C129" s="2530" t="s">
        <v>2309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2310</v>
      </c>
      <c r="G135" s="2545"/>
      <c r="H135" s="2545"/>
      <c r="I135" s="2546" t="s">
        <v>2311</v>
      </c>
    </row>
    <row r="136" spans="1:35" ht="21.75" customHeight="1">
      <c r="A136" s="795"/>
      <c r="B136" s="2547"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2313</v>
      </c>
    </row>
    <row r="139" spans="1:35" ht="21.75" customHeight="1">
      <c r="A139" s="795"/>
      <c r="B139" s="2547" t="s">
        <v>2314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2313</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63" sqref="F6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194675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20418</v>
      </c>
      <c r="C3" s="247" t="s">
        <v>2731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2631</v>
      </c>
      <c r="B4" s="402"/>
      <c r="C4" s="3154" t="s">
        <v>2632</v>
      </c>
      <c r="D4" s="3167"/>
      <c r="E4" s="3168" t="s">
        <v>2633</v>
      </c>
      <c r="F4" s="3169"/>
      <c r="G4" s="3154" t="s">
        <v>2634</v>
      </c>
      <c r="H4" s="3167"/>
      <c r="I4" s="3154" t="s">
        <v>2635</v>
      </c>
      <c r="J4" s="3167"/>
      <c r="K4" s="610" t="s">
        <v>2636</v>
      </c>
      <c r="L4" s="1133"/>
      <c r="M4" s="1134"/>
      <c r="N4" s="1134"/>
      <c r="O4" s="1134"/>
      <c r="P4" s="3170" t="s">
        <v>2637</v>
      </c>
      <c r="Q4" s="3171"/>
      <c r="R4" s="3176" t="s">
        <v>2633</v>
      </c>
      <c r="S4" s="3177"/>
      <c r="T4" s="3176" t="s">
        <v>2634</v>
      </c>
      <c r="U4" s="3177"/>
      <c r="V4" s="3163" t="s">
        <v>2635</v>
      </c>
      <c r="W4" s="3163"/>
      <c r="X4" s="1816"/>
      <c r="Y4" s="3176" t="s">
        <v>2637</v>
      </c>
      <c r="Z4" s="3177"/>
      <c r="AA4" s="3164" t="s">
        <v>2633</v>
      </c>
      <c r="AB4" s="3165" t="s">
        <v>2634</v>
      </c>
      <c r="AC4" s="3164" t="s">
        <v>2635</v>
      </c>
    </row>
    <row r="5" spans="1:30" ht="15">
      <c r="A5" s="404"/>
      <c r="B5" s="405"/>
      <c r="C5" s="3189" t="str">
        <f>项目基本情况!F10</f>
        <v>昌平区北七家镇（中心起步区（海鶄落新村建设）项目一期）HQL-13地块、18地块二宗住宅用地出让国有建设用地使用权</v>
      </c>
      <c r="D5" s="3185"/>
      <c r="E5" s="3192" t="str">
        <f>土地案例!A1</f>
        <v>北京市昌平区北七家镇CP07-0203-0007等地块R2二类居住用地、A33基础教育用地</v>
      </c>
      <c r="F5" s="3193"/>
      <c r="G5" s="3184" t="str">
        <f>土地案例!A2</f>
        <v>北京市昌平区北七家镇东三旗村011地块R2二类居住用地</v>
      </c>
      <c r="H5" s="3185"/>
      <c r="I5" s="3184" t="str">
        <f>土地案例!A3</f>
        <v>北京市门头沟区永定镇岢罗坨、秋坡、石佛村MC00-0500-0009、0010、0013地块R2二类居住用地</v>
      </c>
      <c r="J5" s="3185"/>
      <c r="K5" s="610"/>
      <c r="L5" s="1133"/>
      <c r="M5" s="1134"/>
      <c r="N5" s="1134"/>
      <c r="O5" s="1134"/>
      <c r="P5" s="3172"/>
      <c r="Q5" s="3173"/>
      <c r="R5" s="3178"/>
      <c r="S5" s="3179"/>
      <c r="T5" s="3178"/>
      <c r="U5" s="3179"/>
      <c r="V5" s="3163"/>
      <c r="W5" s="3163"/>
      <c r="X5" s="1816"/>
      <c r="Y5" s="3178"/>
      <c r="Z5" s="3179"/>
      <c r="AA5" s="3165"/>
      <c r="AB5" s="3165"/>
      <c r="AC5" s="3165"/>
    </row>
    <row r="6" spans="1:30" ht="15.75" thickBot="1">
      <c r="A6" s="406"/>
      <c r="B6" s="407"/>
      <c r="C6" s="3182" t="s">
        <v>2532</v>
      </c>
      <c r="D6" s="3183"/>
      <c r="E6" s="3190" t="s">
        <v>2532</v>
      </c>
      <c r="F6" s="3191"/>
      <c r="G6" s="3182" t="s">
        <v>2532</v>
      </c>
      <c r="H6" s="3183"/>
      <c r="I6" s="3182" t="s">
        <v>2532</v>
      </c>
      <c r="J6" s="3183"/>
      <c r="K6" s="610" t="s">
        <v>2533</v>
      </c>
      <c r="L6" s="1133"/>
      <c r="M6" s="1134"/>
      <c r="N6" s="1134"/>
      <c r="O6" s="1134"/>
      <c r="P6" s="3174"/>
      <c r="Q6" s="3175"/>
      <c r="R6" s="3178"/>
      <c r="S6" s="3179"/>
      <c r="T6" s="3180"/>
      <c r="U6" s="3181"/>
      <c r="V6" s="3163"/>
      <c r="W6" s="3163"/>
      <c r="X6" s="1816"/>
      <c r="Y6" s="3180"/>
      <c r="Z6" s="3181"/>
      <c r="AA6" s="3166"/>
      <c r="AB6" s="3166"/>
      <c r="AC6" s="3166"/>
    </row>
    <row r="7" spans="1:30" s="117" customFormat="1" ht="15.75" thickBot="1">
      <c r="A7" s="408" t="s">
        <v>2534</v>
      </c>
      <c r="B7" s="409"/>
      <c r="C7" s="410">
        <f>'数据-取费表'!B2</f>
        <v>43381</v>
      </c>
      <c r="D7" s="411">
        <v>100</v>
      </c>
      <c r="E7" s="412" t="str">
        <f>土地案例!AA1</f>
        <v>2017-12-21</v>
      </c>
      <c r="F7" s="413">
        <f>SUMIF(70:70,YEAR(E7)&amp;"-"&amp;INT((MONTH(E7)+2)/3),71:71)</f>
        <v>98</v>
      </c>
      <c r="G7" s="2696" t="str">
        <f>土地案例!AA2</f>
        <v>2017-10-25</v>
      </c>
      <c r="H7" s="411">
        <f>SUMIF(70:70,YEAR(G7)&amp;"-"&amp;INT((MONTH(G7)+2)/3),71:71)</f>
        <v>98</v>
      </c>
      <c r="I7" s="2696" t="str">
        <f>土地案例!AA3</f>
        <v>2018-02-02</v>
      </c>
      <c r="J7" s="411">
        <f>SUMIF(70:70,YEAR(I7)&amp;"-"&amp;INT((MONTH(I7)+2)/3),71:71)</f>
        <v>98.5</v>
      </c>
      <c r="K7" s="611"/>
      <c r="L7" s="1135"/>
      <c r="M7" s="1136"/>
      <c r="N7" s="1136"/>
      <c r="O7" s="1136"/>
      <c r="P7" s="3186" t="s">
        <v>2535</v>
      </c>
      <c r="Q7" s="3188"/>
      <c r="R7" s="770" t="s">
        <v>17</v>
      </c>
      <c r="S7" s="771">
        <f t="shared" ref="S7:S15" si="0">F7</f>
        <v>98</v>
      </c>
      <c r="T7" s="770" t="s">
        <v>17</v>
      </c>
      <c r="U7" s="771">
        <f t="shared" ref="U7:U15" si="1">H7</f>
        <v>98</v>
      </c>
      <c r="V7" s="770" t="s">
        <v>17</v>
      </c>
      <c r="W7" s="771">
        <f t="shared" ref="W7:W15" si="2">J7</f>
        <v>98.5</v>
      </c>
      <c r="X7" s="772"/>
      <c r="Y7" s="3186" t="s">
        <v>2535</v>
      </c>
      <c r="Z7" s="3187"/>
      <c r="AA7" s="773">
        <f>D7/F7</f>
        <v>1.0204081632653061</v>
      </c>
      <c r="AB7" s="773">
        <f>D7/H7</f>
        <v>1.0204081632653061</v>
      </c>
      <c r="AC7" s="773">
        <f>D7/J7</f>
        <v>1.015228426395939</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5"/>
      <c r="M8" s="1136"/>
      <c r="N8" s="1136"/>
      <c r="O8" s="1136"/>
      <c r="P8" s="3186" t="s">
        <v>2538</v>
      </c>
      <c r="Q8" s="3187"/>
      <c r="R8" s="770" t="s">
        <v>17</v>
      </c>
      <c r="S8" s="771">
        <f t="shared" si="0"/>
        <v>100</v>
      </c>
      <c r="T8" s="770" t="s">
        <v>17</v>
      </c>
      <c r="U8" s="771">
        <f t="shared" si="1"/>
        <v>100</v>
      </c>
      <c r="V8" s="770" t="s">
        <v>17</v>
      </c>
      <c r="W8" s="771">
        <f t="shared" si="2"/>
        <v>100</v>
      </c>
      <c r="X8" s="772"/>
      <c r="Y8" s="3186" t="s">
        <v>2538</v>
      </c>
      <c r="Z8" s="3187"/>
      <c r="AA8" s="773">
        <f t="shared" ref="AA8:AA45" si="3">D8/F8</f>
        <v>1</v>
      </c>
      <c r="AB8" s="773">
        <f t="shared" ref="AB8:AB45" si="4">D8/H8</f>
        <v>1</v>
      </c>
      <c r="AC8" s="773">
        <f t="shared" ref="AC8:AC45" si="5">D8/J8</f>
        <v>1</v>
      </c>
    </row>
    <row r="9" spans="1:30" s="117" customFormat="1">
      <c r="A9" s="415" t="s">
        <v>2539</v>
      </c>
      <c r="B9" s="71" t="s">
        <v>2540</v>
      </c>
      <c r="C9" s="2699" t="s">
        <v>3252</v>
      </c>
      <c r="D9" s="135">
        <v>100</v>
      </c>
      <c r="E9" s="2699" t="s">
        <v>3252</v>
      </c>
      <c r="F9" s="135">
        <f>SUMIF(75:75,E9,76:76)-SUMIF(75:75,C9,76:76)+100</f>
        <v>100</v>
      </c>
      <c r="G9" s="2699" t="s">
        <v>3252</v>
      </c>
      <c r="H9" s="135">
        <f>SUMIF(75:75,G9,76:76)-SUMIF(75:75,C9,76:76)+100</f>
        <v>100</v>
      </c>
      <c r="I9" s="2699" t="s">
        <v>3252</v>
      </c>
      <c r="J9" s="135">
        <f>SUMIF(75:75,I9,76:76)-SUMIF(75:75,C9,76:76)+100</f>
        <v>100</v>
      </c>
      <c r="K9" s="611"/>
      <c r="L9" s="1135"/>
      <c r="M9" s="1136"/>
      <c r="N9" s="1136"/>
      <c r="O9" s="1137"/>
      <c r="P9" s="3157" t="s">
        <v>2541</v>
      </c>
      <c r="Q9" s="1798" t="str">
        <f t="shared" ref="Q9:Q15" si="6">B9</f>
        <v>用途</v>
      </c>
      <c r="R9" s="770" t="s">
        <v>17</v>
      </c>
      <c r="S9" s="771">
        <f t="shared" si="0"/>
        <v>100</v>
      </c>
      <c r="T9" s="770" t="s">
        <v>17</v>
      </c>
      <c r="U9" s="771">
        <f t="shared" si="1"/>
        <v>100</v>
      </c>
      <c r="V9" s="770" t="s">
        <v>17</v>
      </c>
      <c r="W9" s="771">
        <f t="shared" si="2"/>
        <v>100</v>
      </c>
      <c r="X9" s="772"/>
      <c r="Y9" s="3008" t="s">
        <v>2542</v>
      </c>
      <c r="Z9" s="55" t="str">
        <f t="shared" ref="Z9:Z15" si="7">Q9</f>
        <v>用途</v>
      </c>
      <c r="AA9" s="773">
        <f t="shared" si="3"/>
        <v>1</v>
      </c>
      <c r="AB9" s="773">
        <f t="shared" si="4"/>
        <v>1</v>
      </c>
      <c r="AC9" s="773">
        <f t="shared" si="5"/>
        <v>1</v>
      </c>
    </row>
    <row r="10" spans="1:30" s="427" customFormat="1" ht="27">
      <c r="A10" s="421"/>
      <c r="B10" s="422" t="s">
        <v>2543</v>
      </c>
      <c r="C10" s="432">
        <f>'数据-取费表'!F6</f>
        <v>66.400000000000006</v>
      </c>
      <c r="D10" s="136">
        <v>100</v>
      </c>
      <c r="E10" s="465" t="s">
        <v>3270</v>
      </c>
      <c r="F10" s="136">
        <f>ROUND(100/'数据-取费表'!G16,0)</f>
        <v>101</v>
      </c>
      <c r="G10" s="465" t="s">
        <v>3270</v>
      </c>
      <c r="H10" s="136">
        <f>ROUND(100/'数据-取费表'!G16,0)</f>
        <v>101</v>
      </c>
      <c r="I10" s="465" t="s">
        <v>3270</v>
      </c>
      <c r="J10" s="136">
        <f>ROUND(100/'数据-取费表'!G16,0)</f>
        <v>101</v>
      </c>
      <c r="K10" s="672"/>
      <c r="L10" s="1138"/>
      <c r="M10" s="1139"/>
      <c r="N10" s="1139"/>
      <c r="O10" s="1140"/>
      <c r="P10" s="3157"/>
      <c r="Q10" s="1798" t="str">
        <f t="shared" si="6"/>
        <v>土地使用年限（年）</v>
      </c>
      <c r="R10" s="770" t="s">
        <v>17</v>
      </c>
      <c r="S10" s="771">
        <f t="shared" si="0"/>
        <v>101</v>
      </c>
      <c r="T10" s="770" t="s">
        <v>17</v>
      </c>
      <c r="U10" s="771">
        <f t="shared" si="1"/>
        <v>101</v>
      </c>
      <c r="V10" s="770" t="s">
        <v>17</v>
      </c>
      <c r="W10" s="771">
        <f t="shared" si="2"/>
        <v>101</v>
      </c>
      <c r="X10" s="772"/>
      <c r="Y10" s="3008"/>
      <c r="Z10" s="55" t="str">
        <f t="shared" si="7"/>
        <v>土地使用年限（年）</v>
      </c>
      <c r="AA10" s="773">
        <f t="shared" si="3"/>
        <v>0.99009900990099009</v>
      </c>
      <c r="AB10" s="773">
        <f t="shared" si="4"/>
        <v>0.99009900990099009</v>
      </c>
      <c r="AC10" s="773">
        <f t="shared" si="5"/>
        <v>0.99009900990099009</v>
      </c>
    </row>
    <row r="11" spans="1:30" ht="15">
      <c r="A11" s="428"/>
      <c r="B11" s="422" t="s">
        <v>2544</v>
      </c>
      <c r="C11" s="429">
        <f>'数据-汇总表'!I6</f>
        <v>1.2</v>
      </c>
      <c r="D11" s="136">
        <v>100</v>
      </c>
      <c r="E11" s="429">
        <f>土地案例!L1</f>
        <v>2.4</v>
      </c>
      <c r="F11" s="136">
        <f>LOOKUP(E11,80:80,81:81)-LOOKUP(C11,80:80,81:81)+100</f>
        <v>98</v>
      </c>
      <c r="G11" s="430">
        <f>土地案例!L2</f>
        <v>2.2000000000000002</v>
      </c>
      <c r="H11" s="136">
        <f>LOOKUP(G11,80:80,81:81)-LOOKUP(C11,80:80,81:81)+100</f>
        <v>98</v>
      </c>
      <c r="I11" s="429">
        <f>土地案例!L3</f>
        <v>1.2</v>
      </c>
      <c r="J11" s="136">
        <f>LOOKUP(I11,80:80,81:81)-LOOKUP(C11,80:80,81:81)+100</f>
        <v>100</v>
      </c>
      <c r="K11" s="673">
        <v>2</v>
      </c>
      <c r="L11" s="1141"/>
      <c r="M11" s="1134"/>
      <c r="N11" s="1134"/>
      <c r="O11" s="1142"/>
      <c r="P11" s="3157"/>
      <c r="Q11" s="1798" t="str">
        <f t="shared" si="6"/>
        <v>容积率</v>
      </c>
      <c r="R11" s="770" t="s">
        <v>17</v>
      </c>
      <c r="S11" s="771">
        <f t="shared" si="0"/>
        <v>98</v>
      </c>
      <c r="T11" s="770" t="s">
        <v>17</v>
      </c>
      <c r="U11" s="771">
        <f t="shared" si="1"/>
        <v>98</v>
      </c>
      <c r="V11" s="770" t="s">
        <v>17</v>
      </c>
      <c r="W11" s="771">
        <f t="shared" si="2"/>
        <v>100</v>
      </c>
      <c r="X11" s="772"/>
      <c r="Y11" s="3008"/>
      <c r="Z11" s="55" t="str">
        <f t="shared" si="7"/>
        <v>容积率</v>
      </c>
      <c r="AA11" s="773">
        <f t="shared" si="3"/>
        <v>1.0204081632653061</v>
      </c>
      <c r="AB11" s="773">
        <f t="shared" si="4"/>
        <v>1.0204081632653061</v>
      </c>
      <c r="AC11" s="773">
        <f t="shared" si="5"/>
        <v>1</v>
      </c>
    </row>
    <row r="12" spans="1:30" s="117" customFormat="1" ht="15.75" thickBot="1">
      <c r="A12" s="431"/>
      <c r="B12" s="2602" t="s">
        <v>2732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7"/>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15">
      <c r="A15" s="440" t="s">
        <v>2545</v>
      </c>
      <c r="B15" s="69" t="s">
        <v>2082</v>
      </c>
      <c r="C15" s="2605"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v>2</v>
      </c>
      <c r="L15" s="1143"/>
      <c r="M15" s="1134"/>
      <c r="N15" s="1134"/>
      <c r="O15" s="1142"/>
      <c r="P15" s="3159" t="s">
        <v>2546</v>
      </c>
      <c r="Q15" s="1813" t="str">
        <f t="shared" si="6"/>
        <v>居住社区成熟度</v>
      </c>
      <c r="R15" s="774" t="s">
        <v>17</v>
      </c>
      <c r="S15" s="775">
        <f t="shared" si="0"/>
        <v>100</v>
      </c>
      <c r="T15" s="774" t="s">
        <v>17</v>
      </c>
      <c r="U15" s="775">
        <f t="shared" si="1"/>
        <v>100</v>
      </c>
      <c r="V15" s="774" t="s">
        <v>17</v>
      </c>
      <c r="W15" s="775">
        <f t="shared" si="2"/>
        <v>100</v>
      </c>
      <c r="X15" s="1816"/>
      <c r="Y15" s="3159" t="s">
        <v>2546</v>
      </c>
      <c r="Z15" s="1817" t="str">
        <f t="shared" si="7"/>
        <v>居住社区成熟度</v>
      </c>
      <c r="AA15" s="1814">
        <f t="shared" si="3"/>
        <v>1</v>
      </c>
      <c r="AB15" s="1814">
        <f t="shared" si="4"/>
        <v>1</v>
      </c>
      <c r="AC15" s="1814">
        <f t="shared" si="5"/>
        <v>1</v>
      </c>
    </row>
    <row r="16" spans="1:30" ht="15">
      <c r="A16" s="428"/>
      <c r="B16" s="446"/>
      <c r="C16" s="447" t="s">
        <v>3261</v>
      </c>
      <c r="D16" s="448"/>
      <c r="E16" s="447" t="s">
        <v>3261</v>
      </c>
      <c r="F16" s="448"/>
      <c r="G16" s="447" t="s">
        <v>3261</v>
      </c>
      <c r="H16" s="450"/>
      <c r="I16" s="447" t="s">
        <v>3261</v>
      </c>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15" hidden="1">
      <c r="A17" s="428"/>
      <c r="B17" s="451" t="s">
        <v>2639</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0"/>
      <c r="Q17" s="1813" t="str">
        <f>B17</f>
        <v>商业繁华度</v>
      </c>
      <c r="R17" s="774" t="s">
        <v>17</v>
      </c>
      <c r="S17" s="775">
        <f>F17</f>
        <v>100</v>
      </c>
      <c r="T17" s="774" t="s">
        <v>17</v>
      </c>
      <c r="U17" s="775">
        <f>H17</f>
        <v>100</v>
      </c>
      <c r="V17" s="774" t="s">
        <v>17</v>
      </c>
      <c r="W17" s="775">
        <f>J17</f>
        <v>100</v>
      </c>
      <c r="X17" s="1816"/>
      <c r="Y17" s="3160"/>
      <c r="Z17" s="1817" t="str">
        <f>Q17</f>
        <v>商业繁华度</v>
      </c>
      <c r="AA17" s="1814">
        <f t="shared" si="3"/>
        <v>1</v>
      </c>
      <c r="AB17" s="1814">
        <f t="shared" si="4"/>
        <v>1</v>
      </c>
      <c r="AC17" s="1814">
        <f t="shared" si="5"/>
        <v>1</v>
      </c>
    </row>
    <row r="18" spans="1:29" ht="15" hidden="1">
      <c r="A18" s="428"/>
      <c r="B18" s="456"/>
      <c r="C18" s="2610"/>
      <c r="D18" s="450"/>
      <c r="E18" s="2612"/>
      <c r="F18" s="450"/>
      <c r="G18" s="2612"/>
      <c r="H18" s="448"/>
      <c r="I18" s="2611"/>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15" hidden="1">
      <c r="A19" s="428"/>
      <c r="B19" s="451" t="s">
        <v>2673</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0"/>
      <c r="Q19" s="1813" t="str">
        <f>B19</f>
        <v>办公集聚程度</v>
      </c>
      <c r="R19" s="774" t="s">
        <v>17</v>
      </c>
      <c r="S19" s="775">
        <f>F19</f>
        <v>100</v>
      </c>
      <c r="T19" s="774" t="s">
        <v>17</v>
      </c>
      <c r="U19" s="775">
        <f>H19</f>
        <v>100</v>
      </c>
      <c r="V19" s="774" t="s">
        <v>17</v>
      </c>
      <c r="W19" s="775">
        <f>J19</f>
        <v>100</v>
      </c>
      <c r="X19" s="1816"/>
      <c r="Y19" s="3160"/>
      <c r="Z19" s="1817" t="str">
        <f>Q19</f>
        <v>办公集聚程度</v>
      </c>
      <c r="AA19" s="1814">
        <f t="shared" si="3"/>
        <v>1</v>
      </c>
      <c r="AB19" s="1814">
        <f t="shared" si="4"/>
        <v>1</v>
      </c>
      <c r="AC19" s="1814">
        <f t="shared" si="5"/>
        <v>1</v>
      </c>
    </row>
    <row r="20" spans="1:29" ht="15" hidden="1">
      <c r="A20" s="428"/>
      <c r="B20" s="456"/>
      <c r="C20" s="447"/>
      <c r="D20" s="448"/>
      <c r="E20" s="2607"/>
      <c r="F20" s="448"/>
      <c r="G20" s="2607"/>
      <c r="H20" s="448"/>
      <c r="I20" s="2606"/>
      <c r="J20" s="448"/>
      <c r="K20" s="672"/>
      <c r="L20" s="1143"/>
      <c r="M20" s="1134"/>
      <c r="N20" s="1134"/>
      <c r="O20" s="1142"/>
      <c r="P20" s="3160"/>
      <c r="Q20" s="1813"/>
      <c r="R20" s="774"/>
      <c r="S20" s="775"/>
      <c r="T20" s="774"/>
      <c r="U20" s="775"/>
      <c r="V20" s="774"/>
      <c r="W20" s="775"/>
      <c r="X20" s="1816"/>
      <c r="Y20" s="3160"/>
      <c r="Z20" s="1817"/>
      <c r="AA20" s="1814">
        <v>1</v>
      </c>
      <c r="AB20" s="1814">
        <v>1</v>
      </c>
      <c r="AC20" s="1814">
        <v>1</v>
      </c>
    </row>
    <row r="21" spans="1:29" ht="15">
      <c r="A21" s="428"/>
      <c r="B21" s="451" t="s">
        <v>2695</v>
      </c>
      <c r="C21" s="2609"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60"/>
      <c r="Q21" s="1813" t="str">
        <f>B21</f>
        <v>交通便捷度</v>
      </c>
      <c r="R21" s="774" t="s">
        <v>17</v>
      </c>
      <c r="S21" s="775">
        <f>F21</f>
        <v>100</v>
      </c>
      <c r="T21" s="774" t="s">
        <v>17</v>
      </c>
      <c r="U21" s="775">
        <f>H21</f>
        <v>100</v>
      </c>
      <c r="V21" s="774" t="s">
        <v>17</v>
      </c>
      <c r="W21" s="775">
        <f>J21</f>
        <v>100</v>
      </c>
      <c r="X21" s="1816"/>
      <c r="Y21" s="3160"/>
      <c r="Z21" s="1817" t="str">
        <f>Q21</f>
        <v>交通便捷度</v>
      </c>
      <c r="AA21" s="1814">
        <f t="shared" si="3"/>
        <v>1</v>
      </c>
      <c r="AB21" s="1814">
        <f t="shared" si="4"/>
        <v>1</v>
      </c>
      <c r="AC21" s="1814">
        <f t="shared" si="5"/>
        <v>1</v>
      </c>
    </row>
    <row r="22" spans="1:29" ht="15">
      <c r="A22" s="428"/>
      <c r="B22" s="1387"/>
      <c r="C22" s="447" t="s">
        <v>3263</v>
      </c>
      <c r="D22" s="450"/>
      <c r="E22" s="447" t="s">
        <v>3263</v>
      </c>
      <c r="F22" s="448"/>
      <c r="G22" s="447" t="s">
        <v>3263</v>
      </c>
      <c r="H22" s="448"/>
      <c r="I22" s="447" t="s">
        <v>3263</v>
      </c>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ht="15">
      <c r="A23" s="404"/>
      <c r="B23" s="451" t="s">
        <v>2733</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60"/>
      <c r="Q23" s="1813" t="str">
        <f t="shared" ref="Q23:Q37" si="8">B23</f>
        <v>区域土地利用方向</v>
      </c>
      <c r="R23" s="774" t="s">
        <v>17</v>
      </c>
      <c r="S23" s="775">
        <f>F23</f>
        <v>100</v>
      </c>
      <c r="T23" s="774" t="s">
        <v>17</v>
      </c>
      <c r="U23" s="775">
        <f>H23</f>
        <v>100</v>
      </c>
      <c r="V23" s="774" t="s">
        <v>17</v>
      </c>
      <c r="W23" s="775">
        <f>J23</f>
        <v>100</v>
      </c>
      <c r="X23" s="1816"/>
      <c r="Y23" s="3160"/>
      <c r="Z23" s="1817" t="str">
        <f>Q23</f>
        <v>区域土地利用方向</v>
      </c>
      <c r="AA23" s="1814">
        <f t="shared" si="3"/>
        <v>1</v>
      </c>
      <c r="AB23" s="1814">
        <f t="shared" si="4"/>
        <v>1</v>
      </c>
      <c r="AC23" s="1814">
        <f t="shared" si="5"/>
        <v>1</v>
      </c>
    </row>
    <row r="24" spans="1:29" ht="15">
      <c r="A24" s="404"/>
      <c r="B24" s="456"/>
      <c r="C24" s="616" t="s">
        <v>3261</v>
      </c>
      <c r="D24" s="448"/>
      <c r="E24" s="616" t="s">
        <v>3261</v>
      </c>
      <c r="F24" s="448"/>
      <c r="G24" s="616" t="s">
        <v>3261</v>
      </c>
      <c r="H24" s="448"/>
      <c r="I24" s="616" t="s">
        <v>3261</v>
      </c>
      <c r="J24" s="448"/>
      <c r="K24" s="812"/>
      <c r="L24" s="1143"/>
      <c r="M24" s="1134"/>
      <c r="N24" s="1134"/>
      <c r="O24" s="1142"/>
      <c r="P24" s="3160"/>
      <c r="Q24" s="1813"/>
      <c r="R24" s="774"/>
      <c r="S24" s="775"/>
      <c r="T24" s="774"/>
      <c r="U24" s="775"/>
      <c r="V24" s="774"/>
      <c r="W24" s="775"/>
      <c r="X24" s="1816"/>
      <c r="Y24" s="3160"/>
      <c r="Z24" s="1817"/>
      <c r="AA24" s="1814"/>
      <c r="AB24" s="1814"/>
      <c r="AC24" s="1814"/>
    </row>
    <row r="25" spans="1:29" ht="27">
      <c r="A25" s="404"/>
      <c r="B25" s="1387" t="s">
        <v>2734</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60"/>
      <c r="Q25" s="1813" t="str">
        <f t="shared" si="8"/>
        <v>自然及人文环境状况</v>
      </c>
      <c r="R25" s="774" t="s">
        <v>17</v>
      </c>
      <c r="S25" s="775">
        <f>F25</f>
        <v>100</v>
      </c>
      <c r="T25" s="774" t="s">
        <v>17</v>
      </c>
      <c r="U25" s="775">
        <f>H25</f>
        <v>100</v>
      </c>
      <c r="V25" s="774" t="s">
        <v>17</v>
      </c>
      <c r="W25" s="775">
        <f>J25</f>
        <v>100</v>
      </c>
      <c r="X25" s="1816"/>
      <c r="Y25" s="3160"/>
      <c r="Z25" s="1817" t="str">
        <f>Q25</f>
        <v>自然及人文环境状况</v>
      </c>
      <c r="AA25" s="1814">
        <f t="shared" si="3"/>
        <v>1</v>
      </c>
      <c r="AB25" s="1814">
        <f t="shared" si="4"/>
        <v>1</v>
      </c>
      <c r="AC25" s="1814">
        <f t="shared" si="5"/>
        <v>1</v>
      </c>
    </row>
    <row r="26" spans="1:29" ht="15">
      <c r="A26" s="404"/>
      <c r="B26" s="456"/>
      <c r="C26" s="447" t="s">
        <v>3261</v>
      </c>
      <c r="D26" s="448"/>
      <c r="E26" s="447" t="s">
        <v>3261</v>
      </c>
      <c r="F26" s="448"/>
      <c r="G26" s="447" t="s">
        <v>3261</v>
      </c>
      <c r="H26" s="448"/>
      <c r="I26" s="447" t="s">
        <v>3261</v>
      </c>
      <c r="J26" s="448"/>
      <c r="K26" s="672"/>
      <c r="L26" s="1143"/>
      <c r="M26" s="1134"/>
      <c r="N26" s="1134"/>
      <c r="O26" s="1142"/>
      <c r="P26" s="3160"/>
      <c r="Q26" s="1813"/>
      <c r="R26" s="774"/>
      <c r="S26" s="775"/>
      <c r="T26" s="774"/>
      <c r="U26" s="775"/>
      <c r="V26" s="774"/>
      <c r="W26" s="775"/>
      <c r="X26" s="1816"/>
      <c r="Y26" s="3160"/>
      <c r="Z26" s="1817"/>
      <c r="AA26" s="1814">
        <v>1</v>
      </c>
      <c r="AB26" s="1814">
        <v>1</v>
      </c>
      <c r="AC26" s="1814">
        <v>1</v>
      </c>
    </row>
    <row r="27" spans="1:29" s="117" customFormat="1" ht="15">
      <c r="A27" s="649"/>
      <c r="B27" s="1387" t="s">
        <v>2640</v>
      </c>
      <c r="C27" s="2609"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60"/>
      <c r="Q27" s="1798" t="str">
        <f t="shared" si="8"/>
        <v>公共配套设施</v>
      </c>
      <c r="R27" s="770" t="s">
        <v>17</v>
      </c>
      <c r="S27" s="771">
        <f>F27</f>
        <v>100</v>
      </c>
      <c r="T27" s="770" t="s">
        <v>17</v>
      </c>
      <c r="U27" s="771">
        <f>H27</f>
        <v>100</v>
      </c>
      <c r="V27" s="770" t="s">
        <v>17</v>
      </c>
      <c r="W27" s="771">
        <f>J27</f>
        <v>100</v>
      </c>
      <c r="X27" s="772"/>
      <c r="Y27" s="3160"/>
      <c r="Z27" s="55" t="str">
        <f>Q27</f>
        <v>公共配套设施</v>
      </c>
      <c r="AA27" s="1814">
        <f>D27/F27</f>
        <v>1</v>
      </c>
      <c r="AB27" s="1814">
        <f>D27/H27</f>
        <v>1</v>
      </c>
      <c r="AC27" s="1814">
        <f>D27/J27</f>
        <v>1</v>
      </c>
    </row>
    <row r="28" spans="1:29" s="117" customFormat="1" ht="15">
      <c r="A28" s="649"/>
      <c r="B28" s="456"/>
      <c r="C28" s="2700" t="s">
        <v>3261</v>
      </c>
      <c r="D28" s="448"/>
      <c r="E28" s="2700" t="s">
        <v>3261</v>
      </c>
      <c r="F28" s="448"/>
      <c r="G28" s="2700" t="s">
        <v>3261</v>
      </c>
      <c r="H28" s="448"/>
      <c r="I28" s="2700" t="s">
        <v>3261</v>
      </c>
      <c r="J28" s="448"/>
      <c r="K28" s="672"/>
      <c r="L28" s="1135"/>
      <c r="M28" s="1136"/>
      <c r="N28" s="1136"/>
      <c r="O28" s="1137"/>
      <c r="P28" s="3160"/>
      <c r="Q28" s="1798"/>
      <c r="R28" s="770"/>
      <c r="S28" s="771"/>
      <c r="T28" s="770"/>
      <c r="U28" s="771"/>
      <c r="V28" s="770"/>
      <c r="W28" s="771"/>
      <c r="X28" s="772"/>
      <c r="Y28" s="3160"/>
      <c r="Z28" s="55"/>
      <c r="AA28" s="1814">
        <v>1</v>
      </c>
      <c r="AB28" s="1814">
        <v>1</v>
      </c>
      <c r="AC28" s="1814">
        <v>1</v>
      </c>
    </row>
    <row r="29" spans="1:29" s="117" customFormat="1" ht="15">
      <c r="A29" s="649"/>
      <c r="B29" s="1387" t="s">
        <v>2641</v>
      </c>
      <c r="C29" s="260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60"/>
      <c r="Q29" s="1798" t="str">
        <f t="shared" ref="Q29" si="9">B29</f>
        <v>基础设施水平</v>
      </c>
      <c r="R29" s="770" t="s">
        <v>17</v>
      </c>
      <c r="S29" s="771">
        <f>F29</f>
        <v>100</v>
      </c>
      <c r="T29" s="770" t="s">
        <v>17</v>
      </c>
      <c r="U29" s="771">
        <f>H29</f>
        <v>100</v>
      </c>
      <c r="V29" s="770" t="s">
        <v>17</v>
      </c>
      <c r="W29" s="771">
        <f>J29</f>
        <v>100</v>
      </c>
      <c r="X29" s="772"/>
      <c r="Y29" s="3160"/>
      <c r="Z29" s="55" t="str">
        <f>Q29</f>
        <v>基础设施水平</v>
      </c>
      <c r="AA29" s="1814">
        <f>D29/F29</f>
        <v>1</v>
      </c>
      <c r="AB29" s="1814">
        <f>D29/H29</f>
        <v>1</v>
      </c>
      <c r="AC29" s="1814">
        <f>D29/J29</f>
        <v>1</v>
      </c>
    </row>
    <row r="30" spans="1:29" s="117" customFormat="1" ht="15">
      <c r="A30" s="649"/>
      <c r="B30" s="456"/>
      <c r="C30" s="2700" t="s">
        <v>3266</v>
      </c>
      <c r="D30" s="448"/>
      <c r="E30" s="2700" t="s">
        <v>3266</v>
      </c>
      <c r="F30" s="448"/>
      <c r="G30" s="2700" t="s">
        <v>3266</v>
      </c>
      <c r="H30" s="448"/>
      <c r="I30" s="2700" t="s">
        <v>3266</v>
      </c>
      <c r="J30" s="448"/>
      <c r="K30" s="672"/>
      <c r="L30" s="1135"/>
      <c r="M30" s="1136"/>
      <c r="N30" s="1136"/>
      <c r="O30" s="1137"/>
      <c r="P30" s="3160"/>
      <c r="Q30" s="1798"/>
      <c r="R30" s="770"/>
      <c r="S30" s="771"/>
      <c r="T30" s="770"/>
      <c r="U30" s="771"/>
      <c r="V30" s="770"/>
      <c r="W30" s="771"/>
      <c r="X30" s="772"/>
      <c r="Y30" s="3160"/>
      <c r="Z30" s="55"/>
      <c r="AA30" s="1814">
        <v>1</v>
      </c>
      <c r="AB30" s="1814">
        <v>1</v>
      </c>
      <c r="AC30" s="1814">
        <v>1</v>
      </c>
    </row>
    <row r="31" spans="1:29" ht="15">
      <c r="A31" s="428"/>
      <c r="B31" s="456" t="s">
        <v>2642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0"/>
      <c r="Z31" s="1817" t="str">
        <f t="shared" ref="Z31:Z45" si="13">Q31</f>
        <v>临街状况</v>
      </c>
      <c r="AA31" s="1814">
        <f t="shared" si="3"/>
        <v>1</v>
      </c>
      <c r="AB31" s="1814">
        <f t="shared" si="4"/>
        <v>1</v>
      </c>
      <c r="AC31" s="1814">
        <f t="shared" si="5"/>
        <v>1</v>
      </c>
    </row>
    <row r="32" spans="1:29" ht="27">
      <c r="A32" s="428"/>
      <c r="B32" s="1387"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0"/>
      <c r="Q32" s="1813" t="str">
        <f t="shared" si="8"/>
        <v>毗邻道路的类型与等级</v>
      </c>
      <c r="R32" s="774" t="s">
        <v>17</v>
      </c>
      <c r="S32" s="775">
        <f t="shared" si="10"/>
        <v>100</v>
      </c>
      <c r="T32" s="774" t="s">
        <v>17</v>
      </c>
      <c r="U32" s="775">
        <f t="shared" si="11"/>
        <v>100</v>
      </c>
      <c r="V32" s="774" t="s">
        <v>17</v>
      </c>
      <c r="W32" s="775">
        <f t="shared" si="12"/>
        <v>100</v>
      </c>
      <c r="X32" s="1816"/>
      <c r="Y32" s="3160"/>
      <c r="Z32" s="1817" t="str">
        <f t="shared" si="13"/>
        <v>毗邻道路的类型与等级</v>
      </c>
      <c r="AA32" s="1814">
        <f t="shared" si="3"/>
        <v>1</v>
      </c>
      <c r="AB32" s="1814">
        <f t="shared" si="4"/>
        <v>1</v>
      </c>
      <c r="AC32" s="1814">
        <f t="shared" si="5"/>
        <v>1</v>
      </c>
    </row>
    <row r="33" spans="1:29" ht="15.75" thickBot="1">
      <c r="A33" s="428"/>
      <c r="B33" s="456"/>
      <c r="C33" s="447"/>
      <c r="D33" s="448"/>
      <c r="E33" s="2613"/>
      <c r="F33" s="448"/>
      <c r="G33" s="2613"/>
      <c r="H33" s="448"/>
      <c r="I33" s="447"/>
      <c r="J33" s="448"/>
      <c r="K33" s="613"/>
      <c r="L33" s="1143"/>
      <c r="M33" s="1134"/>
      <c r="N33" s="1134"/>
      <c r="O33" s="1142"/>
      <c r="P33" s="3160"/>
      <c r="Q33" s="1813"/>
      <c r="R33" s="774"/>
      <c r="S33" s="775"/>
      <c r="T33" s="774"/>
      <c r="U33" s="775"/>
      <c r="V33" s="774"/>
      <c r="W33" s="775"/>
      <c r="X33" s="1816"/>
      <c r="Y33" s="3160"/>
      <c r="Z33" s="1817"/>
      <c r="AA33" s="1814">
        <v>1</v>
      </c>
      <c r="AB33" s="1814">
        <v>1</v>
      </c>
      <c r="AC33" s="1814">
        <v>1</v>
      </c>
    </row>
    <row r="34" spans="1:29" ht="15" hidden="1">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0"/>
      <c r="Q34" s="1813" t="str">
        <f t="shared" si="8"/>
        <v>土地级别</v>
      </c>
      <c r="R34" s="774" t="s">
        <v>17</v>
      </c>
      <c r="S34" s="775">
        <f t="shared" si="10"/>
        <v>100</v>
      </c>
      <c r="T34" s="774" t="s">
        <v>17</v>
      </c>
      <c r="U34" s="775">
        <f t="shared" si="11"/>
        <v>100</v>
      </c>
      <c r="V34" s="774" t="s">
        <v>17</v>
      </c>
      <c r="W34" s="775">
        <f t="shared" si="12"/>
        <v>100</v>
      </c>
      <c r="X34" s="1816"/>
      <c r="Y34" s="3160"/>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0"/>
      <c r="Q35" s="1813">
        <f t="shared" si="8"/>
        <v>111</v>
      </c>
      <c r="R35" s="774" t="s">
        <v>17</v>
      </c>
      <c r="S35" s="775">
        <f t="shared" si="10"/>
        <v>100</v>
      </c>
      <c r="T35" s="774" t="s">
        <v>17</v>
      </c>
      <c r="U35" s="775">
        <f t="shared" si="11"/>
        <v>100</v>
      </c>
      <c r="V35" s="774" t="s">
        <v>17</v>
      </c>
      <c r="W35" s="775">
        <f t="shared" si="12"/>
        <v>100</v>
      </c>
      <c r="X35" s="1816"/>
      <c r="Y35" s="3160"/>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1" t="s">
        <v>2551</v>
      </c>
      <c r="Q36" s="1813">
        <f t="shared" si="8"/>
        <v>111</v>
      </c>
      <c r="R36" s="774" t="s">
        <v>17</v>
      </c>
      <c r="S36" s="775">
        <f t="shared" si="10"/>
        <v>100</v>
      </c>
      <c r="T36" s="774" t="s">
        <v>17</v>
      </c>
      <c r="U36" s="775">
        <f t="shared" si="11"/>
        <v>100</v>
      </c>
      <c r="V36" s="774" t="s">
        <v>17</v>
      </c>
      <c r="W36" s="775">
        <f t="shared" si="12"/>
        <v>100</v>
      </c>
      <c r="X36" s="1816"/>
      <c r="Y36" s="3162" t="s">
        <v>2551</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2"/>
      <c r="Q37" s="1813">
        <f t="shared" si="8"/>
        <v>111</v>
      </c>
      <c r="R37" s="777" t="s">
        <v>17</v>
      </c>
      <c r="S37" s="778">
        <f t="shared" si="10"/>
        <v>100</v>
      </c>
      <c r="T37" s="777" t="s">
        <v>17</v>
      </c>
      <c r="U37" s="778">
        <f t="shared" si="11"/>
        <v>100</v>
      </c>
      <c r="V37" s="777" t="s">
        <v>17</v>
      </c>
      <c r="W37" s="778">
        <f t="shared" si="12"/>
        <v>100</v>
      </c>
      <c r="X37" s="779"/>
      <c r="Y37" s="3162"/>
      <c r="Z37" s="780">
        <f t="shared" si="13"/>
        <v>111</v>
      </c>
      <c r="AA37" s="1814">
        <f t="shared" si="3"/>
        <v>1</v>
      </c>
      <c r="AB37" s="1814">
        <f t="shared" si="4"/>
        <v>1</v>
      </c>
      <c r="AC37" s="1814">
        <f t="shared" si="5"/>
        <v>1</v>
      </c>
    </row>
    <row r="38" spans="1:29" ht="15">
      <c r="A38" s="472" t="s">
        <v>2549</v>
      </c>
      <c r="B38" s="456" t="s">
        <v>2736</v>
      </c>
      <c r="C38" s="679">
        <f>'数据-汇总表'!D3</f>
        <v>44764.76</v>
      </c>
      <c r="D38" s="467">
        <v>100</v>
      </c>
      <c r="E38" s="679">
        <f>土地案例!J1</f>
        <v>71022.78</v>
      </c>
      <c r="F38" s="467">
        <f>LOOKUP(E38,117:117,118:118)-LOOKUP(C38,117:117,118:118)+100</f>
        <v>101</v>
      </c>
      <c r="G38" s="679">
        <f>土地案例!J2</f>
        <v>30890.99</v>
      </c>
      <c r="H38" s="467">
        <f>LOOKUP(G38,117:117,118:118)-LOOKUP(C38,117:117,118:118)+100</f>
        <v>100</v>
      </c>
      <c r="I38" s="530">
        <f>土地案例!J3</f>
        <v>82458.61</v>
      </c>
      <c r="J38" s="467">
        <f>LOOKUP(I38,117:117,118:118)-LOOKUP(C38,117:117,118:118)+100</f>
        <v>101</v>
      </c>
      <c r="K38" s="613"/>
      <c r="L38" s="1143"/>
      <c r="M38" s="1134"/>
      <c r="N38" s="1134"/>
      <c r="O38" s="1142"/>
      <c r="P38" s="3162"/>
      <c r="Q38" s="1813" t="str">
        <f>B38</f>
        <v>宗地面积</v>
      </c>
      <c r="R38" s="774" t="s">
        <v>17</v>
      </c>
      <c r="S38" s="775">
        <f t="shared" si="10"/>
        <v>101</v>
      </c>
      <c r="T38" s="774" t="s">
        <v>17</v>
      </c>
      <c r="U38" s="775">
        <f t="shared" si="11"/>
        <v>100</v>
      </c>
      <c r="V38" s="774" t="s">
        <v>17</v>
      </c>
      <c r="W38" s="775">
        <f t="shared" si="12"/>
        <v>101</v>
      </c>
      <c r="X38" s="1816"/>
      <c r="Y38" s="3162"/>
      <c r="Z38" s="1817" t="str">
        <f t="shared" si="13"/>
        <v>宗地面积</v>
      </c>
      <c r="AA38" s="1814">
        <f t="shared" si="3"/>
        <v>0.99009900990099009</v>
      </c>
      <c r="AB38" s="1814">
        <f t="shared" si="4"/>
        <v>1</v>
      </c>
      <c r="AC38" s="1814">
        <f t="shared" si="5"/>
        <v>0.99009900990099009</v>
      </c>
    </row>
    <row r="39" spans="1:29" ht="15">
      <c r="A39" s="472"/>
      <c r="B39" s="422" t="s">
        <v>2737</v>
      </c>
      <c r="C39" s="2615" t="s">
        <v>3272</v>
      </c>
      <c r="D39" s="435">
        <v>100</v>
      </c>
      <c r="E39" s="2615" t="s">
        <v>3272</v>
      </c>
      <c r="F39" s="435">
        <f>SUMIF(119:119,E39,120:120)-SUMIF(119:119,C39,120:120)+100</f>
        <v>100</v>
      </c>
      <c r="G39" s="2615" t="s">
        <v>3272</v>
      </c>
      <c r="H39" s="435">
        <f>SUMIF(119:119,G39,120:120)-SUMIF(119:119,C39,120:120)+100</f>
        <v>100</v>
      </c>
      <c r="I39" s="2615" t="s">
        <v>3272</v>
      </c>
      <c r="J39" s="435">
        <f>SUMIF(119:119,I39,120:120)-SUMIF(119:119,C39,120:120)+100</f>
        <v>100</v>
      </c>
      <c r="K39" s="612">
        <v>2</v>
      </c>
      <c r="L39" s="1143"/>
      <c r="M39" s="1134"/>
      <c r="N39" s="1134"/>
      <c r="O39" s="1142"/>
      <c r="P39" s="3162"/>
      <c r="Q39" s="1813" t="str">
        <f t="shared" ref="Q39:Q45" si="14">B39</f>
        <v>宗地形状</v>
      </c>
      <c r="R39" s="774" t="s">
        <v>17</v>
      </c>
      <c r="S39" s="775">
        <f t="shared" si="10"/>
        <v>100</v>
      </c>
      <c r="T39" s="774" t="s">
        <v>17</v>
      </c>
      <c r="U39" s="775">
        <f t="shared" si="11"/>
        <v>100</v>
      </c>
      <c r="V39" s="774" t="s">
        <v>17</v>
      </c>
      <c r="W39" s="775">
        <f t="shared" si="12"/>
        <v>100</v>
      </c>
      <c r="X39" s="1816"/>
      <c r="Y39" s="3162"/>
      <c r="Z39" s="1817" t="str">
        <f t="shared" si="13"/>
        <v>宗地形状</v>
      </c>
      <c r="AA39" s="1814">
        <f t="shared" si="3"/>
        <v>1</v>
      </c>
      <c r="AB39" s="1814">
        <f t="shared" si="4"/>
        <v>1</v>
      </c>
      <c r="AC39" s="1814">
        <f t="shared" si="5"/>
        <v>1</v>
      </c>
    </row>
    <row r="40" spans="1:29" ht="15">
      <c r="A40" s="472"/>
      <c r="B40" s="422" t="s">
        <v>2738</v>
      </c>
      <c r="C40" s="2615" t="s">
        <v>3277</v>
      </c>
      <c r="D40" s="435">
        <v>100</v>
      </c>
      <c r="E40" s="2615" t="s">
        <v>3277</v>
      </c>
      <c r="F40" s="435">
        <f>SUMIF(121:121,E40,122:122)-SUMIF(121:121,C40,122:122)+100</f>
        <v>100</v>
      </c>
      <c r="G40" s="2615" t="s">
        <v>3277</v>
      </c>
      <c r="H40" s="435">
        <f>SUMIF(121:121,G40,122:122)-SUMIF(121:121,C40,122:122)+100</f>
        <v>100</v>
      </c>
      <c r="I40" s="2615" t="s">
        <v>3277</v>
      </c>
      <c r="J40" s="435">
        <f>SUMIF(121:121,I40,122:122)-SUMIF(121:121,C40,122:122)+100</f>
        <v>100</v>
      </c>
      <c r="K40" s="612">
        <v>2</v>
      </c>
      <c r="L40" s="1143"/>
      <c r="M40" s="1134"/>
      <c r="N40" s="1134"/>
      <c r="O40" s="1142"/>
      <c r="P40" s="3162"/>
      <c r="Q40" s="1813" t="str">
        <f t="shared" si="14"/>
        <v>临街宽度及深度</v>
      </c>
      <c r="R40" s="774" t="s">
        <v>17</v>
      </c>
      <c r="S40" s="775">
        <f t="shared" si="10"/>
        <v>100</v>
      </c>
      <c r="T40" s="774" t="s">
        <v>17</v>
      </c>
      <c r="U40" s="775">
        <f t="shared" si="11"/>
        <v>100</v>
      </c>
      <c r="V40" s="774" t="s">
        <v>17</v>
      </c>
      <c r="W40" s="775">
        <f t="shared" si="12"/>
        <v>100</v>
      </c>
      <c r="X40" s="1816"/>
      <c r="Y40" s="3162"/>
      <c r="Z40" s="1817" t="str">
        <f t="shared" si="13"/>
        <v>临街宽度及深度</v>
      </c>
      <c r="AA40" s="1814">
        <f t="shared" si="3"/>
        <v>1</v>
      </c>
      <c r="AB40" s="1814">
        <f t="shared" si="4"/>
        <v>1</v>
      </c>
      <c r="AC40" s="1814">
        <f t="shared" si="5"/>
        <v>1</v>
      </c>
    </row>
    <row r="41" spans="1:29" s="117" customFormat="1" ht="15">
      <c r="A41" s="473"/>
      <c r="B41" s="422" t="s">
        <v>2739</v>
      </c>
      <c r="C41" s="2702" t="s">
        <v>3281</v>
      </c>
      <c r="D41" s="136">
        <v>100</v>
      </c>
      <c r="E41" s="2702" t="s">
        <v>3281</v>
      </c>
      <c r="F41" s="435">
        <f>SUMIF(123:123,E41,124:124)-SUMIF(123:123,C41,124:124)+100</f>
        <v>100</v>
      </c>
      <c r="G41" s="2702" t="s">
        <v>3281</v>
      </c>
      <c r="H41" s="435">
        <f>SUMIF(123:123,G41,124:124)-SUMIF(123:123,C41,124:124)+100</f>
        <v>100</v>
      </c>
      <c r="I41" s="2702" t="s">
        <v>3281</v>
      </c>
      <c r="J41" s="435">
        <f>SUMIF(123:123,I41,124:124)-SUMIF(123:123,C41,124:124)+100</f>
        <v>100</v>
      </c>
      <c r="K41" s="612">
        <v>1</v>
      </c>
      <c r="L41" s="1135"/>
      <c r="M41" s="1136"/>
      <c r="N41" s="1136"/>
      <c r="O41" s="1137"/>
      <c r="P41" s="3162"/>
      <c r="Q41" s="1813" t="str">
        <f t="shared" si="14"/>
        <v>宗地开发程度</v>
      </c>
      <c r="R41" s="770" t="s">
        <v>17</v>
      </c>
      <c r="S41" s="771">
        <f t="shared" si="10"/>
        <v>100</v>
      </c>
      <c r="T41" s="770" t="s">
        <v>17</v>
      </c>
      <c r="U41" s="771">
        <f t="shared" si="11"/>
        <v>100</v>
      </c>
      <c r="V41" s="770" t="s">
        <v>17</v>
      </c>
      <c r="W41" s="771">
        <f t="shared" si="12"/>
        <v>100</v>
      </c>
      <c r="X41" s="772"/>
      <c r="Y41" s="3162"/>
      <c r="Z41" s="55" t="str">
        <f t="shared" si="13"/>
        <v>宗地开发程度</v>
      </c>
      <c r="AA41" s="773">
        <f t="shared" si="3"/>
        <v>1</v>
      </c>
      <c r="AB41" s="773">
        <f t="shared" si="4"/>
        <v>1</v>
      </c>
      <c r="AC41" s="773">
        <f t="shared" si="5"/>
        <v>1</v>
      </c>
    </row>
    <row r="42" spans="1:29" ht="15.75" thickBot="1">
      <c r="A42" s="472"/>
      <c r="B42" s="422" t="s">
        <v>2740</v>
      </c>
      <c r="C42" s="2615" t="s">
        <v>3261</v>
      </c>
      <c r="D42" s="435">
        <v>100</v>
      </c>
      <c r="E42" s="2615" t="s">
        <v>3261</v>
      </c>
      <c r="F42" s="435">
        <f>SUMIF(125:125,E42,126:126)-SUMIF(125:125,C42,126:126)+100</f>
        <v>100</v>
      </c>
      <c r="G42" s="2615" t="s">
        <v>3261</v>
      </c>
      <c r="H42" s="435">
        <f>SUMIF(125:125,G42,126:126)-SUMIF(125:125,C42,126:126)+100</f>
        <v>100</v>
      </c>
      <c r="I42" s="2615" t="s">
        <v>3261</v>
      </c>
      <c r="J42" s="435">
        <f>SUMIF(125:125,I42,126:126)-SUMIF(125:125,C42,126:126)+100</f>
        <v>100</v>
      </c>
      <c r="K42" s="612">
        <v>2</v>
      </c>
      <c r="L42" s="1143"/>
      <c r="M42" s="1134"/>
      <c r="N42" s="1134"/>
      <c r="O42" s="1142"/>
      <c r="P42" s="3162" t="s">
        <v>2551</v>
      </c>
      <c r="Q42" s="1813" t="str">
        <f t="shared" si="14"/>
        <v>工程地质条件</v>
      </c>
      <c r="R42" s="774" t="s">
        <v>17</v>
      </c>
      <c r="S42" s="775">
        <f t="shared" si="10"/>
        <v>100</v>
      </c>
      <c r="T42" s="774" t="s">
        <v>17</v>
      </c>
      <c r="U42" s="775">
        <f t="shared" si="11"/>
        <v>100</v>
      </c>
      <c r="V42" s="774" t="s">
        <v>17</v>
      </c>
      <c r="W42" s="775">
        <f t="shared" si="12"/>
        <v>100</v>
      </c>
      <c r="X42" s="1816"/>
      <c r="Y42" s="3162" t="s">
        <v>2551</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2"/>
      <c r="Q43" s="1813">
        <f t="shared" si="14"/>
        <v>111</v>
      </c>
      <c r="R43" s="774" t="s">
        <v>17</v>
      </c>
      <c r="S43" s="775">
        <f t="shared" si="10"/>
        <v>100</v>
      </c>
      <c r="T43" s="774" t="s">
        <v>17</v>
      </c>
      <c r="U43" s="775">
        <f t="shared" si="11"/>
        <v>100</v>
      </c>
      <c r="V43" s="774" t="s">
        <v>17</v>
      </c>
      <c r="W43" s="775">
        <f t="shared" si="12"/>
        <v>100</v>
      </c>
      <c r="X43" s="1816"/>
      <c r="Y43" s="3162"/>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2"/>
      <c r="Q44" s="1813">
        <f t="shared" si="14"/>
        <v>111</v>
      </c>
      <c r="R44" s="774" t="s">
        <v>17</v>
      </c>
      <c r="S44" s="775">
        <f t="shared" si="10"/>
        <v>100</v>
      </c>
      <c r="T44" s="774" t="s">
        <v>17</v>
      </c>
      <c r="U44" s="775">
        <f t="shared" si="11"/>
        <v>100</v>
      </c>
      <c r="V44" s="774" t="s">
        <v>17</v>
      </c>
      <c r="W44" s="775">
        <f t="shared" si="12"/>
        <v>100</v>
      </c>
      <c r="X44" s="1816"/>
      <c r="Y44" s="3162"/>
      <c r="Z44" s="1817">
        <f t="shared" si="13"/>
        <v>111</v>
      </c>
      <c r="AA44" s="1814">
        <f t="shared" si="3"/>
        <v>1</v>
      </c>
      <c r="AB44" s="1814">
        <f t="shared" si="4"/>
        <v>1</v>
      </c>
      <c r="AC44" s="1814">
        <f t="shared" si="5"/>
        <v>1</v>
      </c>
    </row>
    <row r="45" spans="1:29" s="471" customFormat="1" ht="15.75" hidden="1"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2"/>
      <c r="Q45" s="1813">
        <f t="shared" si="14"/>
        <v>111</v>
      </c>
      <c r="R45" s="777" t="s">
        <v>17</v>
      </c>
      <c r="S45" s="778">
        <f t="shared" si="10"/>
        <v>100</v>
      </c>
      <c r="T45" s="777" t="s">
        <v>17</v>
      </c>
      <c r="U45" s="778">
        <f t="shared" si="11"/>
        <v>100</v>
      </c>
      <c r="V45" s="777" t="s">
        <v>17</v>
      </c>
      <c r="W45" s="778">
        <f t="shared" si="12"/>
        <v>100</v>
      </c>
      <c r="X45" s="779"/>
      <c r="Y45" s="3162"/>
      <c r="Z45" s="780">
        <f t="shared" si="13"/>
        <v>111</v>
      </c>
      <c r="AA45" s="1814">
        <f t="shared" si="3"/>
        <v>1</v>
      </c>
      <c r="AB45" s="1814">
        <f t="shared" si="4"/>
        <v>1</v>
      </c>
      <c r="AC45" s="1814">
        <f t="shared" si="5"/>
        <v>1</v>
      </c>
    </row>
    <row r="46" spans="1:29" ht="15">
      <c r="A46" s="479" t="s">
        <v>2706</v>
      </c>
      <c r="B46" s="2704" t="s">
        <v>2741</v>
      </c>
      <c r="C46" s="682" t="s">
        <v>1</v>
      </c>
      <c r="D46" s="481"/>
      <c r="E46" s="482">
        <f>ROUND(土地案例!AK1,0)</f>
        <v>38025</v>
      </c>
      <c r="F46" s="483"/>
      <c r="G46" s="484">
        <f>ROUND(土地案例!AK2,0)</f>
        <v>35021</v>
      </c>
      <c r="H46" s="485"/>
      <c r="I46" s="482">
        <f>ROUND(土地案例!AK3,0)</f>
        <v>34740</v>
      </c>
      <c r="J46" s="485"/>
      <c r="K46" s="783"/>
      <c r="L46" s="1146"/>
      <c r="M46" s="1147"/>
      <c r="N46" s="1134"/>
      <c r="O46" s="1147"/>
      <c r="P46" s="3157" t="str">
        <f>A46</f>
        <v>成交单价</v>
      </c>
      <c r="Q46" s="3157"/>
      <c r="R46" s="3163">
        <f>E46</f>
        <v>38025</v>
      </c>
      <c r="S46" s="3163"/>
      <c r="T46" s="3163">
        <f>G46</f>
        <v>35021</v>
      </c>
      <c r="U46" s="3163"/>
      <c r="V46" s="3163">
        <f>I46</f>
        <v>34740</v>
      </c>
      <c r="W46" s="3163"/>
      <c r="X46" s="759"/>
      <c r="Y46" s="781"/>
      <c r="Z46" s="759"/>
      <c r="AA46" s="759"/>
      <c r="AB46" s="759"/>
      <c r="AC46" s="759"/>
    </row>
    <row r="47" spans="1:29" ht="15.75" thickBot="1">
      <c r="A47" s="486" t="s">
        <v>2655</v>
      </c>
      <c r="B47" s="683"/>
      <c r="C47" s="490">
        <f>R48</f>
        <v>36497</v>
      </c>
      <c r="D47" s="489"/>
      <c r="E47" s="490">
        <f>R47</f>
        <v>38813</v>
      </c>
      <c r="F47" s="491"/>
      <c r="G47" s="488">
        <f>T47</f>
        <v>36104</v>
      </c>
      <c r="H47" s="489"/>
      <c r="I47" s="490">
        <f>V47</f>
        <v>34574</v>
      </c>
      <c r="J47" s="489"/>
      <c r="K47" s="784"/>
      <c r="L47" s="1146"/>
      <c r="M47" s="1147"/>
      <c r="N47" s="1147"/>
      <c r="O47" s="1147"/>
      <c r="P47" s="3157" t="str">
        <f>A47</f>
        <v>比较价值（元/平方米）</v>
      </c>
      <c r="Q47" s="3157"/>
      <c r="R47" s="3150">
        <f>ROUND(PRODUCT(R46,AA7:AA45),0)</f>
        <v>38813</v>
      </c>
      <c r="S47" s="3150"/>
      <c r="T47" s="3150">
        <f>ROUND(PRODUCT(T46,AB7:AB45),0)</f>
        <v>36104</v>
      </c>
      <c r="U47" s="3150"/>
      <c r="V47" s="3150">
        <f>ROUND(PRODUCT(V46,AC7:AC45),0)</f>
        <v>34574</v>
      </c>
      <c r="W47" s="3150"/>
      <c r="X47" s="759"/>
      <c r="Y47" s="759"/>
      <c r="Z47" s="759"/>
      <c r="AA47" s="759"/>
      <c r="AB47" s="759"/>
      <c r="AC47" s="759"/>
    </row>
    <row r="48" spans="1:29" ht="15.75" thickBot="1">
      <c r="A48" s="492" t="s">
        <v>2742</v>
      </c>
      <c r="B48" s="493"/>
      <c r="C48" s="494">
        <f>R48</f>
        <v>36497</v>
      </c>
      <c r="D48" s="494"/>
      <c r="E48" s="494"/>
      <c r="F48" s="494"/>
      <c r="G48" s="494"/>
      <c r="H48" s="494"/>
      <c r="I48" s="494"/>
      <c r="J48" s="494"/>
      <c r="K48" s="785"/>
      <c r="L48" s="1146"/>
      <c r="M48" s="1147"/>
      <c r="N48" s="1147"/>
      <c r="O48" s="1147"/>
      <c r="P48" s="3151" t="str">
        <f>A48</f>
        <v>估价对象XX用房的比较价值（楼面单价，元/平方米）</v>
      </c>
      <c r="Q48" s="3152"/>
      <c r="R48" s="3153">
        <f>ROUND(AVERAGE(R47:V47),0)</f>
        <v>36497</v>
      </c>
      <c r="S48" s="3153"/>
      <c r="T48" s="3153"/>
      <c r="U48" s="3153"/>
      <c r="V48" s="3153"/>
      <c r="W48" s="31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2657</v>
      </c>
      <c r="D51" s="498"/>
      <c r="E51" s="499">
        <f>IF(E46&lt;E47,E47/E46-1,E46/E47-1)</f>
        <v>2.0723208415516003E-2</v>
      </c>
      <c r="F51" s="500" t="str">
        <f>IF(OR(E51&gt;=0.3,E51&lt;=-0.3),"超过30%","")</f>
        <v/>
      </c>
      <c r="G51" s="499">
        <f>IF(G46&lt;G47,G47/G46-1,G46/G47-1)</f>
        <v>3.0924302561320394E-2</v>
      </c>
      <c r="H51" s="500" t="str">
        <f>IF(OR(G51&gt;=0.3,G51&lt;=-0.3),"超过30%","")</f>
        <v/>
      </c>
      <c r="I51" s="499">
        <f>IF(I46&lt;I47,I47/I46-1,I46/I47-1)</f>
        <v>4.8012957713889914E-3</v>
      </c>
      <c r="J51" s="500" t="str">
        <f>IF(OR(I51&gt;=0.3,I51&lt;=-0.3),"超过30%","")</f>
        <v/>
      </c>
      <c r="K51" s="1108"/>
      <c r="L51" s="1109"/>
      <c r="M51" s="1147"/>
      <c r="N51" s="1147"/>
      <c r="O51" s="1147"/>
    </row>
    <row r="52" spans="1:15" ht="13.5" customHeight="1">
      <c r="A52" s="1147"/>
      <c r="B52" s="1147"/>
      <c r="C52" s="497" t="s">
        <v>2658</v>
      </c>
      <c r="D52" s="501"/>
      <c r="E52" s="499">
        <f>IF(E47&lt;G47,G47/E47-1,E47/G47-1)</f>
        <v>7.5033237314424905E-2</v>
      </c>
      <c r="F52" s="500" t="str">
        <f>IF(OR(E52&gt;=0.2,E52&lt;=-0.2),"超过20%","")</f>
        <v/>
      </c>
      <c r="G52" s="499">
        <f>IF(G47&lt;I47,I47/G47-1,G47/I47-1)</f>
        <v>4.4252906808584402E-2</v>
      </c>
      <c r="H52" s="500" t="str">
        <f>IF(OR(G52&gt;=0.2,G52&lt;=-0.2),"超过20%","")</f>
        <v/>
      </c>
      <c r="I52" s="499">
        <f>IF(I47&lt;E47,E47/I47-1,I47/E47-1)</f>
        <v>0.12260658298143112</v>
      </c>
      <c r="J52" s="500" t="str">
        <f>IF(OR(I52&gt;=0.2,I52&lt;=-0.2),"超过20%","")</f>
        <v/>
      </c>
      <c r="K52" s="1108"/>
      <c r="L52" s="1109"/>
      <c r="M52" s="1147"/>
      <c r="N52" s="1147"/>
      <c r="O52" s="1147"/>
    </row>
    <row r="53" spans="1:15" s="502" customFormat="1" ht="13.5" customHeight="1">
      <c r="A53" s="1148"/>
      <c r="B53" s="1148"/>
      <c r="C53" s="497" t="s">
        <v>2659</v>
      </c>
      <c r="D53" s="501"/>
      <c r="E53" s="499">
        <f>IF(E46&lt;G46,G46/E46-1,E46/G46-1)</f>
        <v>8.5777105165472101E-2</v>
      </c>
      <c r="F53" s="500" t="str">
        <f>IF(OR(E53&gt;=0.3,E53&lt;=-0.3),"超过30%","")</f>
        <v/>
      </c>
      <c r="G53" s="499">
        <f>IF(G46&lt;I46,I46/G46-1,G46/I46-1)</f>
        <v>8.0886586067934196E-3</v>
      </c>
      <c r="H53" s="500" t="str">
        <f>IF(OR(G53&gt;=0.3,G53&lt;=-0.3),"超过30%","")</f>
        <v/>
      </c>
      <c r="I53" s="499">
        <f>IF(I46&lt;E46,E46/I46-1,I46/E46-1)</f>
        <v>9.4559585492227871E-2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2743</v>
      </c>
      <c r="B55" s="685" t="s">
        <v>2744</v>
      </c>
      <c r="C55" s="2705" t="s">
        <v>2745</v>
      </c>
      <c r="D55" s="2706" t="s">
        <v>2746</v>
      </c>
      <c r="E55" s="686" t="s">
        <v>2747</v>
      </c>
      <c r="F55" s="1110" t="s">
        <v>2748</v>
      </c>
      <c r="G55" s="3154" t="s">
        <v>2749</v>
      </c>
      <c r="H55" s="3155"/>
      <c r="I55" s="144" t="s">
        <v>2750</v>
      </c>
      <c r="J55" s="2707">
        <f>项目基本情况!F35</f>
        <v>0</v>
      </c>
      <c r="K55" s="2708" t="s">
        <v>2751</v>
      </c>
      <c r="L55" s="1109"/>
      <c r="M55" s="1147"/>
      <c r="N55" s="1147"/>
      <c r="O55" s="1147"/>
    </row>
    <row r="56" spans="1:15" s="692" customFormat="1">
      <c r="A56" s="688" t="s">
        <v>2752</v>
      </c>
      <c r="B56" s="689">
        <f>C48</f>
        <v>36497</v>
      </c>
      <c r="C56" s="690">
        <v>1</v>
      </c>
      <c r="D56" s="1166">
        <v>1</v>
      </c>
      <c r="E56" s="690">
        <f>'数据-汇总表'!E8+'数据-汇总表'!E9</f>
        <v>52468</v>
      </c>
      <c r="F56" s="1106">
        <f t="shared" ref="F56:F65" si="15">ROUND(B56*E56/10000,0)</f>
        <v>191492</v>
      </c>
      <c r="G56" s="3156"/>
      <c r="H56" s="3157"/>
      <c r="I56" s="1111">
        <v>1</v>
      </c>
      <c r="J56" s="1114">
        <v>1</v>
      </c>
      <c r="K56" s="1148"/>
      <c r="L56" s="944"/>
      <c r="M56" s="944"/>
      <c r="N56" s="944"/>
      <c r="O56" s="944"/>
    </row>
    <row r="57" spans="1:15" s="692" customFormat="1">
      <c r="A57" s="693" t="s">
        <v>2753</v>
      </c>
      <c r="B57" s="262">
        <f>ROUND($C$48*C57*D57,0)</f>
        <v>0</v>
      </c>
      <c r="C57" s="200">
        <f t="shared" ref="C57:C65" si="16">IF($C$55="北京市系数",I57,J57)</f>
        <v>0</v>
      </c>
      <c r="D57" s="1167">
        <v>0.25</v>
      </c>
      <c r="E57" s="694"/>
      <c r="F57" s="1106">
        <f t="shared" si="15"/>
        <v>0</v>
      </c>
      <c r="G57" s="3158" t="s">
        <v>2754</v>
      </c>
      <c r="H57" s="1107">
        <f>项目基本情况!B37</f>
        <v>0</v>
      </c>
      <c r="I57" s="1111">
        <f>SUMIF(修正!A45:A56,H57,修正!B45:B56)</f>
        <v>0</v>
      </c>
      <c r="J57" s="1115"/>
      <c r="K57" s="1147"/>
      <c r="L57" s="944"/>
      <c r="M57" s="944"/>
      <c r="N57" s="944"/>
      <c r="O57" s="944"/>
    </row>
    <row r="58" spans="1:15" s="692" customFormat="1">
      <c r="A58" s="693" t="s">
        <v>2755</v>
      </c>
      <c r="B58" s="262">
        <f t="shared" ref="B58:B65" si="17">ROUND($C$48*C58*D58,0)</f>
        <v>0</v>
      </c>
      <c r="C58" s="200">
        <f t="shared" si="16"/>
        <v>0</v>
      </c>
      <c r="D58" s="1167">
        <v>0.25</v>
      </c>
      <c r="E58" s="694"/>
      <c r="F58" s="1106">
        <f t="shared" si="15"/>
        <v>0</v>
      </c>
      <c r="G58" s="3158"/>
      <c r="H58" s="1107">
        <f>项目基本情况!B37</f>
        <v>0</v>
      </c>
      <c r="I58" s="1111">
        <f>SUMIF(修正!A45:A56,H58,修正!C45:C56)</f>
        <v>0</v>
      </c>
      <c r="J58" s="1115"/>
      <c r="K58" s="1148"/>
      <c r="L58" s="944"/>
      <c r="M58" s="944"/>
      <c r="N58" s="944"/>
      <c r="O58" s="944"/>
    </row>
    <row r="59" spans="1:15" s="692" customFormat="1">
      <c r="A59" s="693" t="s">
        <v>2756</v>
      </c>
      <c r="B59" s="262">
        <f t="shared" si="17"/>
        <v>0</v>
      </c>
      <c r="C59" s="200">
        <f t="shared" si="16"/>
        <v>0</v>
      </c>
      <c r="D59" s="1167">
        <v>0.25</v>
      </c>
      <c r="E59" s="694"/>
      <c r="F59" s="1106">
        <f t="shared" si="15"/>
        <v>0</v>
      </c>
      <c r="G59" s="3158"/>
      <c r="H59" s="1107">
        <f>项目基本情况!B37</f>
        <v>0</v>
      </c>
      <c r="I59" s="1111">
        <f>SUMIF(修正!A45:A56,H59,修正!D45:D56)</f>
        <v>0</v>
      </c>
      <c r="J59" s="1115"/>
      <c r="K59" s="1147"/>
      <c r="L59" s="944"/>
      <c r="M59" s="944"/>
      <c r="N59" s="944"/>
      <c r="O59" s="944"/>
    </row>
    <row r="60" spans="1:15" s="692" customFormat="1">
      <c r="A60" s="693" t="s">
        <v>2757</v>
      </c>
      <c r="B60" s="262">
        <f t="shared" si="17"/>
        <v>0</v>
      </c>
      <c r="C60" s="200">
        <f t="shared" si="16"/>
        <v>0</v>
      </c>
      <c r="D60" s="1167">
        <v>0.25</v>
      </c>
      <c r="E60" s="694"/>
      <c r="F60" s="1106">
        <f t="shared" si="15"/>
        <v>0</v>
      </c>
      <c r="G60" s="3158"/>
      <c r="H60" s="1107">
        <f>项目基本情况!B37</f>
        <v>0</v>
      </c>
      <c r="I60" s="1111">
        <f>SUMIF(修正!A45:A56,H60,修正!E45:E56)</f>
        <v>0</v>
      </c>
      <c r="J60" s="1115"/>
      <c r="K60" s="1148"/>
      <c r="L60" s="944"/>
      <c r="M60" s="944"/>
      <c r="N60" s="944"/>
      <c r="O60" s="944"/>
    </row>
    <row r="61" spans="1:15" s="692" customFormat="1">
      <c r="A61" s="693" t="s">
        <v>2758</v>
      </c>
      <c r="B61" s="262">
        <f t="shared" si="17"/>
        <v>0</v>
      </c>
      <c r="C61" s="200">
        <f t="shared" si="16"/>
        <v>0</v>
      </c>
      <c r="D61" s="1167">
        <v>0.25</v>
      </c>
      <c r="E61" s="261">
        <f>'数据-汇总表'!E11</f>
        <v>0</v>
      </c>
      <c r="F61" s="1106">
        <f t="shared" si="15"/>
        <v>0</v>
      </c>
      <c r="G61" s="2709" t="s">
        <v>2759</v>
      </c>
      <c r="H61" s="1107">
        <f>项目基本情况!C37</f>
        <v>0</v>
      </c>
      <c r="I61" s="1111">
        <f>SUMIF(修正!A45:A56,H61,修正!F45:F56)</f>
        <v>0</v>
      </c>
      <c r="J61" s="1115"/>
      <c r="K61" s="1147"/>
      <c r="L61" s="944"/>
      <c r="M61" s="944"/>
      <c r="N61" s="944"/>
      <c r="O61" s="944"/>
    </row>
    <row r="62" spans="1:15" s="692" customFormat="1">
      <c r="A62" s="693" t="s">
        <v>2760</v>
      </c>
      <c r="B62" s="262">
        <f t="shared" si="17"/>
        <v>0</v>
      </c>
      <c r="C62" s="200">
        <f t="shared" si="16"/>
        <v>0</v>
      </c>
      <c r="D62" s="1167">
        <v>0.25</v>
      </c>
      <c r="E62" s="261">
        <f>'数据-汇总表'!E12</f>
        <v>0</v>
      </c>
      <c r="F62" s="1106">
        <f t="shared" si="15"/>
        <v>0</v>
      </c>
      <c r="G62" s="1112" t="s">
        <v>2761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2762</v>
      </c>
      <c r="B63" s="262">
        <f t="shared" si="17"/>
        <v>1825</v>
      </c>
      <c r="C63" s="200">
        <f t="shared" si="16"/>
        <v>0.2</v>
      </c>
      <c r="D63" s="1167">
        <v>0.25</v>
      </c>
      <c r="E63" s="261">
        <f>'数据-汇总表'!E13</f>
        <v>17440</v>
      </c>
      <c r="F63" s="1106">
        <f t="shared" si="15"/>
        <v>3183</v>
      </c>
      <c r="G63" s="1112" t="s">
        <v>2763</v>
      </c>
      <c r="H63" s="1107" t="str">
        <f>IF(G63="商业",项目基本情况!B37,IF(G63="办公",项目基本情况!C37,IF(G63="住宅",项目基本情况!D37,项目基本情况!E37)))</f>
        <v>七级</v>
      </c>
      <c r="I63" s="1111">
        <f>SUMIF(修正!A45:A56,H63,修正!H45:H56)</f>
        <v>0.2</v>
      </c>
      <c r="J63" s="1115"/>
      <c r="K63" s="1147"/>
      <c r="L63" s="944"/>
      <c r="M63" s="944"/>
      <c r="N63" s="944"/>
      <c r="O63" s="944"/>
    </row>
    <row r="64" spans="1:15" s="692" customFormat="1">
      <c r="A64" s="693" t="s">
        <v>2764</v>
      </c>
      <c r="B64" s="262">
        <f t="shared" si="17"/>
        <v>0</v>
      </c>
      <c r="C64" s="200">
        <f t="shared" si="16"/>
        <v>0</v>
      </c>
      <c r="D64" s="1167">
        <v>0.25</v>
      </c>
      <c r="E64" s="261">
        <f>'数据-汇总表'!E14</f>
        <v>0</v>
      </c>
      <c r="F64" s="1106">
        <f t="shared" si="15"/>
        <v>0</v>
      </c>
      <c r="G64" s="2709" t="s">
        <v>2754</v>
      </c>
      <c r="H64" s="1107">
        <f>项目基本情况!B37</f>
        <v>0</v>
      </c>
      <c r="I64" s="1111">
        <f>SUMIF(修正!A45:A56,H64,修正!H45:H56)</f>
        <v>0</v>
      </c>
      <c r="J64" s="1115"/>
      <c r="K64" s="1148"/>
      <c r="L64" s="944"/>
      <c r="M64" s="944"/>
      <c r="N64" s="944"/>
      <c r="O64" s="944"/>
    </row>
    <row r="65" spans="1:17" s="692" customFormat="1" ht="15" thickBot="1">
      <c r="A65" s="693" t="s">
        <v>2765</v>
      </c>
      <c r="B65" s="262">
        <f t="shared" si="17"/>
        <v>0</v>
      </c>
      <c r="C65" s="200">
        <f t="shared" si="16"/>
        <v>0</v>
      </c>
      <c r="D65" s="1167">
        <v>0.25</v>
      </c>
      <c r="E65" s="261">
        <f>'数据-汇总表'!E15</f>
        <v>0</v>
      </c>
      <c r="F65" s="1106">
        <f t="shared" si="15"/>
        <v>0</v>
      </c>
      <c r="G65" s="2710" t="s">
        <v>2759</v>
      </c>
      <c r="H65" s="1117">
        <f>项目基本情况!C37</f>
        <v>0</v>
      </c>
      <c r="I65" s="1113">
        <f>SUMIF(修正!A45:A56,H65,修正!H45:H56)</f>
        <v>0</v>
      </c>
      <c r="J65" s="1116"/>
      <c r="K65" s="1147"/>
      <c r="L65" s="944"/>
      <c r="M65" s="944"/>
      <c r="N65" s="944"/>
      <c r="O65" s="944"/>
    </row>
    <row r="66" spans="1:17" s="692" customFormat="1" ht="13.5" thickBot="1">
      <c r="A66" s="695" t="s">
        <v>2766</v>
      </c>
      <c r="B66" s="696" t="s">
        <v>28</v>
      </c>
      <c r="C66" s="696" t="s">
        <v>29</v>
      </c>
      <c r="D66" s="696" t="s">
        <v>1029</v>
      </c>
      <c r="E66" s="696">
        <f>IF(B46="楼面地价",SUM(E56:E65),'数据-汇总表'!D3)</f>
        <v>69908</v>
      </c>
      <c r="F66" s="697">
        <f>IF(B46="楼面地价",SUM(F56:F65),ROUND(C48*E66/10000,0))</f>
        <v>194675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2660</v>
      </c>
      <c r="B69" s="759"/>
      <c r="C69" s="764"/>
      <c r="D69" s="764"/>
      <c r="E69" s="764"/>
      <c r="F69" s="765"/>
      <c r="G69" s="765"/>
      <c r="H69" s="764"/>
      <c r="I69" s="764"/>
      <c r="J69" s="1162"/>
      <c r="K69" s="1163"/>
      <c r="L69" s="1164"/>
      <c r="M69" s="1162"/>
      <c r="N69" s="1162"/>
      <c r="O69" s="1162"/>
      <c r="P69" s="503"/>
      <c r="Q69" s="504"/>
    </row>
    <row r="70" spans="1:17" s="508" customFormat="1" ht="15">
      <c r="A70" s="2711" t="s">
        <v>2767</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2" t="s">
        <v>2768</v>
      </c>
      <c r="B71" s="332" t="str">
        <f>"北京市平均增长率"&amp;TEXT(SUMIF(基准地价修正!N21:N25,A71,基准地价修正!P21:P25),"0.00%")</f>
        <v>北京市平均增长率0.00%</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c r="O71" s="1571"/>
      <c r="P71" s="504"/>
    </row>
    <row r="72" spans="1:17" s="117" customFormat="1" ht="15.75" thickBot="1">
      <c r="A72" s="515" t="s">
        <v>2571</v>
      </c>
      <c r="B72" s="516"/>
      <c r="C72" s="517"/>
      <c r="D72" s="518"/>
      <c r="E72" s="518"/>
      <c r="F72" s="518"/>
      <c r="G72" s="518"/>
      <c r="H72" s="518"/>
      <c r="I72" s="518"/>
      <c r="J72" s="518"/>
      <c r="K72" s="518"/>
      <c r="L72" s="518"/>
      <c r="M72" s="519"/>
      <c r="N72" s="518"/>
      <c r="O72" s="1165"/>
      <c r="P72" s="504"/>
      <c r="Q72" s="504"/>
    </row>
    <row r="73" spans="1:17" s="117" customFormat="1" ht="15">
      <c r="A73" s="521" t="s">
        <v>2536</v>
      </c>
      <c r="B73" s="510"/>
      <c r="C73" s="522" t="s">
        <v>2638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2574</v>
      </c>
      <c r="B75" s="528" t="s">
        <v>2540</v>
      </c>
      <c r="C75" s="2958" t="s">
        <v>3269</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2769</v>
      </c>
      <c r="C90" s="578" t="s">
        <v>2583</v>
      </c>
      <c r="D90" s="578" t="s">
        <v>2584</v>
      </c>
      <c r="E90" s="578" t="s">
        <v>2585</v>
      </c>
      <c r="F90" s="578" t="s">
        <v>2586</v>
      </c>
      <c r="G90" s="578" t="s">
        <v>2587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2770</v>
      </c>
      <c r="C96" s="578" t="s">
        <v>2583</v>
      </c>
      <c r="D96" s="578" t="s">
        <v>2584</v>
      </c>
      <c r="E96" s="578" t="s">
        <v>2585</v>
      </c>
      <c r="F96" s="578" t="s">
        <v>2586</v>
      </c>
      <c r="G96" s="578" t="s">
        <v>2587</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2771</v>
      </c>
      <c r="C98" s="573" t="s">
        <v>2583</v>
      </c>
      <c r="D98" s="573" t="s">
        <v>2584</v>
      </c>
      <c r="E98" s="573" t="s">
        <v>2585</v>
      </c>
      <c r="F98" s="573" t="s">
        <v>2586</v>
      </c>
      <c r="G98" s="573" t="s">
        <v>2587</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2677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75" thickTop="1">
      <c r="A108" s="534"/>
      <c r="B108" s="538" t="s">
        <v>2735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2549</v>
      </c>
      <c r="B116" s="528" t="s">
        <v>2776</v>
      </c>
      <c r="C116" s="529" t="str">
        <f>C117&amp;"(含)"&amp;"-"&amp;D117</f>
        <v>0(含)-50000</v>
      </c>
      <c r="D116" s="529" t="str">
        <f t="shared" ref="D116:M116" si="26">D117&amp;"(含)"&amp;"-"&amp;E117</f>
        <v>50000(含)-100000</v>
      </c>
      <c r="E116" s="529" t="str">
        <f t="shared" si="26"/>
        <v>100000(含)-150000</v>
      </c>
      <c r="F116" s="529" t="str">
        <f t="shared" si="26"/>
        <v>150000(含)-200000</v>
      </c>
      <c r="G116" s="529" t="str">
        <f t="shared" si="26"/>
        <v>200000(含)-300000</v>
      </c>
      <c r="H116" s="529" t="str">
        <f t="shared" si="26"/>
        <v>300000(含)-500000</v>
      </c>
      <c r="I116" s="529" t="str">
        <f t="shared" si="26"/>
        <v>500000(含)-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v>200000</v>
      </c>
      <c r="H117" s="595">
        <v>300000</v>
      </c>
      <c r="I117" s="595">
        <v>500000</v>
      </c>
      <c r="J117" s="596"/>
      <c r="K117" s="596"/>
      <c r="L117" s="597"/>
      <c r="M117" s="598"/>
      <c r="N117" s="1155"/>
      <c r="O117" s="1155"/>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56"/>
      <c r="O118" s="1156"/>
      <c r="P118" s="45"/>
      <c r="Q118" s="504"/>
    </row>
    <row r="119" spans="1:17" ht="15" thickTop="1">
      <c r="A119" s="599"/>
      <c r="B119" s="538" t="s">
        <v>2777</v>
      </c>
      <c r="C119" s="2959" t="s">
        <v>3271</v>
      </c>
      <c r="D119" s="2959" t="s">
        <v>3273</v>
      </c>
      <c r="E119" s="2959" t="s">
        <v>3274</v>
      </c>
      <c r="F119" s="2959" t="s">
        <v>3275</v>
      </c>
      <c r="G119" s="583"/>
      <c r="H119" s="583"/>
      <c r="I119" s="583"/>
      <c r="J119" s="583"/>
      <c r="K119" s="584"/>
      <c r="L119" s="585"/>
      <c r="M119" s="586"/>
      <c r="N119" s="1155"/>
      <c r="O119" s="1155"/>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6"/>
      <c r="O120" s="1156"/>
      <c r="P120" s="45"/>
      <c r="Q120" s="504"/>
    </row>
    <row r="121" spans="1:17" ht="15" thickTop="1">
      <c r="A121" s="599"/>
      <c r="B121" s="538" t="s">
        <v>2778</v>
      </c>
      <c r="C121" s="2960" t="s">
        <v>3276</v>
      </c>
      <c r="D121" s="2960" t="s">
        <v>3278</v>
      </c>
      <c r="E121" s="2960" t="s">
        <v>3279</v>
      </c>
      <c r="F121" s="2959" t="s">
        <v>3280</v>
      </c>
      <c r="G121" s="583"/>
      <c r="H121" s="583"/>
      <c r="I121" s="583"/>
      <c r="J121" s="583"/>
      <c r="K121" s="584"/>
      <c r="L121" s="585"/>
      <c r="M121" s="586"/>
      <c r="N121" s="1155"/>
      <c r="O121" s="1155"/>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6"/>
      <c r="O122" s="1156"/>
      <c r="P122" s="45"/>
      <c r="Q122" s="504"/>
    </row>
    <row r="123" spans="1:17" s="471" customFormat="1" ht="15" thickTop="1">
      <c r="A123" s="593"/>
      <c r="B123" s="538" t="s">
        <v>2779</v>
      </c>
      <c r="C123" s="554" t="s">
        <v>3266</v>
      </c>
      <c r="D123" s="554" t="s">
        <v>3281</v>
      </c>
      <c r="E123" s="554" t="s">
        <v>3282</v>
      </c>
      <c r="F123" s="554" t="s">
        <v>3283</v>
      </c>
      <c r="G123" s="554" t="s">
        <v>3284</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7"/>
      <c r="O124" s="1157"/>
      <c r="P124" s="558"/>
      <c r="Q124" s="559"/>
    </row>
    <row r="125" spans="1:17" ht="15" thickTop="1">
      <c r="A125" s="599"/>
      <c r="B125" s="538" t="s">
        <v>2780</v>
      </c>
      <c r="C125" s="554" t="s">
        <v>3285</v>
      </c>
      <c r="D125" s="554" t="s">
        <v>3261</v>
      </c>
      <c r="E125" s="583" t="s">
        <v>3263</v>
      </c>
      <c r="F125" s="583" t="s">
        <v>3286</v>
      </c>
      <c r="G125" s="583" t="s">
        <v>3287</v>
      </c>
      <c r="H125" s="583"/>
      <c r="I125" s="583"/>
      <c r="J125" s="583"/>
      <c r="K125" s="584"/>
      <c r="L125" s="585"/>
      <c r="M125" s="586"/>
      <c r="N125" s="1155"/>
      <c r="O125" s="1155"/>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北京市昌平区北七家镇（中心起步区（海鶄落新村建设）项目一期）HQL-13地块、18地块二宗住宅用地出让国有建设用地使用权出让国有建设用地使用权房地产抵押价值预评估</v>
      </c>
      <c r="C37" s="2964"/>
      <c r="D37" s="2964"/>
      <c r="E37" s="2964"/>
      <c r="F37" s="2964"/>
      <c r="G37" s="2964"/>
      <c r="H37" s="2964"/>
      <c r="I37" s="2964"/>
    </row>
    <row r="38" spans="1:9">
      <c r="A38" s="1019"/>
      <c r="B38" s="1019"/>
    </row>
    <row r="39" spans="1:9">
      <c r="A39" s="1017" t="s">
        <v>818</v>
      </c>
      <c r="B39" s="1017" t="s">
        <v>820</v>
      </c>
    </row>
    <row r="40" spans="1:9">
      <c r="A40" s="1017"/>
      <c r="B40" s="1945" t="str">
        <f>项目基本情况!B5</f>
        <v>北京昌业房地产开发有限公司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c r="C1" s="242"/>
      <c r="D1" s="242"/>
      <c r="E1" s="242"/>
      <c r="F1" s="242"/>
      <c r="G1" s="1382">
        <f>MATCH(B1,'数据-取费表'!A6:A16,0)+5</f>
        <v>8</v>
      </c>
    </row>
    <row r="2" spans="1:9" s="244" customFormat="1" ht="18" customHeight="1">
      <c r="A2" s="245" t="s">
        <v>2316</v>
      </c>
      <c r="B2" s="246">
        <f ca="1">IF(D2="——",C52,C52-E2)</f>
        <v>1887</v>
      </c>
      <c r="C2" s="243" t="s">
        <v>2317</v>
      </c>
      <c r="D2" s="2550" t="s">
        <v>70</v>
      </c>
      <c r="E2" s="1443" t="e">
        <f ca="1">SUMIF(INDIRECT("'"&amp;G2&amp;"'"&amp;"!A:A"),"承租人权益价值",INDIRECT("'"&amp;G2&amp;"'"&amp;"!c:c"))</f>
        <v>#REF!</v>
      </c>
      <c r="F2" s="2551" t="s">
        <v>2317</v>
      </c>
      <c r="G2" s="2552"/>
    </row>
    <row r="3" spans="1:9" s="244" customFormat="1" ht="18" customHeight="1" thickBot="1">
      <c r="A3" s="247" t="s">
        <v>2318</v>
      </c>
      <c r="B3" s="248">
        <f ca="1">ROUND(B2*10000/(IF(B1="",'数据-汇总表'!E3,INDIRECT("'数据-取费表'!k"&amp;$G$1))),0)</f>
        <v>198</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0</v>
      </c>
      <c r="D5" s="255" t="s">
        <v>2323</v>
      </c>
      <c r="E5" s="256" t="s">
        <v>2324</v>
      </c>
      <c r="F5" s="256" t="s">
        <v>2325</v>
      </c>
      <c r="G5" s="257"/>
    </row>
    <row r="6" spans="1:9" s="258" customFormat="1" ht="13.5" customHeight="1">
      <c r="A6" s="952" t="s">
        <v>2326</v>
      </c>
      <c r="B6" s="259" t="s">
        <v>2327</v>
      </c>
      <c r="C6" s="260"/>
      <c r="D6" s="261"/>
      <c r="E6" s="262"/>
      <c r="F6" s="262"/>
      <c r="G6" s="263"/>
    </row>
    <row r="7" spans="1:9" s="258" customFormat="1" ht="13.5" customHeight="1">
      <c r="A7" s="952" t="s">
        <v>2328</v>
      </c>
      <c r="B7" s="259" t="s">
        <v>2329</v>
      </c>
      <c r="C7" s="264">
        <f>ROUND(C6*F7,0)</f>
        <v>0</v>
      </c>
      <c r="D7" s="264"/>
      <c r="E7" s="262"/>
      <c r="F7" s="265">
        <f>'数据-取费表'!B48+'数据-取费表'!B49</f>
        <v>3.0499999999999999E-2</v>
      </c>
      <c r="G7" s="263"/>
    </row>
    <row r="8" spans="1:9" s="267" customFormat="1">
      <c r="A8" s="952" t="s">
        <v>2330</v>
      </c>
      <c r="B8" s="259" t="s">
        <v>2331</v>
      </c>
      <c r="C8" s="264">
        <f>IF(G8="已包含在土地购买价格中","0",IF(B1="",'数据-取费表'!B29,IF(G9="全部缴纳",C9+C10,H9)))</f>
        <v>0</v>
      </c>
      <c r="D8" s="266"/>
      <c r="E8" s="264"/>
      <c r="F8" s="265"/>
      <c r="G8" s="2553"/>
    </row>
    <row r="9" spans="1:9" s="258" customFormat="1" ht="13.5" customHeight="1">
      <c r="A9" s="953" t="s">
        <v>800</v>
      </c>
      <c r="B9" s="268" t="s">
        <v>2332</v>
      </c>
      <c r="C9" s="269">
        <f ca="1">ROUND(D9*E9/10000,0)</f>
        <v>839</v>
      </c>
      <c r="D9" s="1035">
        <f ca="1">IF(B1="",'数据-汇总表'!E5,IF(INDIRECT("'数据-取费表'!c"&amp;$G$1)="住宅",INDIRECT("'数据-取费表'!k"&amp;$G$1),0))</f>
        <v>52468</v>
      </c>
      <c r="E9" s="269">
        <f>'数据-取费表'!B27</f>
        <v>160</v>
      </c>
      <c r="F9" s="265"/>
      <c r="G9" s="2554"/>
      <c r="H9" s="1393"/>
      <c r="I9" s="2555" t="s">
        <v>2333</v>
      </c>
    </row>
    <row r="10" spans="1:9" s="258" customFormat="1" ht="13.5" customHeight="1">
      <c r="A10" s="953" t="s">
        <v>801</v>
      </c>
      <c r="B10" s="268" t="s">
        <v>2334</v>
      </c>
      <c r="C10" s="269">
        <f ca="1">ROUND(D10*E10/10000,0)</f>
        <v>858</v>
      </c>
      <c r="D10" s="1035">
        <f ca="1">IF(B1="",'数据-汇总表'!E6,IF(INDIRECT("'数据-取费表'!c"&amp;$G$1)="住宅",INDIRECT("'数据-取费表'!s"&amp;$G$1),INDIRECT("'数据-取费表'!k"&amp;$G$1)+INDIRECT("'数据-取费表'!s"&amp;$G$1)))</f>
        <v>42878</v>
      </c>
      <c r="E10" s="269">
        <f>'数据-取费表'!B28</f>
        <v>200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f ca="1">IF(G19="已包含在土地取得成本中","0",ROUND(D19*E19/10000,0))</f>
        <v>1716</v>
      </c>
      <c r="D19" s="1039">
        <f ca="1">D9+D10</f>
        <v>95346</v>
      </c>
      <c r="E19" s="255">
        <f>'数据-取费表'!B31</f>
        <v>180</v>
      </c>
      <c r="F19" s="275"/>
      <c r="G19" s="2553"/>
    </row>
    <row r="20" spans="1:7" s="258" customFormat="1" ht="13.5" customHeight="1">
      <c r="A20" s="299" t="s">
        <v>2347</v>
      </c>
      <c r="B20" s="254" t="s">
        <v>2348</v>
      </c>
      <c r="C20" s="276">
        <f ca="1">ROUND((C5+C19)*F20,0)</f>
        <v>34</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7">
        <f ca="1">ROUND(SUM(C23:C25),0)</f>
        <v>0</v>
      </c>
      <c r="D22" s="279">
        <f ca="1">C26</f>
        <v>0</v>
      </c>
      <c r="E22" s="280" t="s">
        <v>2352</v>
      </c>
      <c r="F22" s="281">
        <f ca="1">'数据-取费表'!B40</f>
        <v>4.7500000000000001E-2</v>
      </c>
      <c r="G22" s="278" t="str">
        <f>IF('数据-取费表'!B22&lt;=1,"单利计息","复利计息")</f>
        <v>复利计息</v>
      </c>
    </row>
    <row r="23" spans="1:7" s="258" customFormat="1" ht="13.5" customHeight="1">
      <c r="A23" s="954" t="s">
        <v>2356</v>
      </c>
      <c r="B23" s="259" t="s">
        <v>2357</v>
      </c>
      <c r="C23" s="1358">
        <f ca="1">ROUND(IF('数据-取费表'!B22&lt;=1,C5*F22*'数据-取费表'!B23,C5*(POWER((1+F22),'数据-取费表'!B23)-1)),0)</f>
        <v>0</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0</v>
      </c>
      <c r="D24" s="282"/>
      <c r="E24" s="282"/>
      <c r="F24" s="283"/>
      <c r="G24" s="284" t="s">
        <v>2361</v>
      </c>
    </row>
    <row r="25" spans="1:7" s="258" customFormat="1" ht="24">
      <c r="A25" s="954" t="s">
        <v>2362</v>
      </c>
      <c r="B25" s="259" t="s">
        <v>2363</v>
      </c>
      <c r="C25" s="1358">
        <f ca="1">ROUND(IF('数据-取费表'!B22&lt;=1,C20*F22*'数据-取费表'!B23/2,C20*(POWER((1+F22),'数据-取费表'!B23/2)-1)),0)</f>
        <v>0</v>
      </c>
      <c r="D25" s="282"/>
      <c r="E25" s="285"/>
      <c r="F25" s="283"/>
      <c r="G25" s="286" t="s">
        <v>2364</v>
      </c>
    </row>
    <row r="26" spans="1:7" s="258" customFormat="1">
      <c r="A26" s="954" t="s">
        <v>795</v>
      </c>
      <c r="B26" s="259" t="s">
        <v>2365</v>
      </c>
      <c r="C26" s="282">
        <f ca="1">ROUND(IF('数据-取费表'!B22&lt;=1,F21*F22*'数据-取费表'!B23/2,F21*(POWER((1+F22),'数据-取费表'!B23/2)-1)),4)</f>
        <v>0</v>
      </c>
      <c r="D26" s="282"/>
      <c r="E26" s="285"/>
      <c r="F26" s="283"/>
      <c r="G26" s="287"/>
    </row>
    <row r="27" spans="1:7" s="258" customFormat="1" ht="24.75">
      <c r="A27" s="299" t="s">
        <v>2366</v>
      </c>
      <c r="B27" s="288" t="s">
        <v>2367</v>
      </c>
      <c r="C27" s="289">
        <f ca="1">C28</f>
        <v>0</v>
      </c>
      <c r="D27" s="279">
        <f ca="1">C29</f>
        <v>0</v>
      </c>
      <c r="E27" s="280" t="s">
        <v>2368</v>
      </c>
      <c r="F27" s="290">
        <f ca="1">IF(B1="",'数据-取费表'!Q16,INDIRECT("'数据-取费表'!q"&amp;$G$1))</f>
        <v>0.21</v>
      </c>
      <c r="G27" s="291" t="s">
        <v>2369</v>
      </c>
    </row>
    <row r="28" spans="1:7" s="258" customFormat="1" ht="13.5" customHeight="1">
      <c r="A28" s="954" t="s">
        <v>791</v>
      </c>
      <c r="B28" s="292" t="s">
        <v>2370</v>
      </c>
      <c r="C28" s="293">
        <f ca="1">ROUND((C5+C19+C20)*F27*'数据-取费表'!B21/'数据-取费表'!B20,0)</f>
        <v>0</v>
      </c>
      <c r="D28" s="279"/>
      <c r="E28" s="280"/>
      <c r="F28" s="290"/>
      <c r="G28" s="291"/>
    </row>
    <row r="29" spans="1:7" s="258" customFormat="1" ht="13.5" customHeight="1">
      <c r="A29" s="954" t="s">
        <v>792</v>
      </c>
      <c r="B29" s="292" t="s">
        <v>2371</v>
      </c>
      <c r="C29" s="282">
        <f ca="1">ROUND(C21*F27*'数据-取费表'!B21/'数据-取费表'!B20,4)</f>
        <v>0</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1887</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0</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2380</v>
      </c>
    </row>
    <row r="35" spans="1:7" ht="13.5" customHeight="1">
      <c r="A35" s="954" t="s">
        <v>796</v>
      </c>
      <c r="B35" s="259" t="s">
        <v>2381</v>
      </c>
      <c r="C35" s="264">
        <f ca="1">ROUND(C34*F35,0)</f>
        <v>0</v>
      </c>
      <c r="D35" s="264"/>
      <c r="E35" s="264"/>
      <c r="F35" s="303">
        <f>'数据-取费表'!B33</f>
        <v>0.03</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2384</v>
      </c>
    </row>
    <row r="37" spans="1:7" s="302" customFormat="1" ht="13.5" customHeight="1">
      <c r="A37" s="954" t="s">
        <v>798</v>
      </c>
      <c r="B37" s="259" t="s">
        <v>2385</v>
      </c>
      <c r="C37" s="293">
        <f ca="1">ROUND(E37*D37*F34/10000,0)</f>
        <v>0</v>
      </c>
      <c r="D37" s="261">
        <f ca="1">D19</f>
        <v>95346</v>
      </c>
      <c r="E37" s="293">
        <f>'数据-取费表'!B35</f>
        <v>200</v>
      </c>
      <c r="F37" s="303"/>
      <c r="G37" s="305" t="s">
        <v>2386</v>
      </c>
    </row>
    <row r="38" spans="1:7" ht="13.5" customHeight="1">
      <c r="A38" s="954" t="s">
        <v>799</v>
      </c>
      <c r="B38" s="259" t="s">
        <v>2387</v>
      </c>
      <c r="C38" s="264">
        <f ca="1">ROUND(C34*F38,0)</f>
        <v>0</v>
      </c>
      <c r="D38" s="264"/>
      <c r="E38" s="264"/>
      <c r="F38" s="303">
        <f>'数据-取费表'!B36</f>
        <v>1.4999999999999999E-2</v>
      </c>
      <c r="G38" s="263" t="s">
        <v>2382</v>
      </c>
    </row>
    <row r="39" spans="1:7" s="258" customFormat="1" ht="13.5" customHeight="1">
      <c r="A39" s="299" t="s">
        <v>2388</v>
      </c>
      <c r="B39" s="254" t="s">
        <v>2389</v>
      </c>
      <c r="C39" s="276">
        <f ca="1">ROUND(C33*F20,0)</f>
        <v>0</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0</v>
      </c>
      <c r="D41" s="279">
        <f ca="1">C44</f>
        <v>0</v>
      </c>
      <c r="E41" s="280" t="s">
        <v>2393</v>
      </c>
      <c r="F41" s="281"/>
      <c r="G41" s="278" t="str">
        <f>IF('数据-取费表'!B22&lt;=1,"单利计息","复利计息")</f>
        <v>复利计息</v>
      </c>
    </row>
    <row r="42" spans="1:7" ht="13.5" customHeight="1">
      <c r="A42" s="954" t="s">
        <v>791</v>
      </c>
      <c r="B42" s="259" t="s">
        <v>2397</v>
      </c>
      <c r="C42" s="282">
        <f ca="1">ROUND(IF('数据-取费表'!B22&lt;=1,C33*F22*'数据-取费表'!B21/2,C33*(POWER((1+F22),'数据-取费表'!B21/2)-1)),0)</f>
        <v>0</v>
      </c>
      <c r="D42" s="282"/>
      <c r="E42" s="282"/>
      <c r="F42" s="283"/>
      <c r="G42" s="3194" t="s">
        <v>2398</v>
      </c>
    </row>
    <row r="43" spans="1:7" ht="13.5" customHeight="1">
      <c r="A43" s="954" t="s">
        <v>792</v>
      </c>
      <c r="B43" s="259" t="s">
        <v>2399</v>
      </c>
      <c r="C43" s="282">
        <f ca="1">ROUND(IF('数据-取费表'!B22&lt;=1,C39*F22*'数据-取费表'!B21/2,C39*(POWER((1+F22),'数据-取费表'!B21/2)-1)),0)</f>
        <v>0</v>
      </c>
      <c r="D43" s="282"/>
      <c r="E43" s="282"/>
      <c r="F43" s="283"/>
      <c r="G43" s="3195"/>
    </row>
    <row r="44" spans="1:7" ht="13.5" customHeight="1">
      <c r="A44" s="954" t="s">
        <v>793</v>
      </c>
      <c r="B44" s="259" t="s">
        <v>2400</v>
      </c>
      <c r="C44" s="282">
        <f ca="1">ROUND(IF('数据-取费表'!B22&lt;=1,C40*F22*'数据-取费表'!B21/2,C40*(POWER((1+F22),'数据-取费表'!B21/2)-1)),4)</f>
        <v>0</v>
      </c>
      <c r="D44" s="282"/>
      <c r="E44" s="282"/>
      <c r="F44" s="283"/>
      <c r="G44" s="3196"/>
    </row>
    <row r="45" spans="1:7" s="258" customFormat="1" ht="13.5" customHeight="1">
      <c r="A45" s="299" t="s">
        <v>2401</v>
      </c>
      <c r="B45" s="288" t="s">
        <v>2367</v>
      </c>
      <c r="C45" s="289">
        <f ca="1">C46</f>
        <v>0</v>
      </c>
      <c r="D45" s="279">
        <f ca="1">C47</f>
        <v>4.1999999999999997E-3</v>
      </c>
      <c r="E45" s="280" t="s">
        <v>2393</v>
      </c>
      <c r="F45" s="290"/>
      <c r="G45" s="291" t="s">
        <v>2402</v>
      </c>
    </row>
    <row r="46" spans="1:7" s="258" customFormat="1" ht="13.5" customHeight="1">
      <c r="A46" s="954" t="s">
        <v>791</v>
      </c>
      <c r="B46" s="292" t="s">
        <v>2403</v>
      </c>
      <c r="C46" s="293">
        <f ca="1">ROUND((C33+C39)*F27,0)</f>
        <v>0</v>
      </c>
      <c r="D46" s="307"/>
      <c r="E46" s="280"/>
      <c r="F46" s="290"/>
      <c r="G46" s="291"/>
    </row>
    <row r="47" spans="1:7" s="258" customFormat="1" ht="13.5" customHeight="1">
      <c r="A47" s="954" t="s">
        <v>792</v>
      </c>
      <c r="B47" s="292" t="s">
        <v>2404</v>
      </c>
      <c r="C47" s="282">
        <f ca="1">ROUND(C40*F27,4)</f>
        <v>4.1999999999999997E-3</v>
      </c>
      <c r="D47" s="307"/>
      <c r="E47" s="280"/>
      <c r="F47" s="290"/>
      <c r="G47" s="291"/>
    </row>
    <row r="48" spans="1:7" s="258" customFormat="1" ht="13.5" customHeight="1">
      <c r="A48" s="299" t="s">
        <v>2366</v>
      </c>
      <c r="B48" s="254" t="s">
        <v>2405</v>
      </c>
      <c r="C48" s="1731">
        <f>ROUND(F30/(1+'数据-取费表'!C42),4)</f>
        <v>5.2400000000000002E-2</v>
      </c>
      <c r="D48" s="280" t="s">
        <v>2393</v>
      </c>
      <c r="E48" s="276"/>
      <c r="F48" s="281"/>
      <c r="G48" s="278" t="s">
        <v>2406</v>
      </c>
    </row>
    <row r="49" spans="1:7" ht="16.5" customHeight="1">
      <c r="A49" s="299" t="s">
        <v>2372</v>
      </c>
      <c r="B49" s="254" t="s">
        <v>2407</v>
      </c>
      <c r="C49" s="276">
        <f ca="1">ROUND((C33+C39+C41+C45)/(1-C40-D41-D45-C48),0)</f>
        <v>0</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0</v>
      </c>
      <c r="D51" s="276"/>
      <c r="E51" s="276"/>
      <c r="F51" s="308"/>
      <c r="G51" s="278" t="s">
        <v>2414</v>
      </c>
    </row>
    <row r="52" spans="1:7" s="252" customFormat="1" ht="16.5" thickBot="1">
      <c r="A52" s="309" t="s">
        <v>2415</v>
      </c>
      <c r="B52" s="310"/>
      <c r="C52" s="311">
        <f ca="1">C31+C51</f>
        <v>1887</v>
      </c>
      <c r="D52" s="310"/>
      <c r="E52" s="310"/>
      <c r="F52" s="310"/>
      <c r="G52" s="312"/>
    </row>
    <row r="55" spans="1:7" ht="15">
      <c r="B55" s="314" t="s">
        <v>2416</v>
      </c>
      <c r="C55" s="315"/>
    </row>
    <row r="56" spans="1:7">
      <c r="B56" s="317" t="s">
        <v>1513</v>
      </c>
      <c r="C56" s="319">
        <f ca="1">1-C57</f>
        <v>1</v>
      </c>
    </row>
    <row r="57" spans="1:7">
      <c r="B57" s="317" t="s">
        <v>1514</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c r="C1" s="2556" t="s">
        <v>2417</v>
      </c>
      <c r="D1" s="242"/>
      <c r="E1" s="242"/>
      <c r="F1" s="242"/>
      <c r="G1" s="1382">
        <f>MATCH(B1,'数据-取费表'!A6:A16,0)+5</f>
        <v>8</v>
      </c>
      <c r="H1" s="1285" t="str">
        <f>IF(ISERROR(FIND("住宅",B1)),"非住宅","住宅")</f>
        <v>非住宅</v>
      </c>
    </row>
    <row r="2" spans="1:8" s="244" customFormat="1" ht="18" customHeight="1">
      <c r="A2" s="245" t="s">
        <v>2316</v>
      </c>
      <c r="B2" s="246">
        <f ca="1">ROUND(IF(D2="——",C52/10000,C52/10000-E2),0)</f>
        <v>42672</v>
      </c>
      <c r="C2" s="243" t="s">
        <v>2317</v>
      </c>
      <c r="D2" s="2550" t="s">
        <v>70</v>
      </c>
      <c r="E2" s="1443" t="e">
        <f ca="1">SUMIF(INDIRECT("'"&amp;G2&amp;"'"&amp;"!A:A"),"承租人权益价值",INDIRECT("'"&amp;G2&amp;"'"&amp;"!c:c"))</f>
        <v>#REF!</v>
      </c>
      <c r="F2" s="2551" t="s">
        <v>2317</v>
      </c>
      <c r="G2" s="2552"/>
    </row>
    <row r="3" spans="1:8" s="244" customFormat="1" ht="18" customHeight="1" thickBot="1">
      <c r="A3" s="247" t="s">
        <v>2318</v>
      </c>
      <c r="B3" s="248">
        <f ca="1">ROUND(B2*10000/(IF(B1="",'数据-汇总表'!E3,INDIRECT("'数据-取费表'!k"&amp;$G$1))),0)</f>
        <v>4475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16970480</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3.0499999999999999E-2</v>
      </c>
      <c r="G7" s="263"/>
    </row>
    <row r="8" spans="1:8" s="267" customFormat="1">
      <c r="A8" s="952" t="s">
        <v>2330</v>
      </c>
      <c r="B8" s="259" t="s">
        <v>2331</v>
      </c>
      <c r="C8" s="264">
        <f ca="1">IF(G8="已包含在土地购买价格中",0,C9+C10)</f>
        <v>16970480</v>
      </c>
      <c r="D8" s="266"/>
      <c r="E8" s="264"/>
      <c r="F8" s="265"/>
      <c r="G8" s="2553"/>
    </row>
    <row r="9" spans="1:8" s="258" customFormat="1" ht="13.5" customHeight="1">
      <c r="A9" s="953" t="s">
        <v>800</v>
      </c>
      <c r="B9" s="268" t="s">
        <v>2332</v>
      </c>
      <c r="C9" s="269">
        <f ca="1">ROUND(D9*E9,0)</f>
        <v>8394880</v>
      </c>
      <c r="D9" s="1035">
        <f ca="1">IF(B1="",'数据-汇总表'!E5,IF(INDIRECT("'数据-取费表'!c"&amp;$G$1)="住宅",INDIRECT("'数据-取费表'!k"&amp;$G$1),0))</f>
        <v>52468</v>
      </c>
      <c r="E9" s="269">
        <f>'数据-取费表'!B27</f>
        <v>160</v>
      </c>
      <c r="F9" s="265"/>
      <c r="G9" s="270"/>
    </row>
    <row r="10" spans="1:8" s="258" customFormat="1" ht="13.5" customHeight="1">
      <c r="A10" s="953" t="s">
        <v>801</v>
      </c>
      <c r="B10" s="268" t="s">
        <v>2334</v>
      </c>
      <c r="C10" s="269">
        <f ca="1">ROUND(D10*E10,0)</f>
        <v>8575600</v>
      </c>
      <c r="D10" s="1035">
        <f ca="1">IF(B1="",'数据-汇总表'!E6,IF(INDIRECT("'数据-取费表'!c"&amp;$G$1)="住宅",INDIRECT("'数据-取费表'!s"&amp;$G$1),INDIRECT("'数据-取费表'!k"&amp;$G$1)+INDIRECT("'数据-取费表'!s"&amp;$G$1)))</f>
        <v>42878</v>
      </c>
      <c r="E10" s="269">
        <f>'数据-取费表'!B28</f>
        <v>200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17162280</v>
      </c>
      <c r="D19" s="1039">
        <f ca="1">D9+D10</f>
        <v>95346</v>
      </c>
      <c r="E19" s="255">
        <f>'数据-取费表'!B31</f>
        <v>180</v>
      </c>
      <c r="F19" s="275"/>
      <c r="G19" s="2553"/>
    </row>
    <row r="20" spans="1:7" s="258" customFormat="1" ht="13.5" customHeight="1">
      <c r="A20" s="299" t="s">
        <v>2428</v>
      </c>
      <c r="B20" s="254" t="s">
        <v>2429</v>
      </c>
      <c r="C20" s="276">
        <f ca="1">ROUND((C5+C19)*F20,0)</f>
        <v>682655</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3">
        <f ca="1">ROUND(SUM(C23:C25),0)</f>
        <v>3352050</v>
      </c>
      <c r="D22" s="279">
        <f ca="1">C26</f>
        <v>1E-3</v>
      </c>
      <c r="E22" s="280" t="s">
        <v>2433</v>
      </c>
      <c r="F22" s="281">
        <f ca="1">'数据-取费表'!B40</f>
        <v>4.7500000000000001E-2</v>
      </c>
      <c r="G22" s="278" t="str">
        <f>IF('数据-取费表'!B22&lt;=1,"单利计息","复利计息")</f>
        <v>复利计息</v>
      </c>
    </row>
    <row r="23" spans="1:7" s="258" customFormat="1" ht="13.5" customHeight="1">
      <c r="A23" s="954" t="s">
        <v>2326</v>
      </c>
      <c r="B23" s="259" t="s">
        <v>2437</v>
      </c>
      <c r="C23" s="1384">
        <f ca="1">ROUND(IF('数据-取费表'!B22&lt;=1,C5*F22*'数据-取费表'!B22,C5*(POWER((1+F22),'数据-取费表'!B22)-1)),0)</f>
        <v>1650485</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1669139</v>
      </c>
      <c r="D24" s="282"/>
      <c r="E24" s="282"/>
      <c r="F24" s="283"/>
      <c r="G24" s="284" t="s">
        <v>2440</v>
      </c>
    </row>
    <row r="25" spans="1:7" s="258" customFormat="1" ht="24">
      <c r="A25" s="954" t="s">
        <v>2330</v>
      </c>
      <c r="B25" s="259" t="s">
        <v>2441</v>
      </c>
      <c r="C25" s="1384">
        <f ca="1">ROUND(IF('数据-取费表'!B22&lt;=1,C20*F22*'数据-取费表'!B22/2,C20*(POWER((1+F22),'数据-取费表'!B22/2)-1)),0)</f>
        <v>32426</v>
      </c>
      <c r="D25" s="282"/>
      <c r="E25" s="285"/>
      <c r="F25" s="283"/>
      <c r="G25" s="286" t="s">
        <v>2442</v>
      </c>
    </row>
    <row r="26" spans="1:7" s="258" customFormat="1">
      <c r="A26" s="954"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7311237</v>
      </c>
      <c r="D27" s="279">
        <f ca="1">C29</f>
        <v>4.1999999999999997E-3</v>
      </c>
      <c r="E27" s="280" t="s">
        <v>2368</v>
      </c>
      <c r="F27" s="290">
        <f ca="1">IF(B1="",'数据-取费表'!Q16,INDIRECT("'数据-取费表'!q"&amp;$G$1))</f>
        <v>0.21</v>
      </c>
      <c r="G27" s="291" t="s">
        <v>2369</v>
      </c>
    </row>
    <row r="28" spans="1:7" s="258" customFormat="1" ht="13.5" customHeight="1">
      <c r="A28" s="954" t="s">
        <v>791</v>
      </c>
      <c r="B28" s="292" t="s">
        <v>2370</v>
      </c>
      <c r="C28" s="293">
        <f ca="1">ROUND((C5+C19+C20)*F27,0)</f>
        <v>7311237</v>
      </c>
      <c r="D28" s="279"/>
      <c r="E28" s="280"/>
      <c r="F28" s="290"/>
      <c r="G28" s="291"/>
    </row>
    <row r="29" spans="1:7" s="258" customFormat="1" ht="13.5" customHeight="1">
      <c r="A29" s="954" t="s">
        <v>792</v>
      </c>
      <c r="B29" s="292" t="s">
        <v>2371</v>
      </c>
      <c r="C29" s="282">
        <f ca="1">ROUND(C21*F27,4)</f>
        <v>4.1999999999999997E-3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49304751</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271414313</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235202500</v>
      </c>
      <c r="D34" s="261"/>
      <c r="E34" s="264"/>
      <c r="F34" s="301"/>
      <c r="G34" s="263"/>
    </row>
    <row r="35" spans="1:7" ht="13.5" customHeight="1">
      <c r="A35" s="954" t="s">
        <v>796</v>
      </c>
      <c r="B35" s="259" t="s">
        <v>2381</v>
      </c>
      <c r="C35" s="264">
        <f ca="1">ROUND(C34*F35,0)</f>
        <v>7056075</v>
      </c>
      <c r="D35" s="264"/>
      <c r="E35" s="264"/>
      <c r="F35" s="303">
        <f>'数据-取费表'!B33</f>
        <v>0.03</v>
      </c>
      <c r="G35" s="263" t="s">
        <v>2382</v>
      </c>
    </row>
    <row r="36" spans="1:7" ht="24">
      <c r="A36" s="954" t="s">
        <v>797</v>
      </c>
      <c r="B36" s="259" t="s">
        <v>2383</v>
      </c>
      <c r="C36" s="264">
        <f ca="1">ROUND(IF(B1="",SUM('数据-取费表'!AP6:AP13)*F36,IF(INDIRECT("'数据-取费表'!c"&amp;$G$1)="住宅",INDIRECT("'数据-取费表'!k"&amp;$G$1)*INDIRECT("'数据-取费表'!l"&amp;$G$1)*F36,0)),0)</f>
        <v>6558500</v>
      </c>
      <c r="D36" s="264"/>
      <c r="E36" s="264"/>
      <c r="F36" s="303">
        <f>'数据-取费表'!B34</f>
        <v>0.05</v>
      </c>
      <c r="G36" s="304" t="s">
        <v>2384</v>
      </c>
    </row>
    <row r="37" spans="1:7" s="302" customFormat="1" ht="13.5" customHeight="1">
      <c r="A37" s="954" t="s">
        <v>798</v>
      </c>
      <c r="B37" s="259" t="s">
        <v>2385</v>
      </c>
      <c r="C37" s="293">
        <f ca="1">ROUND(E37*D37,0)</f>
        <v>19069200</v>
      </c>
      <c r="D37" s="261">
        <f ca="1">D19</f>
        <v>95346</v>
      </c>
      <c r="E37" s="293">
        <f>'数据-取费表'!B35</f>
        <v>200</v>
      </c>
      <c r="F37" s="303"/>
      <c r="G37" s="305"/>
    </row>
    <row r="38" spans="1:7" ht="13.5" customHeight="1">
      <c r="A38" s="954" t="s">
        <v>799</v>
      </c>
      <c r="B38" s="259" t="s">
        <v>2387</v>
      </c>
      <c r="C38" s="264">
        <f ca="1">ROUND(C34*F38,0)</f>
        <v>3528038</v>
      </c>
      <c r="D38" s="264"/>
      <c r="E38" s="264"/>
      <c r="F38" s="303">
        <f>'数据-取费表'!B36</f>
        <v>1.4999999999999999E-2</v>
      </c>
      <c r="G38" s="263" t="s">
        <v>2382</v>
      </c>
    </row>
    <row r="39" spans="1:7" s="258" customFormat="1" ht="13.5" customHeight="1">
      <c r="A39" s="299" t="s">
        <v>2388</v>
      </c>
      <c r="B39" s="254" t="s">
        <v>2389</v>
      </c>
      <c r="C39" s="276">
        <f ca="1">ROUND(C33*F20,0)</f>
        <v>5428286</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13150024</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ROUND(IF('数据-取费表'!B22&lt;=1,C33*F22*'数据-取费表'!B20/2,C33*(POWER((1+F22),'数据-取费表'!B20/2)-1)),0)</f>
        <v>12892180</v>
      </c>
      <c r="D42" s="282"/>
      <c r="E42" s="282"/>
      <c r="F42" s="283"/>
      <c r="G42" s="3194" t="s">
        <v>2445</v>
      </c>
    </row>
    <row r="43" spans="1:7" ht="13.5" customHeight="1">
      <c r="A43" s="954" t="s">
        <v>792</v>
      </c>
      <c r="B43" s="259" t="s">
        <v>2399</v>
      </c>
      <c r="C43" s="282">
        <f ca="1">ROUND(IF('数据-取费表'!B22&lt;=1,C39*F22*'数据-取费表'!B20/2,C39*(POWER((1+F22),'数据-取费表'!B20/2)-1)),0)</f>
        <v>257844</v>
      </c>
      <c r="D43" s="282"/>
      <c r="E43" s="282"/>
      <c r="F43" s="283"/>
      <c r="G43" s="3195"/>
    </row>
    <row r="44" spans="1:7" ht="13.5" customHeight="1">
      <c r="A44" s="954" t="s">
        <v>793</v>
      </c>
      <c r="B44" s="259" t="s">
        <v>2400</v>
      </c>
      <c r="C44" s="282">
        <f ca="1">ROUND(IF('数据-取费表'!B22&lt;=1,C40*F22*'数据-取费表'!B20/2,C40*(POWER((1+F22),'数据-取费表'!B20/2)-1)),4)</f>
        <v>1E-3</v>
      </c>
      <c r="D44" s="282"/>
      <c r="E44" s="282"/>
      <c r="F44" s="283"/>
      <c r="G44" s="3196"/>
    </row>
    <row r="45" spans="1:7" s="258" customFormat="1" ht="13.5" customHeight="1">
      <c r="A45" s="299" t="s">
        <v>2401</v>
      </c>
      <c r="B45" s="288" t="s">
        <v>2367</v>
      </c>
      <c r="C45" s="289">
        <f ca="1">C46</f>
        <v>58136946</v>
      </c>
      <c r="D45" s="279">
        <f ca="1">C47</f>
        <v>4.1999999999999997E-3</v>
      </c>
      <c r="E45" s="280" t="s">
        <v>2393</v>
      </c>
      <c r="F45" s="290"/>
      <c r="G45" s="291" t="s">
        <v>2402</v>
      </c>
    </row>
    <row r="46" spans="1:7" s="258" customFormat="1" ht="13.5" customHeight="1">
      <c r="A46" s="954" t="s">
        <v>791</v>
      </c>
      <c r="B46" s="292" t="s">
        <v>2403</v>
      </c>
      <c r="C46" s="293">
        <f ca="1">ROUND((C33+C39)*F27,0)</f>
        <v>58136946</v>
      </c>
      <c r="D46" s="307"/>
      <c r="E46" s="280"/>
      <c r="F46" s="290"/>
      <c r="G46" s="291"/>
    </row>
    <row r="47" spans="1:7" s="258" customFormat="1" ht="13.5" customHeight="1">
      <c r="A47" s="954" t="s">
        <v>792</v>
      </c>
      <c r="B47" s="292" t="s">
        <v>2404</v>
      </c>
      <c r="C47" s="282">
        <f ca="1">ROUND(C40*F27,4)</f>
        <v>4.1999999999999997E-3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377417139</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377417139</v>
      </c>
      <c r="D51" s="276"/>
      <c r="E51" s="276"/>
      <c r="F51" s="308"/>
      <c r="G51" s="278" t="s">
        <v>2414</v>
      </c>
    </row>
    <row r="52" spans="1:7" s="252" customFormat="1" ht="16.5" thickBot="1">
      <c r="A52" s="309" t="s">
        <v>2415</v>
      </c>
      <c r="B52" s="310"/>
      <c r="C52" s="311">
        <f ca="1">C31+C51</f>
        <v>426721890</v>
      </c>
      <c r="D52" s="310"/>
      <c r="E52" s="310"/>
      <c r="F52" s="310"/>
      <c r="G52" s="312"/>
    </row>
    <row r="55" spans="1:7" ht="15">
      <c r="B55" s="314" t="s">
        <v>2416</v>
      </c>
      <c r="C55" s="315"/>
    </row>
    <row r="56" spans="1:7">
      <c r="B56" s="317" t="s">
        <v>1513</v>
      </c>
      <c r="C56" s="319">
        <f ca="1">1-C57</f>
        <v>0.11599999999999999</v>
      </c>
    </row>
    <row r="57" spans="1:7">
      <c r="B57" s="317" t="s">
        <v>1514</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 sqref="C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c r="D1" s="1583"/>
      <c r="E1" s="320"/>
      <c r="F1" s="320"/>
      <c r="G1" s="1584"/>
      <c r="H1" s="320"/>
      <c r="I1" s="320"/>
      <c r="J1" s="320"/>
      <c r="K1" s="320">
        <f>MATCH(C1,'数据-取费表'!A6:A16,0)+5</f>
        <v>8</v>
      </c>
    </row>
    <row r="2" spans="1:33" ht="18" customHeight="1">
      <c r="A2" s="245" t="s">
        <v>2316</v>
      </c>
      <c r="B2" s="248">
        <f ca="1">C32</f>
        <v>208925</v>
      </c>
      <c r="C2" s="320" t="s">
        <v>2449</v>
      </c>
      <c r="D2" s="320"/>
      <c r="E2" s="320"/>
      <c r="F2" s="320"/>
      <c r="G2" s="320"/>
      <c r="H2" s="320"/>
      <c r="I2" s="320"/>
      <c r="J2" s="320"/>
      <c r="K2" s="320"/>
    </row>
    <row r="3" spans="1:33" ht="18" customHeight="1" thickBot="1">
      <c r="A3" s="247" t="s">
        <v>2318</v>
      </c>
      <c r="B3" s="248">
        <f ca="1">ROUND(B2*10000/IF(C1="",'数据-汇总表'!E3,INDIRECT("'数据-取费表'!K"&amp;$K$1)),0)</f>
        <v>21912</v>
      </c>
      <c r="C3" s="320" t="s">
        <v>2450</v>
      </c>
      <c r="D3" s="320"/>
      <c r="E3" s="320"/>
      <c r="F3" s="320"/>
      <c r="G3" s="320"/>
      <c r="H3" s="320"/>
      <c r="I3" s="320"/>
      <c r="J3" s="320"/>
      <c r="K3" s="320"/>
    </row>
    <row r="4" spans="1:33" s="959" customFormat="1" ht="16.5" customHeight="1">
      <c r="A4" s="956" t="s">
        <v>2451</v>
      </c>
      <c r="B4" s="957"/>
      <c r="C4" s="999">
        <f>SUM(C8:K8)</f>
        <v>344766</v>
      </c>
      <c r="D4" s="957"/>
      <c r="E4" s="957"/>
      <c r="F4" s="957"/>
      <c r="G4" s="957"/>
      <c r="H4" s="957"/>
      <c r="I4" s="957"/>
      <c r="J4" s="957"/>
      <c r="K4" s="958"/>
    </row>
    <row r="5" spans="1:33" s="963" customFormat="1" ht="15">
      <c r="A5" s="960" t="s">
        <v>2452</v>
      </c>
      <c r="B5" s="961" t="s">
        <v>2453</v>
      </c>
      <c r="C5" s="2557" t="s">
        <v>3258</v>
      </c>
      <c r="D5" s="2557" t="s">
        <v>3256</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2454</v>
      </c>
      <c r="C6" s="965">
        <f>'比较法-住宅'!B3</f>
        <v>63739</v>
      </c>
      <c r="D6" s="965">
        <f>'比较法-车位'!B3</f>
        <v>5929</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2455</v>
      </c>
      <c r="B7" s="140" t="s">
        <v>2456</v>
      </c>
      <c r="C7" s="321">
        <f>SUMIF('数据-汇总表'!$C19:$C33,假设开发法!C5,'数据-汇总表'!$E19:$E33)</f>
        <v>52468</v>
      </c>
      <c r="D7" s="321">
        <f>SUMIF('数据-汇总表'!$C19:$C33,假设开发法!D5,'数据-汇总表'!$E19:$E33)</f>
        <v>17440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2457</v>
      </c>
      <c r="B8" s="177" t="s">
        <v>2458</v>
      </c>
      <c r="C8" s="1000">
        <f>'比较法-住宅'!B2</f>
        <v>334426</v>
      </c>
      <c r="D8" s="1000">
        <f>'比较法-车位'!B2</f>
        <v>10340</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2459</v>
      </c>
      <c r="B9" s="957"/>
      <c r="C9" s="957"/>
      <c r="D9" s="957"/>
      <c r="E9" s="957"/>
      <c r="F9" s="957"/>
      <c r="G9" s="957"/>
      <c r="H9" s="957"/>
      <c r="I9" s="957"/>
      <c r="J9" s="957"/>
      <c r="K9" s="958"/>
    </row>
    <row r="10" spans="1:33" s="973" customFormat="1" ht="13.5" customHeight="1">
      <c r="A10" s="960" t="s">
        <v>2460</v>
      </c>
      <c r="B10" s="8" t="s">
        <v>2461</v>
      </c>
      <c r="C10" s="969" t="s">
        <v>2462</v>
      </c>
      <c r="D10" s="970" t="s">
        <v>2463</v>
      </c>
      <c r="E10" s="970" t="s">
        <v>2464</v>
      </c>
      <c r="F10" s="970" t="s">
        <v>2465</v>
      </c>
      <c r="G10" s="8"/>
      <c r="H10" s="971"/>
      <c r="I10" s="971"/>
      <c r="J10" s="971"/>
      <c r="K10" s="972"/>
    </row>
    <row r="11" spans="1:33" s="978" customFormat="1" ht="13.5" customHeight="1">
      <c r="A11" s="974" t="s">
        <v>1334</v>
      </c>
      <c r="B11" s="975" t="s">
        <v>2466</v>
      </c>
      <c r="C11" s="323">
        <f ca="1">IF(C1="",'数据-取费表'!P16,INDIRECT("'数据-取费表'!p"&amp;$K$1)+INDIRECT("'数据-取费表'!ar"&amp;$K$1))</f>
        <v>23520</v>
      </c>
      <c r="D11" s="976"/>
      <c r="E11" s="375"/>
      <c r="F11" s="977">
        <f ca="1">1-IF('数据-取费表'!B24=0,1,IF(C1="",'数据-取费表'!N16,INDIRECT("'数据-取费表'!n"&amp;$K$1)))</f>
        <v>1</v>
      </c>
      <c r="G11" s="8"/>
      <c r="H11" s="971"/>
      <c r="I11" s="971"/>
      <c r="J11" s="971"/>
      <c r="K11" s="972"/>
    </row>
    <row r="12" spans="1:33" s="978" customFormat="1" ht="13.5" customHeight="1">
      <c r="A12" s="974" t="s">
        <v>1335</v>
      </c>
      <c r="B12" s="975" t="s">
        <v>2467</v>
      </c>
      <c r="C12" s="24">
        <f ca="1">ROUND(C11*F12,0)</f>
        <v>706</v>
      </c>
      <c r="D12" s="976"/>
      <c r="E12" s="375"/>
      <c r="F12" s="979">
        <f>'数据-取费表'!B33</f>
        <v>0.03</v>
      </c>
      <c r="G12" s="8" t="s">
        <v>2468</v>
      </c>
      <c r="H12" s="971"/>
      <c r="I12" s="971"/>
      <c r="J12" s="971"/>
      <c r="K12" s="972"/>
    </row>
    <row r="13" spans="1:33" s="978" customFormat="1" ht="13.5" customHeight="1">
      <c r="A13" s="974" t="s">
        <v>1336</v>
      </c>
      <c r="B13" s="975" t="s">
        <v>2469</v>
      </c>
      <c r="C13" s="24">
        <f ca="1">ROUND(IF(C1="",SUMIF('数据-取费表'!C:C,"住宅",'数据-取费表'!P:P)*F13,IF(INDIRECT("'数据-取费表'!c"&amp;$K$1)="住宅",INDIRECT("'数据-取费表'!P"&amp;$K$1)*F13,0)),0)</f>
        <v>656</v>
      </c>
      <c r="D13" s="1036"/>
      <c r="E13" s="375"/>
      <c r="F13" s="979">
        <f>'数据-取费表'!B34</f>
        <v>0.05</v>
      </c>
      <c r="G13" s="8" t="s">
        <v>2470</v>
      </c>
      <c r="H13" s="971"/>
      <c r="I13" s="971"/>
      <c r="J13" s="971"/>
      <c r="K13" s="972"/>
    </row>
    <row r="14" spans="1:33" s="980" customFormat="1" ht="13.5" customHeight="1">
      <c r="A14" s="974" t="s">
        <v>1337</v>
      </c>
      <c r="B14" s="975" t="s">
        <v>2471</v>
      </c>
      <c r="C14" s="24">
        <f ca="1">ROUND(D14*E14*F11/10000,0)</f>
        <v>1907</v>
      </c>
      <c r="D14" s="1036">
        <f ca="1">IF(C1="",'数据-汇总表'!E3,INDIRECT("'数据-取费表'!K"&amp;$K$1)+INDIRECT("'数据-取费表'!S"&amp;$K$1))</f>
        <v>95346</v>
      </c>
      <c r="E14" s="24">
        <f>'数据-取费表'!B35</f>
        <v>200</v>
      </c>
      <c r="F14" s="979"/>
      <c r="G14" s="8" t="s">
        <v>2472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2473</v>
      </c>
      <c r="C15" s="986">
        <f ca="1">ROUND(C11*F15,0)</f>
        <v>353</v>
      </c>
      <c r="D15" s="981"/>
      <c r="E15" s="986"/>
      <c r="F15" s="987">
        <f>'数据-取费表'!B36</f>
        <v>1.4999999999999999E-2</v>
      </c>
      <c r="G15" s="140" t="s">
        <v>2474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2475</v>
      </c>
      <c r="C16" s="986">
        <f ca="1">SUM(C11:C15)</f>
        <v>27142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2476</v>
      </c>
      <c r="C17" s="24">
        <f ca="1">ROUND(D17*E17/10000,0)</f>
        <v>0</v>
      </c>
      <c r="D17" s="1036">
        <f ca="1">D14</f>
        <v>95346</v>
      </c>
      <c r="E17" s="24">
        <f>'数据-取费表'!B32</f>
        <v>0</v>
      </c>
      <c r="F17" s="981"/>
      <c r="G17" s="140" t="s">
        <v>2477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2478</v>
      </c>
      <c r="C18" s="24">
        <f ca="1">C19+C20-IF(C1="",'数据-取费表'!B29,IF(G18="已全部缴纳",C19+C20,H18))</f>
        <v>1697</v>
      </c>
      <c r="D18" s="1036"/>
      <c r="E18" s="24"/>
      <c r="F18" s="979"/>
      <c r="G18" s="2559"/>
      <c r="H18" s="1580"/>
      <c r="I18" s="2560" t="s">
        <v>2479</v>
      </c>
      <c r="J18" s="982"/>
      <c r="K18" s="983"/>
    </row>
    <row r="19" spans="1:33" s="978" customFormat="1" ht="13.5" customHeight="1">
      <c r="A19" s="974" t="s">
        <v>805</v>
      </c>
      <c r="B19" s="975" t="s">
        <v>2480</v>
      </c>
      <c r="C19" s="24">
        <f ca="1">ROUND(D19*E19/10000,0)</f>
        <v>839</v>
      </c>
      <c r="D19" s="1036">
        <f ca="1">IF(C1="",'数据-汇总表'!E5,IF(INDIRECT("'数据-取费表'!c"&amp;$K$1)="住宅",INDIRECT("'数据-取费表'!k"&amp;$K$1),0))</f>
        <v>52468</v>
      </c>
      <c r="E19" s="24">
        <f>'数据-取费表'!B27</f>
        <v>160</v>
      </c>
      <c r="F19" s="979"/>
      <c r="G19" s="15"/>
      <c r="H19" s="1582"/>
      <c r="I19" s="984"/>
      <c r="J19" s="984"/>
      <c r="K19" s="985"/>
    </row>
    <row r="20" spans="1:33" s="978" customFormat="1" ht="13.5" customHeight="1">
      <c r="A20" s="974" t="s">
        <v>806</v>
      </c>
      <c r="B20" s="975" t="s">
        <v>2481</v>
      </c>
      <c r="C20" s="24">
        <f ca="1">ROUND(D20*E20/10000,0)</f>
        <v>858</v>
      </c>
      <c r="D20" s="1036">
        <f ca="1">IF(C1="",'数据-汇总表'!E6,IF(INDIRECT("'数据-取费表'!c"&amp;$K$1)="住宅",INDIRECT("'数据-取费表'!s"&amp;$K$1),INDIRECT("'数据-取费表'!k"&amp;$K$1)+INDIRECT("'数据-取费表'!s"&amp;$K$1)))</f>
        <v>42878</v>
      </c>
      <c r="E20" s="24">
        <f>'数据-取费表'!B28</f>
        <v>200</v>
      </c>
      <c r="F20" s="979"/>
      <c r="G20" s="15"/>
      <c r="H20" s="984"/>
      <c r="I20" s="984"/>
      <c r="J20" s="984"/>
      <c r="K20" s="985"/>
    </row>
    <row r="21" spans="1:33" s="978" customFormat="1" ht="13.5" customHeight="1">
      <c r="A21" s="964" t="s">
        <v>802</v>
      </c>
      <c r="B21" s="988" t="s">
        <v>2482</v>
      </c>
      <c r="C21" s="989">
        <f ca="1">C16+C17+C18</f>
        <v>28839</v>
      </c>
      <c r="D21" s="990"/>
      <c r="E21" s="325"/>
      <c r="F21" s="325"/>
      <c r="G21" s="140" t="s">
        <v>2483</v>
      </c>
      <c r="H21" s="982"/>
      <c r="I21" s="982"/>
      <c r="J21" s="982"/>
      <c r="K21" s="983"/>
    </row>
    <row r="22" spans="1:33" s="978" customFormat="1" ht="13.5" customHeight="1">
      <c r="A22" s="964" t="s">
        <v>2455</v>
      </c>
      <c r="B22" s="988" t="s">
        <v>2484</v>
      </c>
      <c r="C22" s="989">
        <f ca="1">ROUND(C21*F22,0)</f>
        <v>577</v>
      </c>
      <c r="D22" s="325"/>
      <c r="E22" s="325"/>
      <c r="F22" s="991">
        <f>'数据-取费表'!B37</f>
        <v>0.02</v>
      </c>
      <c r="G22" s="8" t="s">
        <v>2485</v>
      </c>
      <c r="H22" s="971"/>
      <c r="I22" s="971"/>
      <c r="J22" s="971"/>
      <c r="K22" s="972"/>
    </row>
    <row r="23" spans="1:33" s="978" customFormat="1" ht="13.5" customHeight="1">
      <c r="A23" s="964" t="s">
        <v>2457</v>
      </c>
      <c r="B23" s="988" t="s">
        <v>2486</v>
      </c>
      <c r="C23" s="989">
        <f ca="1">ROUND(C4*F23*F11,0)</f>
        <v>6895</v>
      </c>
      <c r="D23" s="325"/>
      <c r="E23" s="325"/>
      <c r="F23" s="991">
        <f>'数据-取费表'!B38</f>
        <v>0.02</v>
      </c>
      <c r="G23" s="8" t="s">
        <v>2487</v>
      </c>
      <c r="H23" s="971"/>
      <c r="I23" s="971"/>
      <c r="J23" s="971"/>
      <c r="K23" s="972"/>
    </row>
    <row r="24" spans="1:33" s="978" customFormat="1" ht="13.5" customHeight="1">
      <c r="A24" s="964" t="s">
        <v>2488</v>
      </c>
      <c r="B24" s="988" t="s">
        <v>2489</v>
      </c>
      <c r="C24" s="324">
        <f>ROUND(F24/(1+'数据-取费表'!C42),4)</f>
        <v>2.9000000000000001E-2</v>
      </c>
      <c r="D24" s="325" t="s">
        <v>15</v>
      </c>
      <c r="E24" s="325"/>
      <c r="F24" s="991">
        <f>'数据-取费表'!B48+'数据-取费表'!B49</f>
        <v>3.0499999999999999E-2</v>
      </c>
      <c r="G24" s="8" t="s">
        <v>2490</v>
      </c>
      <c r="H24" s="993"/>
      <c r="I24" s="993"/>
      <c r="J24" s="993"/>
      <c r="K24" s="994"/>
    </row>
    <row r="25" spans="1:33" s="978" customFormat="1" ht="13.5" customHeight="1">
      <c r="A25" s="964" t="s">
        <v>2491</v>
      </c>
      <c r="B25" s="990" t="s">
        <v>2492</v>
      </c>
      <c r="C25" s="1359">
        <f ca="1">C27</f>
        <v>1725</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2493</v>
      </c>
      <c r="C26" s="1360">
        <f ca="1">ROUND(IF('数据-取费表'!B22&lt;=1,(1+C24)*F25*'数据-取费表'!B24,(1+C24)*(POWER((1+F25),'数据-取费表'!B24)-1)),4)</f>
        <v>0.10009999999999999</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2494</v>
      </c>
      <c r="C27" s="1361">
        <f ca="1">ROUND(IF('数据-取费表'!B22&lt;=1,(C21+C22+C23)*F25*'数据-取费表'!B24/2,(C21+C22+C23)*(POWER((1+F25),'数据-取费表'!B24/2)-1)),0)</f>
        <v>1725</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2495</v>
      </c>
      <c r="B28" s="2562" t="s">
        <v>2496</v>
      </c>
      <c r="C28" s="331">
        <f ca="1">C30</f>
        <v>7625</v>
      </c>
      <c r="D28" s="324">
        <f ca="1">C29</f>
        <v>0.21609999999999999</v>
      </c>
      <c r="E28" s="326" t="s">
        <v>15</v>
      </c>
      <c r="F28" s="332">
        <f ca="1">IF(C1="",'数据-取费表'!Q16,INDIRECT("'数据-取费表'!q"&amp;$K$1))</f>
        <v>0.21</v>
      </c>
      <c r="G28" s="992"/>
      <c r="H28" s="993"/>
      <c r="I28" s="993"/>
      <c r="J28" s="993"/>
      <c r="K28" s="994"/>
    </row>
    <row r="29" spans="1:33" s="335" customFormat="1" ht="13.5" customHeight="1">
      <c r="A29" s="974" t="s">
        <v>803</v>
      </c>
      <c r="B29" s="997" t="s">
        <v>2497</v>
      </c>
      <c r="C29" s="328">
        <f ca="1">ROUND((1+C24)*F28*'数据-取费表'!B24/'数据-取费表'!B20,4)</f>
        <v>0.21609999999999999</v>
      </c>
      <c r="D29" s="328"/>
      <c r="E29" s="329"/>
      <c r="F29" s="334"/>
      <c r="G29" s="140" t="s">
        <v>2498</v>
      </c>
      <c r="H29" s="982"/>
      <c r="I29" s="982"/>
      <c r="J29" s="982"/>
      <c r="K29" s="983"/>
    </row>
    <row r="30" spans="1:33" s="335" customFormat="1" ht="13.5" customHeight="1">
      <c r="A30" s="974" t="s">
        <v>804</v>
      </c>
      <c r="B30" s="997" t="s">
        <v>2499</v>
      </c>
      <c r="C30" s="336">
        <f ca="1">ROUND((C21+C22+C23)*F28,0)</f>
        <v>7625</v>
      </c>
      <c r="D30" s="328"/>
      <c r="E30" s="329"/>
      <c r="F30" s="334"/>
      <c r="G30" s="140"/>
      <c r="H30" s="982"/>
      <c r="I30" s="982"/>
      <c r="J30" s="982"/>
      <c r="K30" s="983"/>
    </row>
    <row r="31" spans="1:33" s="978" customFormat="1" ht="13.5" customHeight="1" thickBot="1">
      <c r="A31" s="2563" t="s">
        <v>2500</v>
      </c>
      <c r="B31" s="1008" t="s">
        <v>2501</v>
      </c>
      <c r="C31" s="1009">
        <f>ROUND(C4*F31/(1+'数据-取费表'!C42),0)</f>
        <v>18059</v>
      </c>
      <c r="D31" s="1010"/>
      <c r="E31" s="1011"/>
      <c r="F31" s="1012">
        <f>'数据-取费表'!B41</f>
        <v>5.5000000000000007E-2</v>
      </c>
      <c r="G31" s="1013" t="s">
        <v>2502</v>
      </c>
      <c r="H31" s="1014"/>
      <c r="I31" s="1014"/>
      <c r="J31" s="1014"/>
      <c r="K31" s="1015"/>
    </row>
    <row r="32" spans="1:33" s="973" customFormat="1" ht="13.5" customHeight="1" thickBot="1">
      <c r="A32" s="1003" t="s">
        <v>2503</v>
      </c>
      <c r="B32" s="1004"/>
      <c r="C32" s="1005">
        <f ca="1">ROUND((C4-C21-C22-C23-C25-C28-C31)/(1+C24+D25+D28),0)</f>
        <v>208925</v>
      </c>
      <c r="D32" s="1004"/>
      <c r="E32" s="1004"/>
      <c r="F32" s="1004"/>
      <c r="G32" s="1006" t="s">
        <v>2504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9" t="s">
        <v>1403</v>
      </c>
      <c r="C6" s="1299">
        <f ca="1">ROUND(F6*F8*F7*(1-F9)/10000,0)</f>
        <v>0</v>
      </c>
      <c r="D6" s="164" t="s">
        <v>3019</v>
      </c>
      <c r="E6" s="347" t="s">
        <v>1405</v>
      </c>
      <c r="F6" s="348">
        <f ca="1">INDIRECT("'数据-取费表'!u"&amp;$G$1)</f>
        <v>0</v>
      </c>
      <c r="G6" s="1854"/>
      <c r="H6" s="1294" t="s">
        <v>1035</v>
      </c>
      <c r="I6" s="3199" t="s">
        <v>1403</v>
      </c>
      <c r="J6" s="346">
        <f ca="1">ROUND(M6*M8*M7*(1-M9)/10000,0)</f>
        <v>0</v>
      </c>
      <c r="K6" s="164" t="s">
        <v>3018</v>
      </c>
      <c r="L6" s="347" t="s">
        <v>1405</v>
      </c>
      <c r="M6" s="348">
        <f ca="1">INDIRECT("'数据-取费表'!z"&amp;$G$1)</f>
        <v>0</v>
      </c>
    </row>
    <row r="7" spans="1:37" ht="18" customHeight="1">
      <c r="A7" s="1298"/>
      <c r="B7" s="3200"/>
      <c r="C7" s="1300"/>
      <c r="D7" s="352"/>
      <c r="E7" s="1301" t="s">
        <v>1406</v>
      </c>
      <c r="F7" s="348">
        <f ca="1">IF(INDIRECT("'数据-取费表'!ah"&amp;$G$1)="",INDIRECT("'数据-取费表'!k"&amp;$G$1),INDIRECT("'数据-取费表'!ah"&amp;$G$1))</f>
        <v>0</v>
      </c>
      <c r="G7" s="1854"/>
      <c r="H7" s="349"/>
      <c r="I7" s="3200"/>
      <c r="J7" s="351"/>
      <c r="K7" s="352"/>
      <c r="L7" s="347" t="s">
        <v>1406</v>
      </c>
      <c r="M7" s="348">
        <f ca="1">F7</f>
        <v>0</v>
      </c>
    </row>
    <row r="8" spans="1:37" ht="18" customHeight="1">
      <c r="A8" s="349"/>
      <c r="B8" s="3200"/>
      <c r="C8" s="351"/>
      <c r="D8" s="352"/>
      <c r="E8" s="347" t="s">
        <v>1407</v>
      </c>
      <c r="F8" s="348">
        <f ca="1">INDIRECT("'数据-取费表'!ai"&amp;$G$1)</f>
        <v>0</v>
      </c>
      <c r="G8" s="1854"/>
      <c r="H8" s="349"/>
      <c r="I8" s="3200"/>
      <c r="J8" s="351"/>
      <c r="K8" s="352"/>
      <c r="L8" s="347" t="s">
        <v>1407</v>
      </c>
      <c r="M8" s="348">
        <f ca="1">INDIRECT("'数据-取费表'!ai"&amp;$G$1)</f>
        <v>0</v>
      </c>
    </row>
    <row r="9" spans="1:37" ht="18" customHeight="1">
      <c r="A9" s="349"/>
      <c r="B9" s="3201"/>
      <c r="C9" s="351"/>
      <c r="D9" s="352"/>
      <c r="E9" s="347" t="s">
        <v>1408</v>
      </c>
      <c r="F9" s="357">
        <f ca="1">INDIRECT("'数据-取费表'!w"&amp;$G$1)</f>
        <v>0</v>
      </c>
      <c r="G9" s="1854"/>
      <c r="H9" s="349"/>
      <c r="I9" s="320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3028</v>
      </c>
      <c r="E10" s="358" t="s">
        <v>1410</v>
      </c>
      <c r="F10" s="1369"/>
      <c r="G10" s="1854"/>
      <c r="H10" s="1294" t="s">
        <v>1039</v>
      </c>
      <c r="I10" s="1826" t="s">
        <v>1409</v>
      </c>
      <c r="J10" s="346">
        <f ca="1">ROUND(IF(M10="押一",J6/12*M11,IF(M10="押二",J6/12*2*M11,IF(M10="押三",J6/12*3*M11,J11*M11))),0)</f>
        <v>0</v>
      </c>
      <c r="K10" s="1827" t="s">
        <v>3027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3020</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3027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7" t="s">
        <v>1548</v>
      </c>
      <c r="L53" s="3198"/>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9" t="s">
        <v>1403</v>
      </c>
      <c r="C6" s="1299">
        <f ca="1">ROUND(F6*F8*F7*(1-F9),0)</f>
        <v>0</v>
      </c>
      <c r="D6" s="164" t="s">
        <v>3016</v>
      </c>
      <c r="E6" s="347" t="s">
        <v>1405</v>
      </c>
      <c r="F6" s="348">
        <f ca="1">INDIRECT("'数据-取费表'!u"&amp;$G$1)</f>
        <v>0</v>
      </c>
      <c r="G6" s="1854"/>
      <c r="H6" s="1294" t="s">
        <v>1035</v>
      </c>
      <c r="I6" s="3199" t="s">
        <v>1403</v>
      </c>
      <c r="J6" s="346">
        <f ca="1">ROUND(M6*M8*M7*(1-M9),0)</f>
        <v>0</v>
      </c>
      <c r="K6" s="1837" t="s">
        <v>3017</v>
      </c>
      <c r="L6" s="347" t="s">
        <v>1405</v>
      </c>
      <c r="M6" s="348">
        <f ca="1">INDIRECT("'数据-取费表'!z"&amp;$G$1)</f>
        <v>0</v>
      </c>
    </row>
    <row r="7" spans="1:37" ht="18" customHeight="1">
      <c r="A7" s="1298"/>
      <c r="B7" s="3200"/>
      <c r="C7" s="1300"/>
      <c r="D7" s="352"/>
      <c r="E7" s="1301" t="s">
        <v>1406</v>
      </c>
      <c r="F7" s="348">
        <f ca="1">IF(INDIRECT("'数据-取费表'!ah"&amp;$G$1)="",INDIRECT("'数据-取费表'!k"&amp;$G$1),INDIRECT("'数据-取费表'!ah"&amp;$G$1))</f>
        <v>0</v>
      </c>
      <c r="G7" s="1854"/>
      <c r="H7" s="349"/>
      <c r="I7" s="3200"/>
      <c r="J7" s="351"/>
      <c r="K7" s="352"/>
      <c r="L7" s="347" t="s">
        <v>1406</v>
      </c>
      <c r="M7" s="348">
        <f ca="1">F7</f>
        <v>0</v>
      </c>
    </row>
    <row r="8" spans="1:37" ht="18" customHeight="1">
      <c r="A8" s="349"/>
      <c r="B8" s="3200"/>
      <c r="C8" s="351"/>
      <c r="D8" s="352"/>
      <c r="E8" s="347" t="s">
        <v>1407</v>
      </c>
      <c r="F8" s="348">
        <f ca="1">INDIRECT("'数据-取费表'!ai"&amp;$G$1)</f>
        <v>0</v>
      </c>
      <c r="G8" s="1854"/>
      <c r="H8" s="349"/>
      <c r="I8" s="3200"/>
      <c r="J8" s="351"/>
      <c r="K8" s="352"/>
      <c r="L8" s="347" t="s">
        <v>1407</v>
      </c>
      <c r="M8" s="348">
        <f ca="1">INDIRECT("'数据-取费表'!ai"&amp;$G$1)</f>
        <v>0</v>
      </c>
    </row>
    <row r="9" spans="1:37" ht="18" customHeight="1">
      <c r="A9" s="349"/>
      <c r="B9" s="3201"/>
      <c r="C9" s="351"/>
      <c r="D9" s="352"/>
      <c r="E9" s="347" t="s">
        <v>1408</v>
      </c>
      <c r="F9" s="357">
        <f ca="1">INDIRECT("'数据-取费表'!w"&amp;$G$1)</f>
        <v>0</v>
      </c>
      <c r="G9" s="1854"/>
      <c r="H9" s="349"/>
      <c r="I9" s="320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3027</v>
      </c>
      <c r="E10" s="358" t="s">
        <v>1410</v>
      </c>
      <c r="F10" s="1369"/>
      <c r="G10" s="1854"/>
      <c r="H10" s="1294" t="s">
        <v>1039</v>
      </c>
      <c r="I10" s="1826" t="s">
        <v>1409</v>
      </c>
      <c r="J10" s="346">
        <f ca="1">ROUND(IF(M10="押一",J6/12*M11,IF(M10="押二",J6/12*2*M11,IF(M10="押三",J6/12*3*M11,J11*M11))),0)</f>
        <v>0</v>
      </c>
      <c r="K10" s="1838" t="s">
        <v>3029</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7" t="s">
        <v>1548</v>
      </c>
      <c r="L53" s="319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2512</v>
      </c>
      <c r="B1" s="2565"/>
      <c r="C1" s="2565"/>
      <c r="D1" s="2565"/>
      <c r="E1" s="2566"/>
    </row>
    <row r="2" spans="1:6" ht="15.75">
      <c r="A2" s="2567" t="s">
        <v>2316</v>
      </c>
      <c r="B2" s="2568">
        <f ca="1">SUMIF(B6:B13,"&lt;&gt;#ref!",B6:B13)</f>
        <v>0</v>
      </c>
      <c r="C2" s="2569" t="s">
        <v>2505</v>
      </c>
      <c r="D2" s="2570" t="s">
        <v>2506</v>
      </c>
      <c r="E2" s="2571">
        <f>SUM(E6:E13)</f>
        <v>0</v>
      </c>
    </row>
    <row r="3" spans="1:6" ht="15.75">
      <c r="A3" s="2567" t="s">
        <v>1395</v>
      </c>
      <c r="B3" s="2568" t="e">
        <f ca="1">ROUND(B2*10000/E2,0)</f>
        <v>#DIV/0!</v>
      </c>
      <c r="C3" s="2569" t="s">
        <v>2513</v>
      </c>
      <c r="D3" s="2572"/>
      <c r="E3" s="2573"/>
    </row>
    <row r="4" spans="1:6" ht="15.75">
      <c r="A4" s="2574"/>
      <c r="B4" s="2572"/>
      <c r="C4" s="2572"/>
      <c r="D4" s="2572"/>
      <c r="E4" s="2573"/>
    </row>
    <row r="5" spans="1:6" ht="15">
      <c r="A5" s="2575" t="s">
        <v>2507</v>
      </c>
      <c r="B5" s="3202" t="s">
        <v>2508</v>
      </c>
      <c r="C5" s="3202"/>
      <c r="D5" s="2576"/>
      <c r="E5" s="2577" t="s">
        <v>2509</v>
      </c>
      <c r="F5" s="2578" t="s">
        <v>2510</v>
      </c>
    </row>
    <row r="6" spans="1:6">
      <c r="A6" s="2579">
        <f>'数据-取费表'!AN6</f>
        <v>0</v>
      </c>
      <c r="B6" s="2578" t="e">
        <f ca="1">IF(F6="是",'数据-取费表'!AO6,0)</f>
        <v>#REF!</v>
      </c>
      <c r="C6" s="2569" t="s">
        <v>2505</v>
      </c>
      <c r="D6" s="2572"/>
      <c r="E6" s="2580">
        <f>IF(OR(A6=0,F6="否"),0,'数据-取费表'!K6+'数据-取费表'!S6)</f>
        <v>0</v>
      </c>
      <c r="F6" s="2581" t="s">
        <v>2511</v>
      </c>
    </row>
    <row r="7" spans="1:6">
      <c r="A7" s="2579">
        <f>'数据-取费表'!AN7</f>
        <v>0</v>
      </c>
      <c r="B7" s="2578" t="e">
        <f ca="1">IF(F7="是",'数据-取费表'!AO7,0)</f>
        <v>#REF!</v>
      </c>
      <c r="C7" s="2569" t="s">
        <v>2505</v>
      </c>
      <c r="D7" s="2572"/>
      <c r="E7" s="2580">
        <f>IF(OR(A7=0,F7="否"),0,'数据-取费表'!K7+'数据-取费表'!S7)</f>
        <v>0</v>
      </c>
      <c r="F7" s="2581" t="s">
        <v>2511</v>
      </c>
    </row>
    <row r="8" spans="1:6">
      <c r="A8" s="2579">
        <f>'数据-取费表'!AN8</f>
        <v>0</v>
      </c>
      <c r="B8" s="2578" t="e">
        <f ca="1">IF(F8="是",'数据-取费表'!AO8,0)</f>
        <v>#REF!</v>
      </c>
      <c r="C8" s="2569" t="s">
        <v>2505</v>
      </c>
      <c r="D8" s="2572"/>
      <c r="E8" s="2580">
        <f>IF(OR(A8=0,F8="否"),0,'数据-取费表'!K8+'数据-取费表'!S8)</f>
        <v>0</v>
      </c>
      <c r="F8" s="2581" t="s">
        <v>2511</v>
      </c>
    </row>
    <row r="9" spans="1:6">
      <c r="A9" s="2579">
        <f>'数据-取费表'!AN9</f>
        <v>0</v>
      </c>
      <c r="B9" s="2578" t="e">
        <f ca="1">IF(F9="是",'数据-取费表'!AO9,0)</f>
        <v>#REF!</v>
      </c>
      <c r="C9" s="2569" t="s">
        <v>2505</v>
      </c>
      <c r="D9" s="2572"/>
      <c r="E9" s="2580">
        <f>IF(OR(A9=0,F9="否"),0,'数据-取费表'!K9+'数据-取费表'!S9)</f>
        <v>0</v>
      </c>
      <c r="F9" s="2581" t="s">
        <v>2511</v>
      </c>
    </row>
    <row r="10" spans="1:6">
      <c r="A10" s="2579">
        <f>'数据-取费表'!AN10</f>
        <v>0</v>
      </c>
      <c r="B10" s="2578" t="e">
        <f ca="1">IF(F10="是",'数据-取费表'!AO10,0)</f>
        <v>#REF!</v>
      </c>
      <c r="C10" s="2569" t="s">
        <v>2505</v>
      </c>
      <c r="D10" s="2572"/>
      <c r="E10" s="2580">
        <f>IF(OR(A10=0,F10="否"),0,'数据-取费表'!K10+'数据-取费表'!S10)</f>
        <v>0</v>
      </c>
      <c r="F10" s="2581" t="s">
        <v>2511</v>
      </c>
    </row>
    <row r="11" spans="1:6">
      <c r="A11" s="2579">
        <f>'数据-取费表'!AN11</f>
        <v>0</v>
      </c>
      <c r="B11" s="2578" t="e">
        <f ca="1">IF(F11="是",'数据-取费表'!AO11,0)</f>
        <v>#REF!</v>
      </c>
      <c r="C11" s="2569" t="s">
        <v>2505</v>
      </c>
      <c r="D11" s="2572"/>
      <c r="E11" s="2580">
        <f>IF(OR(A11=0,F11="否"),0,'数据-取费表'!K11+'数据-取费表'!S11)</f>
        <v>0</v>
      </c>
      <c r="F11" s="2581" t="s">
        <v>2511</v>
      </c>
    </row>
    <row r="12" spans="1:6">
      <c r="A12" s="2579">
        <f>'数据-取费表'!AN12</f>
        <v>0</v>
      </c>
      <c r="B12" s="2578" t="e">
        <f ca="1">IF(F12="是",'数据-取费表'!AO12,0)</f>
        <v>#REF!</v>
      </c>
      <c r="C12" s="2569" t="s">
        <v>2505</v>
      </c>
      <c r="D12" s="2572"/>
      <c r="E12" s="2580">
        <f>IF(OR(A12=0,F12="否"),0,'数据-取费表'!K12+'数据-取费表'!S12)</f>
        <v>0</v>
      </c>
      <c r="F12" s="2581" t="s">
        <v>2511</v>
      </c>
    </row>
    <row r="13" spans="1:6" ht="15" thickBot="1">
      <c r="A13" s="2582">
        <f>'数据-取费表'!AN13</f>
        <v>0</v>
      </c>
      <c r="B13" s="2578" t="e">
        <f ca="1">IF(F13="是",'数据-取费表'!AO13,0)</f>
        <v>#REF!</v>
      </c>
      <c r="C13" s="2583" t="s">
        <v>2505</v>
      </c>
      <c r="D13" s="2584"/>
      <c r="E13" s="2580">
        <f>IF(OR(A13=0,F13="否"),0,'数据-取费表'!K13+'数据-取费表'!S13)</f>
        <v>0</v>
      </c>
      <c r="F13" s="2581"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09" t="s">
        <v>1077</v>
      </c>
      <c r="B2" s="3210" t="s">
        <v>1078</v>
      </c>
      <c r="C2" s="3210"/>
      <c r="D2" s="1304" t="s">
        <v>1079</v>
      </c>
      <c r="E2" s="1304" t="s">
        <v>1080</v>
      </c>
      <c r="F2" s="1304" t="s">
        <v>1081</v>
      </c>
      <c r="G2" s="1304" t="s">
        <v>1082</v>
      </c>
      <c r="H2" s="1304" t="s">
        <v>1083</v>
      </c>
      <c r="I2" s="1305" t="s">
        <v>1084</v>
      </c>
    </row>
    <row r="3" spans="1:9">
      <c r="A3" s="3209"/>
      <c r="B3" s="3210" t="s">
        <v>1085</v>
      </c>
      <c r="C3" s="3210"/>
      <c r="D3" s="1306"/>
      <c r="E3" s="1304"/>
      <c r="F3" s="1307"/>
      <c r="G3" s="1307"/>
      <c r="H3" s="1308"/>
      <c r="I3" s="1309">
        <f>ROUND(D3*E3*F3*G3*H3/10000,0)</f>
        <v>0</v>
      </c>
    </row>
    <row r="4" spans="1:9">
      <c r="A4" s="3209"/>
      <c r="B4" s="3210" t="s">
        <v>1086</v>
      </c>
      <c r="C4" s="3210"/>
      <c r="D4" s="1306"/>
      <c r="E4" s="1304"/>
      <c r="F4" s="1307"/>
      <c r="G4" s="1307"/>
      <c r="H4" s="1308"/>
      <c r="I4" s="1309">
        <f t="shared" ref="I4:I9" si="0">ROUND(D4*E4*F4*G4*H4/10000,0)</f>
        <v>0</v>
      </c>
    </row>
    <row r="5" spans="1:9">
      <c r="A5" s="3209"/>
      <c r="B5" s="3210" t="s">
        <v>1087</v>
      </c>
      <c r="C5" s="3210"/>
      <c r="D5" s="1306"/>
      <c r="E5" s="1304"/>
      <c r="F5" s="1307"/>
      <c r="G5" s="1307"/>
      <c r="H5" s="1308"/>
      <c r="I5" s="1309">
        <f t="shared" si="0"/>
        <v>0</v>
      </c>
    </row>
    <row r="6" spans="1:9">
      <c r="A6" s="3209"/>
      <c r="B6" s="3210" t="s">
        <v>1088</v>
      </c>
      <c r="C6" s="3210"/>
      <c r="D6" s="1306"/>
      <c r="E6" s="1304"/>
      <c r="F6" s="1307"/>
      <c r="G6" s="1307"/>
      <c r="H6" s="1308"/>
      <c r="I6" s="1309">
        <f t="shared" si="0"/>
        <v>0</v>
      </c>
    </row>
    <row r="7" spans="1:9">
      <c r="A7" s="3209"/>
      <c r="B7" s="3210" t="s">
        <v>1089</v>
      </c>
      <c r="C7" s="3210"/>
      <c r="D7" s="1306"/>
      <c r="E7" s="1304"/>
      <c r="F7" s="1307"/>
      <c r="G7" s="1307"/>
      <c r="H7" s="1308"/>
      <c r="I7" s="1309">
        <f t="shared" si="0"/>
        <v>0</v>
      </c>
    </row>
    <row r="8" spans="1:9">
      <c r="A8" s="3209"/>
      <c r="B8" s="3210" t="s">
        <v>1090</v>
      </c>
      <c r="C8" s="3210"/>
      <c r="D8" s="1306"/>
      <c r="E8" s="1304"/>
      <c r="F8" s="1307"/>
      <c r="G8" s="1307"/>
      <c r="H8" s="1308"/>
      <c r="I8" s="1309">
        <f t="shared" si="0"/>
        <v>0</v>
      </c>
    </row>
    <row r="9" spans="1:9">
      <c r="A9" s="3209"/>
      <c r="B9" s="3210" t="s">
        <v>1091</v>
      </c>
      <c r="C9" s="3210"/>
      <c r="D9" s="1306"/>
      <c r="E9" s="1304"/>
      <c r="F9" s="1307"/>
      <c r="G9" s="1307"/>
      <c r="H9" s="1308"/>
      <c r="I9" s="1309">
        <f t="shared" si="0"/>
        <v>0</v>
      </c>
    </row>
    <row r="10" spans="1:9">
      <c r="A10" s="3209"/>
      <c r="B10" s="3211" t="s">
        <v>1092</v>
      </c>
      <c r="C10" s="3211"/>
      <c r="D10" s="1310"/>
      <c r="E10" s="1310" t="e">
        <f>ROUND(D1*10000/D10/H9,0)</f>
        <v>#DIV/0!</v>
      </c>
      <c r="F10" s="1311"/>
      <c r="G10" s="1311"/>
      <c r="H10" s="1312"/>
      <c r="I10" s="1313">
        <f>SUM(I3:I9)</f>
        <v>0</v>
      </c>
    </row>
    <row r="11" spans="1:9" ht="14.25">
      <c r="A11" s="3209" t="s">
        <v>1093</v>
      </c>
      <c r="B11" s="3210" t="s">
        <v>1094</v>
      </c>
      <c r="C11" s="3210"/>
      <c r="D11" s="1306" t="s">
        <v>1095</v>
      </c>
      <c r="E11" s="1306" t="s">
        <v>1096</v>
      </c>
      <c r="F11" s="1307" t="s">
        <v>1097</v>
      </c>
      <c r="G11" s="1307" t="s">
        <v>1083</v>
      </c>
      <c r="H11" s="1314" t="s">
        <v>1098</v>
      </c>
      <c r="I11" s="1305" t="s">
        <v>1084</v>
      </c>
    </row>
    <row r="12" spans="1:9">
      <c r="A12" s="3209"/>
      <c r="B12" s="3210" t="s">
        <v>1099</v>
      </c>
      <c r="C12" s="3210"/>
      <c r="D12" s="1306"/>
      <c r="E12" s="1306"/>
      <c r="F12" s="1307"/>
      <c r="G12" s="1308"/>
      <c r="H12" s="1315"/>
      <c r="I12" s="1305">
        <f>ROUND(D12*E12*F12*G12/10000,0)</f>
        <v>0</v>
      </c>
    </row>
    <row r="13" spans="1:9">
      <c r="A13" s="3209"/>
      <c r="B13" s="3210" t="s">
        <v>1100</v>
      </c>
      <c r="C13" s="3210"/>
      <c r="D13" s="1306"/>
      <c r="E13" s="1306"/>
      <c r="F13" s="1307"/>
      <c r="G13" s="1308"/>
      <c r="H13" s="1315"/>
      <c r="I13" s="1305">
        <f>ROUND(D13*E13*F13*G13/10000,0)</f>
        <v>0</v>
      </c>
    </row>
    <row r="14" spans="1:9">
      <c r="A14" s="3209"/>
      <c r="B14" s="3210" t="s">
        <v>1101</v>
      </c>
      <c r="C14" s="3210"/>
      <c r="D14" s="1306"/>
      <c r="E14" s="1306"/>
      <c r="F14" s="1307"/>
      <c r="G14" s="1308"/>
      <c r="H14" s="1315"/>
      <c r="I14" s="1305">
        <f>ROUND(D14*E14*F14*G14/10000,0)</f>
        <v>0</v>
      </c>
    </row>
    <row r="15" spans="1:9">
      <c r="A15" s="3209"/>
      <c r="B15" s="3211" t="s">
        <v>1092</v>
      </c>
      <c r="C15" s="3211"/>
      <c r="D15" s="1310"/>
      <c r="E15" s="1310">
        <f>SUM(E12:E14)</f>
        <v>0</v>
      </c>
      <c r="F15" s="1311"/>
      <c r="G15" s="1308"/>
      <c r="H15" s="1315"/>
      <c r="I15" s="1316">
        <f>SUM(I12:I14)</f>
        <v>0</v>
      </c>
    </row>
    <row r="16" spans="1:9" ht="24">
      <c r="A16" s="3209" t="s">
        <v>1102</v>
      </c>
      <c r="B16" s="3210" t="s">
        <v>1103</v>
      </c>
      <c r="C16" s="3210"/>
      <c r="D16" s="1306" t="s">
        <v>1079</v>
      </c>
      <c r="E16" s="1317" t="s">
        <v>1104</v>
      </c>
      <c r="F16" s="1307" t="s">
        <v>1105</v>
      </c>
      <c r="G16" s="1308" t="s">
        <v>1083</v>
      </c>
      <c r="H16" s="1314" t="s">
        <v>1098</v>
      </c>
      <c r="I16" s="1305" t="s">
        <v>1084</v>
      </c>
    </row>
    <row r="17" spans="1:9" ht="14.25">
      <c r="A17" s="3209"/>
      <c r="B17" s="3210" t="s">
        <v>1106</v>
      </c>
      <c r="C17" s="3210"/>
      <c r="D17" s="1306"/>
      <c r="E17" s="1306"/>
      <c r="F17" s="1307"/>
      <c r="G17" s="1308"/>
      <c r="H17" s="1318"/>
      <c r="I17" s="1319">
        <f>ROUND(D17*E17*F17*G17/10000,0)</f>
        <v>0</v>
      </c>
    </row>
    <row r="18" spans="1:9" ht="14.25">
      <c r="A18" s="3209"/>
      <c r="B18" s="3210" t="s">
        <v>1107</v>
      </c>
      <c r="C18" s="3210"/>
      <c r="D18" s="1306"/>
      <c r="E18" s="1306"/>
      <c r="F18" s="1307"/>
      <c r="G18" s="1308"/>
      <c r="H18" s="1318"/>
      <c r="I18" s="1319">
        <f>ROUND(D18*E18*F18*G18/10000,0)</f>
        <v>0</v>
      </c>
    </row>
    <row r="19" spans="1:9" ht="14.25">
      <c r="A19" s="3209"/>
      <c r="B19" s="3210" t="s">
        <v>1108</v>
      </c>
      <c r="C19" s="3210"/>
      <c r="D19" s="1306"/>
      <c r="E19" s="1306"/>
      <c r="F19" s="1307"/>
      <c r="G19" s="1308"/>
      <c r="H19" s="1318"/>
      <c r="I19" s="1319">
        <f>ROUND(D19*E19*F19*G19/10000,0)</f>
        <v>0</v>
      </c>
    </row>
    <row r="20" spans="1:9">
      <c r="A20" s="3209"/>
      <c r="B20" s="3211" t="s">
        <v>1092</v>
      </c>
      <c r="C20" s="3211"/>
      <c r="D20" s="1310">
        <f>SUM(D17:D19)</f>
        <v>0</v>
      </c>
      <c r="E20" s="1310"/>
      <c r="F20" s="1311"/>
      <c r="G20" s="1308"/>
      <c r="H20" s="1315"/>
      <c r="I20" s="1316">
        <f>SUM(I17:I19)</f>
        <v>0</v>
      </c>
    </row>
    <row r="21" spans="1:9">
      <c r="A21" s="3209" t="s">
        <v>1109</v>
      </c>
      <c r="B21" s="3212"/>
      <c r="C21" s="3212"/>
      <c r="D21" s="3212"/>
      <c r="E21" s="3212"/>
      <c r="F21" s="3212"/>
      <c r="G21" s="3212"/>
      <c r="H21" s="1768">
        <v>0.1</v>
      </c>
      <c r="I21" s="1313">
        <f>ROUND(I10*H21,0)</f>
        <v>0</v>
      </c>
    </row>
    <row r="22" spans="1:9" ht="14.25">
      <c r="A22" s="3213" t="s">
        <v>1110</v>
      </c>
      <c r="B22" s="3214"/>
      <c r="C22" s="3215"/>
      <c r="D22" s="1320" t="s">
        <v>1111</v>
      </c>
      <c r="E22" s="1320" t="s">
        <v>1112</v>
      </c>
      <c r="F22" s="1321" t="s">
        <v>1113</v>
      </c>
      <c r="G22" s="1321" t="s">
        <v>1114</v>
      </c>
      <c r="H22" s="1314" t="s">
        <v>1115</v>
      </c>
      <c r="I22" s="1305" t="s">
        <v>1116</v>
      </c>
    </row>
    <row r="23" spans="1:9" ht="14.25" thickBot="1">
      <c r="A23" s="3216"/>
      <c r="B23" s="3217"/>
      <c r="C23" s="3218"/>
      <c r="D23" s="1322"/>
      <c r="E23" s="1322"/>
      <c r="F23" s="1322"/>
      <c r="G23" s="1323"/>
      <c r="H23" s="1324"/>
      <c r="I23" s="1325">
        <f>ROUND(E23*D23*F23*(1-G23)/10000,0)</f>
        <v>0</v>
      </c>
    </row>
    <row r="26" spans="1:9">
      <c r="A26" s="1326" t="s">
        <v>1117</v>
      </c>
      <c r="B26" s="1326"/>
      <c r="C26" s="1326"/>
      <c r="D26" s="1326"/>
      <c r="E26" s="3206">
        <f>C27-C30-C31-C32</f>
        <v>0</v>
      </c>
      <c r="F26" s="3206"/>
      <c r="G26" s="3206"/>
      <c r="H26" s="1740" t="s">
        <v>1340</v>
      </c>
    </row>
    <row r="27" spans="1:9">
      <c r="A27" s="1327">
        <v>1</v>
      </c>
      <c r="B27" s="1328" t="s">
        <v>1118</v>
      </c>
      <c r="C27" s="1328">
        <f>C28+C29</f>
        <v>0</v>
      </c>
      <c r="D27" s="1328"/>
      <c r="E27" s="3207"/>
      <c r="F27" s="3207"/>
      <c r="G27" s="3207"/>
    </row>
    <row r="28" spans="1:9">
      <c r="A28" s="1329" t="s">
        <v>1119</v>
      </c>
      <c r="B28" s="1328" t="s">
        <v>1120</v>
      </c>
      <c r="C28" s="1328"/>
      <c r="D28" s="1328"/>
      <c r="E28" s="3207"/>
      <c r="F28" s="3207"/>
      <c r="G28" s="320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8"/>
      <c r="F32" s="3208"/>
      <c r="G32" s="3208"/>
    </row>
    <row r="33" spans="1:7" hidden="1">
      <c r="A33" s="3203" t="s">
        <v>1129</v>
      </c>
      <c r="B33" s="3204"/>
      <c r="C33" s="3204"/>
      <c r="D33" s="3205"/>
      <c r="E33" s="3206"/>
      <c r="F33" s="3206"/>
      <c r="G33" s="3206"/>
    </row>
    <row r="34" spans="1:7" hidden="1">
      <c r="A34" s="1331">
        <v>1</v>
      </c>
      <c r="B34" s="1328" t="s">
        <v>1130</v>
      </c>
      <c r="C34" s="1328"/>
      <c r="D34" s="1328"/>
      <c r="E34" s="3207"/>
      <c r="F34" s="3207"/>
      <c r="G34" s="3207"/>
    </row>
    <row r="35" spans="1:7" hidden="1">
      <c r="A35" s="1331">
        <v>2</v>
      </c>
      <c r="B35" s="1328" t="s">
        <v>1131</v>
      </c>
      <c r="C35" s="1328"/>
      <c r="D35" s="1328"/>
      <c r="E35" s="3207"/>
      <c r="F35" s="3207"/>
      <c r="G35" s="3207"/>
    </row>
    <row r="36" spans="1:7" hidden="1">
      <c r="A36" s="1331">
        <v>3</v>
      </c>
      <c r="B36" s="1328" t="s">
        <v>1132</v>
      </c>
      <c r="C36" s="1328"/>
      <c r="D36" s="1328"/>
      <c r="E36" s="3207"/>
      <c r="F36" s="3207"/>
      <c r="G36" s="3207"/>
    </row>
    <row r="37" spans="1:7" hidden="1">
      <c r="A37" s="1331">
        <v>4</v>
      </c>
      <c r="B37" s="1328" t="s">
        <v>1133</v>
      </c>
      <c r="C37" s="1328"/>
      <c r="D37" s="1328"/>
      <c r="E37" s="3207"/>
      <c r="F37" s="3207"/>
      <c r="G37" s="3207"/>
    </row>
    <row r="38" spans="1:7" hidden="1">
      <c r="A38" s="3203" t="s">
        <v>1134</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K47" sqref="K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2514</v>
      </c>
      <c r="B1" s="2585" t="s">
        <v>2515</v>
      </c>
      <c r="C1" s="1637" t="s">
        <v>2516</v>
      </c>
      <c r="D1" s="1624" t="s">
        <v>3258</v>
      </c>
      <c r="E1" s="2586"/>
      <c r="F1" s="2587" t="s">
        <v>2517</v>
      </c>
      <c r="G1" s="1634" t="s">
        <v>2518</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334426</v>
      </c>
      <c r="C2" s="2589" t="s">
        <v>70</v>
      </c>
      <c r="D2" s="1368" t="e">
        <f ca="1">SUMIF(INDIRECT("'"&amp;F2&amp;"'"&amp;"!A:A"),"承租人权益价值",INDIRECT("'"&amp;F2&amp;"'"&amp;"!c:c"))</f>
        <v>#REF!</v>
      </c>
      <c r="E2" s="2590" t="s">
        <v>2519</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f>IF(C2="——",C49,ROUND(B2*10000/D3,0))</f>
        <v>63739</v>
      </c>
      <c r="C3" s="400" t="s">
        <v>2520</v>
      </c>
      <c r="D3" s="399">
        <f>IF(D1="",'数据-汇总表'!E3,SUMIF('数据-汇总表'!$C19:$C33,D1,'数据-汇总表'!$E19:$E33))</f>
        <v>52468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2521</v>
      </c>
      <c r="B4" s="402"/>
      <c r="C4" s="3154" t="s">
        <v>2522</v>
      </c>
      <c r="D4" s="3167"/>
      <c r="E4" s="3168" t="s">
        <v>2523</v>
      </c>
      <c r="F4" s="3169"/>
      <c r="G4" s="3154" t="s">
        <v>2524</v>
      </c>
      <c r="H4" s="3167"/>
      <c r="I4" s="3154" t="s">
        <v>2525</v>
      </c>
      <c r="J4" s="3167"/>
      <c r="K4" s="2599" t="s">
        <v>2526</v>
      </c>
      <c r="L4" s="1133"/>
      <c r="M4" s="1134"/>
      <c r="N4" s="1134"/>
      <c r="O4" s="1134"/>
      <c r="P4" s="3170" t="s">
        <v>2527</v>
      </c>
      <c r="Q4" s="3171"/>
      <c r="R4" s="3176" t="s">
        <v>2523</v>
      </c>
      <c r="S4" s="3177"/>
      <c r="T4" s="3176" t="s">
        <v>2524</v>
      </c>
      <c r="U4" s="3177"/>
      <c r="V4" s="3163" t="s">
        <v>2525</v>
      </c>
      <c r="W4" s="3163"/>
      <c r="X4" s="1816"/>
      <c r="Y4" s="3176" t="s">
        <v>2527</v>
      </c>
      <c r="Z4" s="3177"/>
      <c r="AA4" s="3164" t="s">
        <v>2523</v>
      </c>
      <c r="AB4" s="3164" t="s">
        <v>2524</v>
      </c>
      <c r="AC4" s="3164" t="s">
        <v>2525</v>
      </c>
    </row>
    <row r="5" spans="1:29" ht="15">
      <c r="A5" s="404"/>
      <c r="B5" s="405"/>
      <c r="C5" s="3232" t="s">
        <v>3291</v>
      </c>
      <c r="D5" s="3185"/>
      <c r="E5" s="3233" t="s">
        <v>3292</v>
      </c>
      <c r="F5" s="3193"/>
      <c r="G5" s="3232" t="s">
        <v>3313</v>
      </c>
      <c r="H5" s="3185"/>
      <c r="I5" s="3232" t="s">
        <v>3314</v>
      </c>
      <c r="J5" s="3185"/>
      <c r="K5" s="2600"/>
      <c r="L5" s="1133"/>
      <c r="M5" s="1134"/>
      <c r="N5" s="1134"/>
      <c r="O5" s="1134"/>
      <c r="P5" s="3172"/>
      <c r="Q5" s="3173"/>
      <c r="R5" s="3178"/>
      <c r="S5" s="3179"/>
      <c r="T5" s="3178"/>
      <c r="U5" s="3179"/>
      <c r="V5" s="3163"/>
      <c r="W5" s="3163"/>
      <c r="X5" s="1816"/>
      <c r="Y5" s="3178"/>
      <c r="Z5" s="3179"/>
      <c r="AA5" s="3165"/>
      <c r="AB5" s="3165"/>
      <c r="AC5" s="3165"/>
    </row>
    <row r="6" spans="1:29" ht="15.75" thickBot="1">
      <c r="A6" s="406"/>
      <c r="B6" s="407"/>
      <c r="C6" s="3182" t="s">
        <v>2532</v>
      </c>
      <c r="D6" s="3183"/>
      <c r="E6" s="3190" t="s">
        <v>2532</v>
      </c>
      <c r="F6" s="3191"/>
      <c r="G6" s="3182" t="s">
        <v>2532</v>
      </c>
      <c r="H6" s="3183"/>
      <c r="I6" s="3182" t="s">
        <v>2532</v>
      </c>
      <c r="J6" s="3183"/>
      <c r="K6" s="2600" t="s">
        <v>2533</v>
      </c>
      <c r="L6" s="1133"/>
      <c r="M6" s="1134"/>
      <c r="N6" s="1134"/>
      <c r="O6" s="1134"/>
      <c r="P6" s="3174"/>
      <c r="Q6" s="3175"/>
      <c r="R6" s="3178"/>
      <c r="S6" s="3179"/>
      <c r="T6" s="3180"/>
      <c r="U6" s="3181"/>
      <c r="V6" s="3163"/>
      <c r="W6" s="3163"/>
      <c r="X6" s="1816"/>
      <c r="Y6" s="3180"/>
      <c r="Z6" s="3181"/>
      <c r="AA6" s="3166"/>
      <c r="AB6" s="3166"/>
      <c r="AC6" s="3166"/>
    </row>
    <row r="7" spans="1:29" s="117" customFormat="1" ht="15.75" thickBot="1">
      <c r="A7" s="408" t="s">
        <v>2534</v>
      </c>
      <c r="B7" s="409"/>
      <c r="C7" s="410">
        <f>'数据-取费表'!B2</f>
        <v>43381</v>
      </c>
      <c r="D7" s="411">
        <v>100</v>
      </c>
      <c r="E7" s="412">
        <v>43381</v>
      </c>
      <c r="F7" s="413">
        <f>SUMIF(58:58,YEAR(E7)&amp;"-"&amp;MONTH(E7),59:59)</f>
        <v>100</v>
      </c>
      <c r="G7" s="412">
        <v>43370</v>
      </c>
      <c r="H7" s="411">
        <f>SUMIF(58:58,YEAR(G7)&amp;"-"&amp;MONTH(G7),59:59)</f>
        <v>99.5</v>
      </c>
      <c r="I7" s="412">
        <v>43370</v>
      </c>
      <c r="J7" s="411">
        <f>SUMIF(58:58,YEAR(I7)&amp;"-"&amp;MONTH(I7),59:59)</f>
        <v>99.5</v>
      </c>
      <c r="K7" s="2601"/>
      <c r="L7" s="1135"/>
      <c r="M7" s="1136"/>
      <c r="N7" s="1136"/>
      <c r="O7" s="1136"/>
      <c r="P7" s="3186" t="s">
        <v>2535</v>
      </c>
      <c r="Q7" s="3188"/>
      <c r="R7" s="770" t="s">
        <v>23</v>
      </c>
      <c r="S7" s="771">
        <f t="shared" ref="S7:S15" si="0">F7</f>
        <v>100</v>
      </c>
      <c r="T7" s="770" t="s">
        <v>23</v>
      </c>
      <c r="U7" s="771">
        <f t="shared" ref="U7:U15" si="1">H7</f>
        <v>99.5</v>
      </c>
      <c r="V7" s="770" t="s">
        <v>23</v>
      </c>
      <c r="W7" s="771">
        <f t="shared" ref="W7:W15" si="2">J7</f>
        <v>99.5</v>
      </c>
      <c r="X7" s="772"/>
      <c r="Y7" s="3186" t="s">
        <v>2535</v>
      </c>
      <c r="Z7" s="3187"/>
      <c r="AA7" s="773">
        <f>D7/F7</f>
        <v>1</v>
      </c>
      <c r="AB7" s="773">
        <f>D7/H7</f>
        <v>1.0050251256281406</v>
      </c>
      <c r="AC7" s="773">
        <f>D7/J7</f>
        <v>1.0050251256281406</v>
      </c>
    </row>
    <row r="8" spans="1:29" s="117" customFormat="1" ht="15.75" thickBot="1">
      <c r="A8" s="408" t="s">
        <v>2536</v>
      </c>
      <c r="B8" s="409"/>
      <c r="C8" s="414" t="s">
        <v>2537</v>
      </c>
      <c r="D8" s="411">
        <v>100</v>
      </c>
      <c r="E8" s="414" t="s">
        <v>2537</v>
      </c>
      <c r="F8" s="413">
        <f>SUMIF(61:61,E8,62:62)-SUMIF(61:61,C8,62:62)+100</f>
        <v>100</v>
      </c>
      <c r="G8" s="414" t="s">
        <v>2537</v>
      </c>
      <c r="H8" s="411">
        <f>SUMIF(61:61,G8,62:62)-SUMIF(61:61,C8,62:62)+100</f>
        <v>100</v>
      </c>
      <c r="I8" s="414" t="s">
        <v>2537</v>
      </c>
      <c r="J8" s="411">
        <f>SUMIF(61:61,I8,62:62)-SUMIF(61:61,C8,62:62)+100</f>
        <v>100</v>
      </c>
      <c r="K8" s="2601"/>
      <c r="L8" s="1135"/>
      <c r="M8" s="1136"/>
      <c r="N8" s="1136"/>
      <c r="O8" s="1136"/>
      <c r="P8" s="3186" t="s">
        <v>2538</v>
      </c>
      <c r="Q8" s="3187"/>
      <c r="R8" s="770" t="s">
        <v>23</v>
      </c>
      <c r="S8" s="771">
        <f t="shared" si="0"/>
        <v>100</v>
      </c>
      <c r="T8" s="770" t="s">
        <v>23</v>
      </c>
      <c r="U8" s="771">
        <f t="shared" si="1"/>
        <v>100</v>
      </c>
      <c r="V8" s="770" t="s">
        <v>23</v>
      </c>
      <c r="W8" s="771">
        <f t="shared" si="2"/>
        <v>100</v>
      </c>
      <c r="X8" s="772"/>
      <c r="Y8" s="3186" t="s">
        <v>2538</v>
      </c>
      <c r="Z8" s="3187"/>
      <c r="AA8" s="773">
        <f t="shared" ref="AA8:AA19" si="3">D8/F8</f>
        <v>1</v>
      </c>
      <c r="AB8" s="773">
        <f t="shared" ref="AB8:AB19" si="4">D8/H8</f>
        <v>1</v>
      </c>
      <c r="AC8" s="773">
        <f t="shared" ref="AC8:AC19" si="5">D8/J8</f>
        <v>1</v>
      </c>
    </row>
    <row r="9" spans="1:29" s="117" customFormat="1">
      <c r="A9" s="415" t="s">
        <v>2539</v>
      </c>
      <c r="B9" s="71" t="s">
        <v>2540</v>
      </c>
      <c r="C9" s="2961" t="s">
        <v>3293</v>
      </c>
      <c r="D9" s="135">
        <v>100</v>
      </c>
      <c r="E9" s="417" t="s">
        <v>3252</v>
      </c>
      <c r="F9" s="418">
        <f>SUMIF(63:63,E9,64:64)-SUMIF(63:63,C9,64:64)+100</f>
        <v>100</v>
      </c>
      <c r="G9" s="417" t="s">
        <v>3252</v>
      </c>
      <c r="H9" s="135">
        <f>SUMIF(63:63,G9,64:64)-SUMIF(63:63,C9,64:64)+100</f>
        <v>100</v>
      </c>
      <c r="I9" s="417" t="s">
        <v>3252</v>
      </c>
      <c r="J9" s="135">
        <f>SUMIF(63:63,I9,64:64)-SUMIF(63:63,C9,64:64)+100</f>
        <v>100</v>
      </c>
      <c r="K9" s="2601"/>
      <c r="L9" s="1135"/>
      <c r="M9" s="1136"/>
      <c r="N9" s="1136"/>
      <c r="O9" s="1136"/>
      <c r="P9" s="3156" t="s">
        <v>2541</v>
      </c>
      <c r="Q9" s="1798" t="str">
        <f t="shared" ref="Q9:Q15" si="6">B9</f>
        <v>用途</v>
      </c>
      <c r="R9" s="770" t="s">
        <v>17</v>
      </c>
      <c r="S9" s="771">
        <f t="shared" si="0"/>
        <v>100</v>
      </c>
      <c r="T9" s="770" t="s">
        <v>17</v>
      </c>
      <c r="U9" s="771">
        <f t="shared" si="1"/>
        <v>100</v>
      </c>
      <c r="V9" s="770" t="s">
        <v>17</v>
      </c>
      <c r="W9" s="771">
        <f t="shared" si="2"/>
        <v>100</v>
      </c>
      <c r="X9" s="772"/>
      <c r="Y9" s="3008" t="s">
        <v>2542</v>
      </c>
      <c r="Z9" s="55" t="str">
        <f t="shared" ref="Z9:Z15" si="7">Q9</f>
        <v>用途</v>
      </c>
      <c r="AA9" s="773">
        <f t="shared" si="3"/>
        <v>1</v>
      </c>
      <c r="AB9" s="773">
        <f t="shared" si="4"/>
        <v>1</v>
      </c>
      <c r="AC9" s="773">
        <f t="shared" si="5"/>
        <v>1</v>
      </c>
    </row>
    <row r="10" spans="1:29" s="427" customFormat="1" ht="27.75" thickBot="1">
      <c r="A10" s="421"/>
      <c r="B10" s="422" t="s">
        <v>2543</v>
      </c>
      <c r="C10" s="423" t="s">
        <v>3294</v>
      </c>
      <c r="D10" s="136">
        <v>100</v>
      </c>
      <c r="E10" s="423" t="s">
        <v>3294</v>
      </c>
      <c r="F10" s="425">
        <f>SUMIF(65:65,E10,66:66)-SUMIF(65:65,C10,66:66)+100</f>
        <v>100</v>
      </c>
      <c r="G10" s="423" t="s">
        <v>3294</v>
      </c>
      <c r="H10" s="136">
        <f>SUMIF(65:65,G10,66:66)-SUMIF(65:65,C10,66:66)+100</f>
        <v>100</v>
      </c>
      <c r="I10" s="423" t="s">
        <v>3294</v>
      </c>
      <c r="J10" s="136">
        <f>SUMIF(65:65,I10,66:66)-SUMIF(65:65,C10,66:66)+100</f>
        <v>100</v>
      </c>
      <c r="K10" s="426">
        <v>2</v>
      </c>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75" hidden="1" thickBot="1">
      <c r="A11" s="428"/>
      <c r="B11" s="422" t="s">
        <v>2544</v>
      </c>
      <c r="C11" s="429">
        <f>'数据-汇总表'!I6</f>
        <v>1.2</v>
      </c>
      <c r="D11" s="136">
        <v>100</v>
      </c>
      <c r="E11" s="429">
        <f>'数据-汇总表'!K6</f>
        <v>0</v>
      </c>
      <c r="F11" s="425">
        <f>LOOKUP(E11,68:68,69:69)-LOOKUP(C11,68:68,69:69)+100</f>
        <v>100</v>
      </c>
      <c r="G11" s="429">
        <f>'数据-汇总表'!M6</f>
        <v>0</v>
      </c>
      <c r="H11" s="136">
        <f>LOOKUP(G11,68:68,69:69)-LOOKUP(C11,68:68,69:69)+100</f>
        <v>100</v>
      </c>
      <c r="I11" s="429">
        <f>'数据-汇总表'!O6</f>
        <v>0</v>
      </c>
      <c r="J11" s="136">
        <f>LOOKUP(I11,68:68,69:69)-LOOKUP(C11,68:68,69:69)+100</f>
        <v>100</v>
      </c>
      <c r="K11" s="426"/>
      <c r="L11" s="1141"/>
      <c r="M11" s="1134"/>
      <c r="N11" s="1134"/>
      <c r="O11" s="1134"/>
      <c r="P11" s="3156"/>
      <c r="Q11" s="1798" t="str">
        <f t="shared" si="6"/>
        <v>容积率</v>
      </c>
      <c r="R11" s="770" t="s">
        <v>21</v>
      </c>
      <c r="S11" s="771">
        <f t="shared" si="0"/>
        <v>100</v>
      </c>
      <c r="T11" s="770" t="s">
        <v>21</v>
      </c>
      <c r="U11" s="771">
        <f t="shared" si="1"/>
        <v>100</v>
      </c>
      <c r="V11" s="770" t="s">
        <v>21</v>
      </c>
      <c r="W11" s="771">
        <f t="shared" si="2"/>
        <v>100</v>
      </c>
      <c r="X11" s="772"/>
      <c r="Y11" s="3008"/>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56"/>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56"/>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56"/>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15">
      <c r="A15" s="440" t="s">
        <v>2545</v>
      </c>
      <c r="B15" s="69" t="s">
        <v>2082</v>
      </c>
      <c r="C15" s="2605"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30" t="s">
        <v>2546</v>
      </c>
      <c r="Q15" s="1813" t="str">
        <f t="shared" si="6"/>
        <v>居住社区成熟度</v>
      </c>
      <c r="R15" s="774" t="s">
        <v>21</v>
      </c>
      <c r="S15" s="775">
        <f t="shared" si="0"/>
        <v>100</v>
      </c>
      <c r="T15" s="774" t="s">
        <v>21</v>
      </c>
      <c r="U15" s="775">
        <f t="shared" si="1"/>
        <v>100</v>
      </c>
      <c r="V15" s="774" t="s">
        <v>21</v>
      </c>
      <c r="W15" s="775">
        <f t="shared" si="2"/>
        <v>100</v>
      </c>
      <c r="X15" s="1816"/>
      <c r="Y15" s="3159" t="s">
        <v>2546</v>
      </c>
      <c r="Z15" s="1817" t="str">
        <f t="shared" si="7"/>
        <v>居住社区成熟度</v>
      </c>
      <c r="AA15" s="1814">
        <f t="shared" si="3"/>
        <v>1</v>
      </c>
      <c r="AB15" s="1814">
        <f t="shared" si="4"/>
        <v>1</v>
      </c>
      <c r="AC15" s="1814">
        <f t="shared" si="5"/>
        <v>1</v>
      </c>
    </row>
    <row r="16" spans="1:29" ht="15">
      <c r="A16" s="428"/>
      <c r="B16" s="446"/>
      <c r="C16" s="447" t="s">
        <v>3261</v>
      </c>
      <c r="D16" s="448"/>
      <c r="E16" s="447" t="s">
        <v>3261</v>
      </c>
      <c r="F16" s="448"/>
      <c r="G16" s="447" t="s">
        <v>3261</v>
      </c>
      <c r="H16" s="450"/>
      <c r="I16" s="447" t="s">
        <v>3261</v>
      </c>
      <c r="J16" s="448"/>
      <c r="K16" s="2608"/>
      <c r="L16" s="1143"/>
      <c r="M16" s="1134"/>
      <c r="N16" s="1134"/>
      <c r="O16" s="1134"/>
      <c r="P16" s="3231"/>
      <c r="Q16" s="1813"/>
      <c r="R16" s="774"/>
      <c r="S16" s="775"/>
      <c r="T16" s="774"/>
      <c r="U16" s="775"/>
      <c r="V16" s="774"/>
      <c r="W16" s="775"/>
      <c r="X16" s="1816"/>
      <c r="Y16" s="3160"/>
      <c r="Z16" s="1817"/>
      <c r="AA16" s="1814">
        <v>1</v>
      </c>
      <c r="AB16" s="1814">
        <v>1</v>
      </c>
      <c r="AC16" s="1814">
        <v>1</v>
      </c>
    </row>
    <row r="17" spans="1:29" ht="15">
      <c r="A17" s="428"/>
      <c r="B17" s="451" t="s">
        <v>2088</v>
      </c>
      <c r="C17" s="2609"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31"/>
      <c r="Q17" s="1813" t="str">
        <f>B17</f>
        <v>交通便捷度</v>
      </c>
      <c r="R17" s="774" t="s">
        <v>21</v>
      </c>
      <c r="S17" s="775">
        <f>F17</f>
        <v>100</v>
      </c>
      <c r="T17" s="774" t="s">
        <v>21</v>
      </c>
      <c r="U17" s="775">
        <f>H17</f>
        <v>100</v>
      </c>
      <c r="V17" s="774" t="s">
        <v>21</v>
      </c>
      <c r="W17" s="775">
        <f>J17</f>
        <v>100</v>
      </c>
      <c r="X17" s="1816"/>
      <c r="Y17" s="3160"/>
      <c r="Z17" s="1817" t="str">
        <f>Q17</f>
        <v>交通便捷度</v>
      </c>
      <c r="AA17" s="1814">
        <f t="shared" si="3"/>
        <v>1</v>
      </c>
      <c r="AB17" s="1814">
        <f t="shared" si="4"/>
        <v>1</v>
      </c>
      <c r="AC17" s="1814">
        <f t="shared" si="5"/>
        <v>1</v>
      </c>
    </row>
    <row r="18" spans="1:29" ht="15">
      <c r="A18" s="428"/>
      <c r="B18" s="456"/>
      <c r="C18" s="2610" t="s">
        <v>3263</v>
      </c>
      <c r="D18" s="450"/>
      <c r="E18" s="2610" t="s">
        <v>3263</v>
      </c>
      <c r="F18" s="450"/>
      <c r="G18" s="2610" t="s">
        <v>3263</v>
      </c>
      <c r="H18" s="448"/>
      <c r="I18" s="2610" t="s">
        <v>3263</v>
      </c>
      <c r="J18" s="448"/>
      <c r="K18" s="2608"/>
      <c r="L18" s="1143"/>
      <c r="M18" s="1134"/>
      <c r="N18" s="1134"/>
      <c r="O18" s="1134"/>
      <c r="P18" s="3231"/>
      <c r="Q18" s="1813"/>
      <c r="R18" s="774"/>
      <c r="S18" s="775"/>
      <c r="T18" s="774"/>
      <c r="U18" s="775"/>
      <c r="V18" s="774"/>
      <c r="W18" s="775"/>
      <c r="X18" s="1816"/>
      <c r="Y18" s="3160"/>
      <c r="Z18" s="1817"/>
      <c r="AA18" s="1814">
        <v>1</v>
      </c>
      <c r="AB18" s="1814">
        <v>1</v>
      </c>
      <c r="AC18" s="1814">
        <v>1</v>
      </c>
    </row>
    <row r="19" spans="1:29" ht="15">
      <c r="A19" s="428"/>
      <c r="B19" s="451" t="s">
        <v>2087</v>
      </c>
      <c r="C19" s="2609"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31"/>
      <c r="Q19" s="1813" t="str">
        <f>B19</f>
        <v>公共配套设施</v>
      </c>
      <c r="R19" s="774" t="s">
        <v>21</v>
      </c>
      <c r="S19" s="775">
        <f>F19</f>
        <v>100</v>
      </c>
      <c r="T19" s="774" t="s">
        <v>21</v>
      </c>
      <c r="U19" s="775">
        <f>H19</f>
        <v>100</v>
      </c>
      <c r="V19" s="774" t="s">
        <v>21</v>
      </c>
      <c r="W19" s="775">
        <f>J19</f>
        <v>100</v>
      </c>
      <c r="X19" s="1816"/>
      <c r="Y19" s="3160"/>
      <c r="Z19" s="1817" t="str">
        <f>Q19</f>
        <v>公共配套设施</v>
      </c>
      <c r="AA19" s="1814">
        <f t="shared" si="3"/>
        <v>1</v>
      </c>
      <c r="AB19" s="1814">
        <f t="shared" si="4"/>
        <v>1</v>
      </c>
      <c r="AC19" s="1814">
        <f t="shared" si="5"/>
        <v>1</v>
      </c>
    </row>
    <row r="20" spans="1:29" ht="15">
      <c r="A20" s="428"/>
      <c r="B20" s="456"/>
      <c r="C20" s="447" t="s">
        <v>3261</v>
      </c>
      <c r="D20" s="448"/>
      <c r="E20" s="447" t="s">
        <v>3261</v>
      </c>
      <c r="F20" s="448"/>
      <c r="G20" s="447" t="s">
        <v>3261</v>
      </c>
      <c r="H20" s="448"/>
      <c r="I20" s="447" t="s">
        <v>3261</v>
      </c>
      <c r="J20" s="448"/>
      <c r="K20" s="2608"/>
      <c r="L20" s="1143"/>
      <c r="M20" s="1134"/>
      <c r="N20" s="1134"/>
      <c r="O20" s="1134"/>
      <c r="P20" s="3231"/>
      <c r="Q20" s="1813"/>
      <c r="R20" s="774"/>
      <c r="S20" s="775"/>
      <c r="T20" s="774"/>
      <c r="U20" s="775"/>
      <c r="V20" s="774"/>
      <c r="W20" s="775"/>
      <c r="X20" s="1816"/>
      <c r="Y20" s="3160"/>
      <c r="Z20" s="1817"/>
      <c r="AA20" s="1814">
        <v>1</v>
      </c>
      <c r="AB20" s="1814">
        <v>1</v>
      </c>
      <c r="AC20" s="1814">
        <v>1</v>
      </c>
    </row>
    <row r="21" spans="1:29" ht="15">
      <c r="A21" s="428"/>
      <c r="B21" s="1387" t="s">
        <v>2089</v>
      </c>
      <c r="C21" s="260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31"/>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0" t="s">
        <v>3266</v>
      </c>
      <c r="D22" s="448"/>
      <c r="E22" s="2610" t="s">
        <v>3266</v>
      </c>
      <c r="F22" s="448"/>
      <c r="G22" s="2610" t="s">
        <v>3266</v>
      </c>
      <c r="H22" s="448"/>
      <c r="I22" s="2610" t="s">
        <v>3266</v>
      </c>
      <c r="J22" s="448"/>
      <c r="K22" s="2614"/>
      <c r="L22" s="1143"/>
      <c r="M22" s="1134"/>
      <c r="N22" s="1134"/>
      <c r="O22" s="1134"/>
      <c r="P22" s="3231"/>
      <c r="Q22" s="1813"/>
      <c r="R22" s="774"/>
      <c r="S22" s="775"/>
      <c r="T22" s="774"/>
      <c r="U22" s="775"/>
      <c r="V22" s="774"/>
      <c r="W22" s="775"/>
      <c r="X22" s="1816"/>
      <c r="Y22" s="3160"/>
      <c r="Z22" s="1817"/>
      <c r="AA22" s="1814">
        <v>1</v>
      </c>
      <c r="AB22" s="1814">
        <v>1</v>
      </c>
      <c r="AC22" s="1814">
        <v>1</v>
      </c>
    </row>
    <row r="23" spans="1:29" ht="15">
      <c r="A23" s="428"/>
      <c r="B23" s="451" t="s">
        <v>2091</v>
      </c>
      <c r="C23" s="2609"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31"/>
      <c r="Q23" s="1813" t="str">
        <f>B23</f>
        <v>自然及人文环境</v>
      </c>
      <c r="R23" s="774" t="s">
        <v>21</v>
      </c>
      <c r="S23" s="775">
        <f>F23</f>
        <v>100</v>
      </c>
      <c r="T23" s="774" t="s">
        <v>21</v>
      </c>
      <c r="U23" s="775">
        <f>H23</f>
        <v>100</v>
      </c>
      <c r="V23" s="774" t="s">
        <v>21</v>
      </c>
      <c r="W23" s="775">
        <f>J23</f>
        <v>100</v>
      </c>
      <c r="X23" s="1816"/>
      <c r="Y23" s="3160"/>
      <c r="Z23" s="1817" t="str">
        <f>Q23</f>
        <v>自然及人文环境</v>
      </c>
      <c r="AA23" s="1814">
        <f>D23/F23</f>
        <v>1</v>
      </c>
      <c r="AB23" s="1814">
        <f>D23/H23</f>
        <v>1</v>
      </c>
      <c r="AC23" s="1814">
        <f>D23/J23</f>
        <v>1</v>
      </c>
    </row>
    <row r="24" spans="1:29" ht="15.75" thickBot="1">
      <c r="A24" s="428"/>
      <c r="B24" s="456"/>
      <c r="C24" s="447" t="s">
        <v>3261</v>
      </c>
      <c r="D24" s="448"/>
      <c r="E24" s="447" t="s">
        <v>3261</v>
      </c>
      <c r="F24" s="448"/>
      <c r="G24" s="447" t="s">
        <v>3261</v>
      </c>
      <c r="H24" s="448"/>
      <c r="I24" s="447" t="s">
        <v>3261</v>
      </c>
      <c r="J24" s="448"/>
      <c r="K24" s="2608"/>
      <c r="L24" s="1143"/>
      <c r="M24" s="1134"/>
      <c r="N24" s="1134"/>
      <c r="O24" s="1134"/>
      <c r="P24" s="3231"/>
      <c r="Q24" s="1813"/>
      <c r="R24" s="774"/>
      <c r="S24" s="775"/>
      <c r="T24" s="774"/>
      <c r="U24" s="775"/>
      <c r="V24" s="774"/>
      <c r="W24" s="775"/>
      <c r="X24" s="1816"/>
      <c r="Y24" s="3160"/>
      <c r="Z24" s="1817"/>
      <c r="AA24" s="1814">
        <v>1</v>
      </c>
      <c r="AB24" s="1814">
        <v>1</v>
      </c>
      <c r="AC24" s="1814">
        <v>1</v>
      </c>
    </row>
    <row r="25" spans="1:29" ht="15" hidden="1">
      <c r="A25" s="428"/>
      <c r="B25" s="422" t="s">
        <v>2547</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0"/>
      <c r="Z25" s="1817" t="str">
        <f>Q25</f>
        <v>楼层-1</v>
      </c>
      <c r="AA25" s="1814">
        <f t="shared" ref="AA25:AA46" si="15">D25/F25</f>
        <v>1</v>
      </c>
      <c r="AB25" s="1814">
        <f t="shared" ref="AB25:AB46" si="16">D25/H25</f>
        <v>1</v>
      </c>
      <c r="AC25" s="1814">
        <f t="shared" ref="AC25:AC46" si="17">D25/J25</f>
        <v>1</v>
      </c>
    </row>
    <row r="26" spans="1:29" ht="15" hidden="1">
      <c r="A26" s="428"/>
      <c r="B26" s="422" t="s">
        <v>2548</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1"/>
      <c r="Q26" s="1813" t="str">
        <f t="shared" si="11"/>
        <v>朝向</v>
      </c>
      <c r="R26" s="774" t="s">
        <v>21</v>
      </c>
      <c r="S26" s="775">
        <f t="shared" si="12"/>
        <v>100</v>
      </c>
      <c r="T26" s="774" t="s">
        <v>21</v>
      </c>
      <c r="U26" s="775">
        <f t="shared" si="13"/>
        <v>100</v>
      </c>
      <c r="V26" s="774" t="s">
        <v>21</v>
      </c>
      <c r="W26" s="775">
        <f t="shared" si="14"/>
        <v>100</v>
      </c>
      <c r="X26" s="1816"/>
      <c r="Y26" s="3160"/>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1"/>
      <c r="Q27" s="1798">
        <f t="shared" si="11"/>
        <v>111</v>
      </c>
      <c r="R27" s="770" t="s">
        <v>21</v>
      </c>
      <c r="S27" s="771">
        <f t="shared" si="12"/>
        <v>100</v>
      </c>
      <c r="T27" s="770" t="s">
        <v>21</v>
      </c>
      <c r="U27" s="771">
        <f t="shared" si="13"/>
        <v>100</v>
      </c>
      <c r="V27" s="770" t="s">
        <v>21</v>
      </c>
      <c r="W27" s="771">
        <f t="shared" si="14"/>
        <v>100</v>
      </c>
      <c r="X27" s="772"/>
      <c r="Y27" s="3160"/>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1"/>
      <c r="Q28" s="1813">
        <f t="shared" si="11"/>
        <v>111</v>
      </c>
      <c r="R28" s="774" t="s">
        <v>21</v>
      </c>
      <c r="S28" s="775">
        <f t="shared" si="12"/>
        <v>100</v>
      </c>
      <c r="T28" s="774" t="s">
        <v>21</v>
      </c>
      <c r="U28" s="775">
        <f t="shared" si="13"/>
        <v>100</v>
      </c>
      <c r="V28" s="774" t="s">
        <v>21</v>
      </c>
      <c r="W28" s="775">
        <f t="shared" si="14"/>
        <v>100</v>
      </c>
      <c r="X28" s="1816"/>
      <c r="Y28" s="3160"/>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1"/>
      <c r="Q29" s="1813">
        <f t="shared" si="11"/>
        <v>111</v>
      </c>
      <c r="R29" s="774" t="s">
        <v>21</v>
      </c>
      <c r="S29" s="775">
        <f t="shared" si="12"/>
        <v>100</v>
      </c>
      <c r="T29" s="774" t="s">
        <v>21</v>
      </c>
      <c r="U29" s="775">
        <f t="shared" si="13"/>
        <v>100</v>
      </c>
      <c r="V29" s="774" t="s">
        <v>21</v>
      </c>
      <c r="W29" s="775">
        <f t="shared" si="14"/>
        <v>100</v>
      </c>
      <c r="X29" s="1816"/>
      <c r="Y29" s="3160"/>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1"/>
      <c r="Q30" s="1813">
        <f t="shared" si="11"/>
        <v>111</v>
      </c>
      <c r="R30" s="774" t="s">
        <v>21</v>
      </c>
      <c r="S30" s="775">
        <f t="shared" si="12"/>
        <v>100</v>
      </c>
      <c r="T30" s="774" t="s">
        <v>21</v>
      </c>
      <c r="U30" s="775">
        <f t="shared" si="13"/>
        <v>100</v>
      </c>
      <c r="V30" s="774" t="s">
        <v>21</v>
      </c>
      <c r="W30" s="775">
        <f t="shared" si="14"/>
        <v>100</v>
      </c>
      <c r="X30" s="1816"/>
      <c r="Y30" s="3160"/>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1"/>
      <c r="Q31" s="1813">
        <f t="shared" si="11"/>
        <v>111</v>
      </c>
      <c r="R31" s="774" t="s">
        <v>21</v>
      </c>
      <c r="S31" s="775">
        <f t="shared" si="12"/>
        <v>100</v>
      </c>
      <c r="T31" s="774" t="s">
        <v>21</v>
      </c>
      <c r="U31" s="775">
        <f t="shared" si="13"/>
        <v>100</v>
      </c>
      <c r="V31" s="774" t="s">
        <v>21</v>
      </c>
      <c r="W31" s="775">
        <f t="shared" si="14"/>
        <v>100</v>
      </c>
      <c r="X31" s="1816"/>
      <c r="Y31" s="3160"/>
      <c r="Z31" s="1817">
        <f t="shared" si="18"/>
        <v>111</v>
      </c>
      <c r="AA31" s="1814">
        <f t="shared" si="15"/>
        <v>1</v>
      </c>
      <c r="AB31" s="1814">
        <f t="shared" si="16"/>
        <v>1</v>
      </c>
      <c r="AC31" s="1814">
        <f t="shared" si="17"/>
        <v>1</v>
      </c>
    </row>
    <row r="32" spans="1:29" ht="15">
      <c r="A32" s="440" t="s">
        <v>2549</v>
      </c>
      <c r="B32" s="71" t="s">
        <v>2550</v>
      </c>
      <c r="C32" s="2619" t="s">
        <v>3258</v>
      </c>
      <c r="D32" s="467">
        <v>100</v>
      </c>
      <c r="E32" s="2619" t="s">
        <v>3258</v>
      </c>
      <c r="F32" s="461">
        <f>SUMIF(100:100,E32,101:101)-SUMIF(100:100,C32,101:101)+100</f>
        <v>100</v>
      </c>
      <c r="G32" s="2619" t="s">
        <v>3296</v>
      </c>
      <c r="H32" s="467">
        <f>SUMIF(100:100,G32,101:101)-SUMIF(100:100,C32,101:101)+100</f>
        <v>105</v>
      </c>
      <c r="I32" s="2619" t="s">
        <v>3258</v>
      </c>
      <c r="J32" s="435">
        <f>SUMIF(100:100,I32,101:101)-SUMIF(100:100,C32,101:101)+100</f>
        <v>100</v>
      </c>
      <c r="K32" s="426">
        <v>5</v>
      </c>
      <c r="L32" s="1143"/>
      <c r="M32" s="1134"/>
      <c r="N32" s="1134"/>
      <c r="O32" s="1134"/>
      <c r="P32" s="3226" t="s">
        <v>2551</v>
      </c>
      <c r="Q32" s="1813" t="str">
        <f t="shared" si="11"/>
        <v>建筑类型</v>
      </c>
      <c r="R32" s="774" t="s">
        <v>21</v>
      </c>
      <c r="S32" s="775">
        <f t="shared" si="12"/>
        <v>100</v>
      </c>
      <c r="T32" s="774" t="s">
        <v>21</v>
      </c>
      <c r="U32" s="775">
        <f t="shared" si="13"/>
        <v>105</v>
      </c>
      <c r="V32" s="774" t="s">
        <v>21</v>
      </c>
      <c r="W32" s="775">
        <f t="shared" si="14"/>
        <v>100</v>
      </c>
      <c r="X32" s="1816"/>
      <c r="Y32" s="3162" t="s">
        <v>2551</v>
      </c>
      <c r="Z32" s="1817" t="str">
        <f t="shared" si="18"/>
        <v>建筑类型</v>
      </c>
      <c r="AA32" s="1814">
        <f t="shared" si="15"/>
        <v>1</v>
      </c>
      <c r="AB32" s="1814">
        <f t="shared" si="16"/>
        <v>0.95238095238095233</v>
      </c>
      <c r="AC32" s="1814">
        <f t="shared" si="17"/>
        <v>1</v>
      </c>
    </row>
    <row r="33" spans="1:29" s="471" customFormat="1" ht="15">
      <c r="A33" s="468"/>
      <c r="B33" s="422" t="s">
        <v>2552</v>
      </c>
      <c r="C33" s="469">
        <v>430883</v>
      </c>
      <c r="D33" s="136">
        <v>100</v>
      </c>
      <c r="E33" s="430">
        <v>430883</v>
      </c>
      <c r="F33" s="425">
        <f>LOOKUP(E33,103:103,104:104)-LOOKUP(C33,103:103,104:104)+100</f>
        <v>100</v>
      </c>
      <c r="G33" s="429">
        <v>61800</v>
      </c>
      <c r="H33" s="136">
        <f>LOOKUP(G33,103:103,104:104)-LOOKUP(C33,103:103,104:104)+100</f>
        <v>95</v>
      </c>
      <c r="I33" s="430">
        <v>55000</v>
      </c>
      <c r="J33" s="136">
        <f>LOOKUP(I33,103:103,104:104)-LOOKUP(C33,103:103,104:104)+100</f>
        <v>95</v>
      </c>
      <c r="K33" s="2603"/>
      <c r="L33" s="1141"/>
      <c r="M33" s="1144"/>
      <c r="N33" s="1144"/>
      <c r="O33" s="1144"/>
      <c r="P33" s="3227"/>
      <c r="Q33" s="776" t="str">
        <f t="shared" si="11"/>
        <v>项目建筑规模</v>
      </c>
      <c r="R33" s="777" t="s">
        <v>21</v>
      </c>
      <c r="S33" s="778">
        <f t="shared" si="12"/>
        <v>100</v>
      </c>
      <c r="T33" s="777" t="s">
        <v>21</v>
      </c>
      <c r="U33" s="778">
        <f t="shared" si="13"/>
        <v>95</v>
      </c>
      <c r="V33" s="777" t="s">
        <v>21</v>
      </c>
      <c r="W33" s="778">
        <f t="shared" si="14"/>
        <v>95</v>
      </c>
      <c r="X33" s="779"/>
      <c r="Y33" s="3162"/>
      <c r="Z33" s="780" t="str">
        <f t="shared" si="18"/>
        <v>项目建筑规模</v>
      </c>
      <c r="AA33" s="1814">
        <f t="shared" si="15"/>
        <v>1</v>
      </c>
      <c r="AB33" s="1814">
        <f t="shared" si="16"/>
        <v>1.0526315789473684</v>
      </c>
      <c r="AC33" s="1814">
        <f t="shared" si="17"/>
        <v>1.0526315789473684</v>
      </c>
    </row>
    <row r="34" spans="1:29" ht="15">
      <c r="A34" s="472"/>
      <c r="B34" s="422" t="s">
        <v>2553</v>
      </c>
      <c r="C34" s="2620" t="s">
        <v>3299</v>
      </c>
      <c r="D34" s="435">
        <v>100</v>
      </c>
      <c r="E34" s="2620" t="s">
        <v>3299</v>
      </c>
      <c r="F34" s="461">
        <f>SUMIF(105:105,E34,106:106)-SUMIF(105:105,C34,106:106)+100</f>
        <v>100</v>
      </c>
      <c r="G34" s="2620" t="s">
        <v>3299</v>
      </c>
      <c r="H34" s="435">
        <f>SUMIF(105:105,G34,106:106)-SUMIF(105:105,C34,106:106)+100</f>
        <v>100</v>
      </c>
      <c r="I34" s="2620" t="s">
        <v>3299</v>
      </c>
      <c r="J34" s="435">
        <f>SUMIF(105:105,I34,106:106)-SUMIF(105:105,C34,106:106)+100</f>
        <v>100</v>
      </c>
      <c r="K34" s="426">
        <v>2</v>
      </c>
      <c r="L34" s="1143"/>
      <c r="M34" s="1134"/>
      <c r="N34" s="1134"/>
      <c r="O34" s="1134"/>
      <c r="P34" s="3227"/>
      <c r="Q34" s="1813" t="str">
        <f t="shared" si="11"/>
        <v>建筑结构</v>
      </c>
      <c r="R34" s="774" t="s">
        <v>21</v>
      </c>
      <c r="S34" s="775">
        <f t="shared" si="12"/>
        <v>100</v>
      </c>
      <c r="T34" s="774" t="s">
        <v>21</v>
      </c>
      <c r="U34" s="775">
        <f t="shared" si="13"/>
        <v>100</v>
      </c>
      <c r="V34" s="774" t="s">
        <v>21</v>
      </c>
      <c r="W34" s="775">
        <f t="shared" si="14"/>
        <v>100</v>
      </c>
      <c r="X34" s="1816"/>
      <c r="Y34" s="3162"/>
      <c r="Z34" s="1817" t="str">
        <f t="shared" si="18"/>
        <v>建筑结构</v>
      </c>
      <c r="AA34" s="1814">
        <f t="shared" si="15"/>
        <v>1</v>
      </c>
      <c r="AB34" s="1814">
        <f t="shared" si="16"/>
        <v>1</v>
      </c>
      <c r="AC34" s="1814">
        <f t="shared" si="17"/>
        <v>1</v>
      </c>
    </row>
    <row r="35" spans="1:29" ht="15">
      <c r="A35" s="472"/>
      <c r="B35" s="422" t="s">
        <v>2554</v>
      </c>
      <c r="C35" s="2615" t="s">
        <v>3301</v>
      </c>
      <c r="D35" s="435">
        <v>100</v>
      </c>
      <c r="E35" s="2615" t="s">
        <v>3301</v>
      </c>
      <c r="F35" s="461">
        <f>SUMIF(107:107,E35,108:108)-SUMIF(107:107,C35,108:108)+100</f>
        <v>100</v>
      </c>
      <c r="G35" s="2615" t="s">
        <v>3301</v>
      </c>
      <c r="H35" s="435">
        <f>SUMIF(107:107,G35,108:108)-SUMIF(107:107,C35,108:108)+100</f>
        <v>100</v>
      </c>
      <c r="I35" s="2615" t="s">
        <v>3301</v>
      </c>
      <c r="J35" s="435">
        <f>SUMIF(107:107,I35,108:108)-SUMIF(107:107,C35,108:108)+100</f>
        <v>100</v>
      </c>
      <c r="K35" s="426">
        <v>2</v>
      </c>
      <c r="L35" s="1143"/>
      <c r="M35" s="1134"/>
      <c r="N35" s="1134"/>
      <c r="O35" s="1134"/>
      <c r="P35" s="3227"/>
      <c r="Q35" s="1813" t="str">
        <f t="shared" si="11"/>
        <v>建筑品质</v>
      </c>
      <c r="R35" s="774" t="s">
        <v>21</v>
      </c>
      <c r="S35" s="775">
        <f t="shared" si="12"/>
        <v>100</v>
      </c>
      <c r="T35" s="774" t="s">
        <v>21</v>
      </c>
      <c r="U35" s="775">
        <f t="shared" si="13"/>
        <v>100</v>
      </c>
      <c r="V35" s="774" t="s">
        <v>21</v>
      </c>
      <c r="W35" s="775">
        <f t="shared" si="14"/>
        <v>100</v>
      </c>
      <c r="X35" s="1816"/>
      <c r="Y35" s="3162"/>
      <c r="Z35" s="1817" t="str">
        <f t="shared" si="18"/>
        <v>建筑品质</v>
      </c>
      <c r="AA35" s="1814">
        <f t="shared" si="15"/>
        <v>1</v>
      </c>
      <c r="AB35" s="1814">
        <f t="shared" si="16"/>
        <v>1</v>
      </c>
      <c r="AC35" s="1814">
        <f t="shared" si="17"/>
        <v>1</v>
      </c>
    </row>
    <row r="36" spans="1:29" ht="15">
      <c r="A36" s="472"/>
      <c r="B36" s="422" t="s">
        <v>2555</v>
      </c>
      <c r="C36" s="2615" t="s">
        <v>3303</v>
      </c>
      <c r="D36" s="435">
        <v>100</v>
      </c>
      <c r="E36" s="2615" t="s">
        <v>3303</v>
      </c>
      <c r="F36" s="461">
        <f>SUMIF(109:109,E36,110:110)-SUMIF(109:109,C36,110:110)+100</f>
        <v>100</v>
      </c>
      <c r="G36" s="2615" t="s">
        <v>3303</v>
      </c>
      <c r="H36" s="435">
        <f>SUMIF(109:109,G36,110:110)-SUMIF(109:109,C36,110:110)+100</f>
        <v>100</v>
      </c>
      <c r="I36" s="2615" t="s">
        <v>3303</v>
      </c>
      <c r="J36" s="435">
        <f>SUMIF(109:109,I36,110:110)-SUMIF(109:109,C36,110:110)+100</f>
        <v>100</v>
      </c>
      <c r="K36" s="426">
        <v>2</v>
      </c>
      <c r="L36" s="1143"/>
      <c r="M36" s="1134"/>
      <c r="N36" s="1134"/>
      <c r="O36" s="1134"/>
      <c r="P36" s="3227"/>
      <c r="Q36" s="1813" t="str">
        <f t="shared" si="11"/>
        <v>公共部分装修</v>
      </c>
      <c r="R36" s="774" t="s">
        <v>21</v>
      </c>
      <c r="S36" s="775">
        <f t="shared" si="12"/>
        <v>100</v>
      </c>
      <c r="T36" s="774" t="s">
        <v>21</v>
      </c>
      <c r="U36" s="775">
        <f t="shared" si="13"/>
        <v>100</v>
      </c>
      <c r="V36" s="774" t="s">
        <v>21</v>
      </c>
      <c r="W36" s="775">
        <f t="shared" si="14"/>
        <v>100</v>
      </c>
      <c r="X36" s="1816"/>
      <c r="Y36" s="3162"/>
      <c r="Z36" s="1817" t="str">
        <f t="shared" si="18"/>
        <v>公共部分装修</v>
      </c>
      <c r="AA36" s="1814">
        <f t="shared" si="15"/>
        <v>1</v>
      </c>
      <c r="AB36" s="1814">
        <f t="shared" si="16"/>
        <v>1</v>
      </c>
      <c r="AC36" s="1814">
        <f t="shared" si="17"/>
        <v>1</v>
      </c>
    </row>
    <row r="37" spans="1:29" s="117" customFormat="1" ht="15">
      <c r="A37" s="473"/>
      <c r="B37" s="422" t="s">
        <v>2556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27"/>
      <c r="Q37" s="1798" t="str">
        <f t="shared" si="11"/>
        <v>成新度</v>
      </c>
      <c r="R37" s="770" t="s">
        <v>21</v>
      </c>
      <c r="S37" s="771">
        <f t="shared" si="12"/>
        <v>100</v>
      </c>
      <c r="T37" s="770" t="s">
        <v>21</v>
      </c>
      <c r="U37" s="771">
        <f t="shared" si="13"/>
        <v>100</v>
      </c>
      <c r="V37" s="770" t="s">
        <v>21</v>
      </c>
      <c r="W37" s="771">
        <f t="shared" si="14"/>
        <v>100</v>
      </c>
      <c r="X37" s="772"/>
      <c r="Y37" s="3162"/>
      <c r="Z37" s="55" t="str">
        <f t="shared" si="18"/>
        <v>成新度</v>
      </c>
      <c r="AA37" s="773">
        <f t="shared" si="15"/>
        <v>1</v>
      </c>
      <c r="AB37" s="773">
        <f t="shared" si="16"/>
        <v>1</v>
      </c>
      <c r="AC37" s="773">
        <f t="shared" si="17"/>
        <v>1</v>
      </c>
    </row>
    <row r="38" spans="1:29" ht="15">
      <c r="A38" s="472"/>
      <c r="B38" s="422" t="s">
        <v>2557</v>
      </c>
      <c r="C38" s="2615" t="s">
        <v>3305</v>
      </c>
      <c r="D38" s="435">
        <v>100</v>
      </c>
      <c r="E38" s="2615" t="s">
        <v>3305</v>
      </c>
      <c r="F38" s="461">
        <f>SUMIF(114:114,E38,115:115)-SUMIF(114:114,C38,115:115)+100</f>
        <v>100</v>
      </c>
      <c r="G38" s="2615" t="s">
        <v>3305</v>
      </c>
      <c r="H38" s="435">
        <f>SUMIF(114:114,G38,115:115)-SUMIF(114:114,C38,115:115)+100</f>
        <v>100</v>
      </c>
      <c r="I38" s="2615" t="s">
        <v>3305</v>
      </c>
      <c r="J38" s="435">
        <f>SUMIF(114:114,I38,115:115)-SUMIF(114:114,C38,115:115)+100</f>
        <v>100</v>
      </c>
      <c r="K38" s="426">
        <v>2</v>
      </c>
      <c r="L38" s="1143"/>
      <c r="M38" s="1134"/>
      <c r="N38" s="1134"/>
      <c r="O38" s="1134"/>
      <c r="P38" s="3227" t="s">
        <v>2551</v>
      </c>
      <c r="Q38" s="1813" t="str">
        <f t="shared" si="11"/>
        <v>物业管理</v>
      </c>
      <c r="R38" s="774" t="s">
        <v>21</v>
      </c>
      <c r="S38" s="775">
        <f t="shared" si="12"/>
        <v>100</v>
      </c>
      <c r="T38" s="774" t="s">
        <v>21</v>
      </c>
      <c r="U38" s="775">
        <f t="shared" si="13"/>
        <v>100</v>
      </c>
      <c r="V38" s="774" t="s">
        <v>21</v>
      </c>
      <c r="W38" s="775">
        <f t="shared" si="14"/>
        <v>100</v>
      </c>
      <c r="X38" s="1816"/>
      <c r="Y38" s="3162" t="s">
        <v>2551</v>
      </c>
      <c r="Z38" s="1817" t="str">
        <f t="shared" si="18"/>
        <v>物业管理</v>
      </c>
      <c r="AA38" s="1814">
        <f t="shared" si="15"/>
        <v>1</v>
      </c>
      <c r="AB38" s="1814">
        <f t="shared" si="16"/>
        <v>1</v>
      </c>
      <c r="AC38" s="1814">
        <f t="shared" si="17"/>
        <v>1</v>
      </c>
    </row>
    <row r="39" spans="1:29" ht="15">
      <c r="A39" s="472"/>
      <c r="B39" s="422" t="s">
        <v>2558</v>
      </c>
      <c r="C39" s="2615" t="s">
        <v>3281</v>
      </c>
      <c r="D39" s="435">
        <v>100</v>
      </c>
      <c r="E39" s="2615" t="s">
        <v>3281</v>
      </c>
      <c r="F39" s="461">
        <f>SUMIF(116:116,E39,117:117)-SUMIF(116:116,C39,117:117)+100</f>
        <v>100</v>
      </c>
      <c r="G39" s="2615" t="s">
        <v>3281</v>
      </c>
      <c r="H39" s="435">
        <f>SUMIF(116:116,G39,117:117)-SUMIF(116:116,C39,117:117)+100</f>
        <v>100</v>
      </c>
      <c r="I39" s="2615" t="s">
        <v>3281</v>
      </c>
      <c r="J39" s="435">
        <f>SUMIF(116:116,I39,117:117)-SUMIF(116:116,C39,117:117)+100</f>
        <v>100</v>
      </c>
      <c r="K39" s="426">
        <v>1</v>
      </c>
      <c r="L39" s="1143"/>
      <c r="M39" s="1134"/>
      <c r="N39" s="1134"/>
      <c r="O39" s="1134"/>
      <c r="P39" s="3227"/>
      <c r="Q39" s="1813" t="str">
        <f t="shared" si="11"/>
        <v>市政基础设施</v>
      </c>
      <c r="R39" s="774" t="s">
        <v>21</v>
      </c>
      <c r="S39" s="775">
        <f t="shared" si="12"/>
        <v>100</v>
      </c>
      <c r="T39" s="774" t="s">
        <v>21</v>
      </c>
      <c r="U39" s="775">
        <f t="shared" si="13"/>
        <v>100</v>
      </c>
      <c r="V39" s="774" t="s">
        <v>21</v>
      </c>
      <c r="W39" s="775">
        <f t="shared" si="14"/>
        <v>100</v>
      </c>
      <c r="X39" s="1816"/>
      <c r="Y39" s="3162"/>
      <c r="Z39" s="1817" t="str">
        <f t="shared" si="18"/>
        <v>市政基础设施</v>
      </c>
      <c r="AA39" s="1814">
        <f t="shared" si="15"/>
        <v>1</v>
      </c>
      <c r="AB39" s="1814">
        <f t="shared" si="16"/>
        <v>1</v>
      </c>
      <c r="AC39" s="1814">
        <f t="shared" si="17"/>
        <v>1</v>
      </c>
    </row>
    <row r="40" spans="1:29" ht="15" hidden="1">
      <c r="A40" s="472"/>
      <c r="B40" s="422" t="s">
        <v>2559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7"/>
      <c r="Q40" s="1813" t="str">
        <f t="shared" si="11"/>
        <v>房型</v>
      </c>
      <c r="R40" s="774" t="s">
        <v>21</v>
      </c>
      <c r="S40" s="775">
        <f t="shared" si="12"/>
        <v>100</v>
      </c>
      <c r="T40" s="774" t="s">
        <v>21</v>
      </c>
      <c r="U40" s="775">
        <f t="shared" si="13"/>
        <v>100</v>
      </c>
      <c r="V40" s="774" t="s">
        <v>21</v>
      </c>
      <c r="W40" s="775">
        <f t="shared" si="14"/>
        <v>100</v>
      </c>
      <c r="X40" s="1816"/>
      <c r="Y40" s="3162"/>
      <c r="Z40" s="1817" t="str">
        <f t="shared" si="18"/>
        <v>房型</v>
      </c>
      <c r="AA40" s="1814">
        <f t="shared" si="15"/>
        <v>1</v>
      </c>
      <c r="AB40" s="1814">
        <f t="shared" si="16"/>
        <v>1</v>
      </c>
      <c r="AC40" s="1814">
        <f t="shared" si="17"/>
        <v>1</v>
      </c>
    </row>
    <row r="41" spans="1:29" s="471" customFormat="1" ht="28.5" hidden="1">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7"/>
      <c r="Q41" s="776" t="str">
        <f t="shared" si="11"/>
        <v>单套/主力户型建筑面积</v>
      </c>
      <c r="R41" s="777" t="s">
        <v>21</v>
      </c>
      <c r="S41" s="778">
        <f t="shared" si="12"/>
        <v>100</v>
      </c>
      <c r="T41" s="777" t="s">
        <v>21</v>
      </c>
      <c r="U41" s="778">
        <f t="shared" si="13"/>
        <v>100</v>
      </c>
      <c r="V41" s="777" t="s">
        <v>21</v>
      </c>
      <c r="W41" s="778">
        <f t="shared" si="14"/>
        <v>100</v>
      </c>
      <c r="X41" s="779"/>
      <c r="Y41" s="3162"/>
      <c r="Z41" s="780" t="str">
        <f t="shared" si="18"/>
        <v>单套/主力户型建筑面积</v>
      </c>
      <c r="AA41" s="1814">
        <f t="shared" si="15"/>
        <v>1</v>
      </c>
      <c r="AB41" s="1814">
        <f t="shared" si="16"/>
        <v>1</v>
      </c>
      <c r="AC41" s="1814">
        <f t="shared" si="17"/>
        <v>1</v>
      </c>
    </row>
    <row r="42" spans="1:29" ht="15">
      <c r="A42" s="472"/>
      <c r="B42" s="422" t="s">
        <v>2561</v>
      </c>
      <c r="C42" s="2615" t="s">
        <v>3303</v>
      </c>
      <c r="D42" s="435">
        <v>100</v>
      </c>
      <c r="E42" s="2615" t="s">
        <v>3311</v>
      </c>
      <c r="F42" s="461">
        <f>SUMIF(122:122,E42,123:123)-SUMIF(122:122,C42,123:123)+100</f>
        <v>94</v>
      </c>
      <c r="G42" s="2615" t="s">
        <v>3311</v>
      </c>
      <c r="H42" s="435">
        <f>SUMIF(122:122,G42,123:123)-SUMIF(122:122,C42,123:123)+100</f>
        <v>94</v>
      </c>
      <c r="I42" s="2615" t="s">
        <v>3311</v>
      </c>
      <c r="J42" s="435">
        <f>SUMIF(122:122,I42,123:123)-SUMIF(122:122,C42,123:123)+100</f>
        <v>94</v>
      </c>
      <c r="K42" s="426">
        <v>2</v>
      </c>
      <c r="L42" s="1143"/>
      <c r="M42" s="1134"/>
      <c r="N42" s="1134"/>
      <c r="O42" s="1134"/>
      <c r="P42" s="3227"/>
      <c r="Q42" s="1813" t="str">
        <f t="shared" si="11"/>
        <v>内部装修</v>
      </c>
      <c r="R42" s="774" t="s">
        <v>21</v>
      </c>
      <c r="S42" s="775">
        <f t="shared" si="12"/>
        <v>94</v>
      </c>
      <c r="T42" s="774" t="s">
        <v>21</v>
      </c>
      <c r="U42" s="775">
        <f t="shared" si="13"/>
        <v>94</v>
      </c>
      <c r="V42" s="774" t="s">
        <v>21</v>
      </c>
      <c r="W42" s="775">
        <f t="shared" si="14"/>
        <v>94</v>
      </c>
      <c r="X42" s="1816"/>
      <c r="Y42" s="3162"/>
      <c r="Z42" s="1817" t="str">
        <f t="shared" si="18"/>
        <v>内部装修</v>
      </c>
      <c r="AA42" s="1814">
        <f t="shared" si="15"/>
        <v>1.0638297872340425</v>
      </c>
      <c r="AB42" s="1814">
        <f t="shared" si="16"/>
        <v>1.0638297872340425</v>
      </c>
      <c r="AC42" s="1814">
        <f t="shared" si="17"/>
        <v>1.0638297872340425</v>
      </c>
    </row>
    <row r="43" spans="1:29" ht="15.75" thickBot="1">
      <c r="A43" s="472"/>
      <c r="B43" s="422" t="s">
        <v>2562</v>
      </c>
      <c r="C43" s="2615" t="s">
        <v>3261</v>
      </c>
      <c r="D43" s="435">
        <v>100</v>
      </c>
      <c r="E43" s="2615" t="s">
        <v>3261</v>
      </c>
      <c r="F43" s="461">
        <f>SUMIF(124:124,E43,125:125)-SUMIF(124:124,C43,125:125)+100</f>
        <v>100</v>
      </c>
      <c r="G43" s="2615" t="s">
        <v>3261</v>
      </c>
      <c r="H43" s="435">
        <f>SUMIF(124:124,G43,125:125)-SUMIF(124:124,C43,125:125)+100</f>
        <v>100</v>
      </c>
      <c r="I43" s="2615" t="s">
        <v>3261</v>
      </c>
      <c r="J43" s="435">
        <f>SUMIF(124:124,I43,125:125)-SUMIF(124:124,C43,125:125)+100</f>
        <v>100</v>
      </c>
      <c r="K43" s="426">
        <v>2</v>
      </c>
      <c r="L43" s="1143"/>
      <c r="M43" s="1134"/>
      <c r="N43" s="1134"/>
      <c r="O43" s="1134"/>
      <c r="P43" s="3227"/>
      <c r="Q43" s="1813" t="str">
        <f t="shared" si="11"/>
        <v>内部装修维护情况</v>
      </c>
      <c r="R43" s="774" t="s">
        <v>21</v>
      </c>
      <c r="S43" s="775">
        <f t="shared" si="12"/>
        <v>100</v>
      </c>
      <c r="T43" s="774" t="s">
        <v>21</v>
      </c>
      <c r="U43" s="775">
        <f t="shared" si="13"/>
        <v>100</v>
      </c>
      <c r="V43" s="774" t="s">
        <v>21</v>
      </c>
      <c r="W43" s="775">
        <f t="shared" si="14"/>
        <v>100</v>
      </c>
      <c r="X43" s="1816"/>
      <c r="Y43" s="3162"/>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7"/>
      <c r="Q44" s="1798">
        <f t="shared" si="11"/>
        <v>111</v>
      </c>
      <c r="R44" s="770" t="s">
        <v>21</v>
      </c>
      <c r="S44" s="771">
        <f t="shared" si="12"/>
        <v>100</v>
      </c>
      <c r="T44" s="770" t="s">
        <v>21</v>
      </c>
      <c r="U44" s="771">
        <f t="shared" si="13"/>
        <v>100</v>
      </c>
      <c r="V44" s="770" t="s">
        <v>21</v>
      </c>
      <c r="W44" s="771">
        <f t="shared" si="14"/>
        <v>100</v>
      </c>
      <c r="X44" s="772"/>
      <c r="Y44" s="3162"/>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7"/>
      <c r="Q45" s="1813">
        <f t="shared" si="11"/>
        <v>111</v>
      </c>
      <c r="R45" s="774" t="s">
        <v>21</v>
      </c>
      <c r="S45" s="775">
        <f t="shared" si="12"/>
        <v>100</v>
      </c>
      <c r="T45" s="774" t="s">
        <v>21</v>
      </c>
      <c r="U45" s="775">
        <f t="shared" si="13"/>
        <v>100</v>
      </c>
      <c r="V45" s="774" t="s">
        <v>21</v>
      </c>
      <c r="W45" s="775">
        <f t="shared" si="14"/>
        <v>100</v>
      </c>
      <c r="X45" s="1816"/>
      <c r="Y45" s="3162"/>
      <c r="Z45" s="1817">
        <f t="shared" si="18"/>
        <v>111</v>
      </c>
      <c r="AA45" s="1814">
        <f t="shared" si="15"/>
        <v>1</v>
      </c>
      <c r="AB45" s="1814">
        <f t="shared" si="16"/>
        <v>1</v>
      </c>
      <c r="AC45" s="1814">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8"/>
      <c r="Q46" s="1813">
        <f t="shared" si="11"/>
        <v>111</v>
      </c>
      <c r="R46" s="774" t="s">
        <v>20</v>
      </c>
      <c r="S46" s="775">
        <f t="shared" si="12"/>
        <v>100</v>
      </c>
      <c r="T46" s="774" t="s">
        <v>20</v>
      </c>
      <c r="U46" s="775">
        <f t="shared" si="13"/>
        <v>100</v>
      </c>
      <c r="V46" s="774" t="s">
        <v>20</v>
      </c>
      <c r="W46" s="775">
        <f t="shared" si="14"/>
        <v>100</v>
      </c>
      <c r="X46" s="1816"/>
      <c r="Y46" s="3229"/>
      <c r="Z46" s="1817">
        <f t="shared" si="18"/>
        <v>111</v>
      </c>
      <c r="AA46" s="1814">
        <f t="shared" si="15"/>
        <v>1</v>
      </c>
      <c r="AB46" s="1814">
        <f t="shared" si="16"/>
        <v>1</v>
      </c>
      <c r="AC46" s="1814">
        <f t="shared" si="17"/>
        <v>1</v>
      </c>
    </row>
    <row r="47" spans="1:29" ht="15">
      <c r="A47" s="479" t="s">
        <v>2563</v>
      </c>
      <c r="B47" s="480"/>
      <c r="C47" s="1410" t="s">
        <v>19</v>
      </c>
      <c r="D47" s="1411"/>
      <c r="E47" s="1412">
        <v>60000</v>
      </c>
      <c r="F47" s="1413"/>
      <c r="G47" s="1414">
        <f>ROUND(2800*10000/520,0)</f>
        <v>53846</v>
      </c>
      <c r="H47" s="1415"/>
      <c r="I47" s="1412">
        <f>ROUND(1300*10000/210,0)</f>
        <v>61905</v>
      </c>
      <c r="J47" s="1415"/>
      <c r="K47" s="2621"/>
      <c r="L47" s="1146"/>
      <c r="M47" s="1147"/>
      <c r="N47" s="1134"/>
      <c r="O47" s="1147"/>
      <c r="P47" s="3157" t="str">
        <f>A47</f>
        <v>成交单价（元/平方米）</v>
      </c>
      <c r="Q47" s="3157"/>
      <c r="R47" s="3225">
        <f>E47</f>
        <v>60000</v>
      </c>
      <c r="S47" s="3225"/>
      <c r="T47" s="3225">
        <f>G47</f>
        <v>53846</v>
      </c>
      <c r="U47" s="3225"/>
      <c r="V47" s="3225">
        <f>I47</f>
        <v>61905</v>
      </c>
      <c r="W47" s="3225"/>
      <c r="X47" s="759"/>
      <c r="Y47" s="781"/>
      <c r="Z47" s="759"/>
      <c r="AA47" s="759"/>
      <c r="AB47" s="759"/>
      <c r="AC47" s="759"/>
    </row>
    <row r="48" spans="1:29" ht="15.75" thickBot="1">
      <c r="A48" s="486" t="s">
        <v>2564</v>
      </c>
      <c r="B48" s="487"/>
      <c r="C48" s="1416">
        <f>R49</f>
        <v>63739</v>
      </c>
      <c r="D48" s="1417"/>
      <c r="E48" s="1418">
        <f>R48</f>
        <v>63830</v>
      </c>
      <c r="F48" s="1418"/>
      <c r="G48" s="1416">
        <f>T48</f>
        <v>57715</v>
      </c>
      <c r="H48" s="1417"/>
      <c r="I48" s="1418">
        <f>V48</f>
        <v>69671</v>
      </c>
      <c r="J48" s="1417"/>
      <c r="K48" s="2622"/>
      <c r="L48" s="1146"/>
      <c r="M48" s="1147"/>
      <c r="N48" s="1147"/>
      <c r="O48" s="1147"/>
      <c r="P48" s="3157" t="str">
        <f>A48</f>
        <v>比较价值（元/平方米）</v>
      </c>
      <c r="Q48" s="3157"/>
      <c r="R48" s="3225">
        <f>IF(F1="售价",ROUND(PRODUCT(R47,AA7:AA46),0),ROUND(PRODUCT(R47,AA7:AA46),1))</f>
        <v>63830</v>
      </c>
      <c r="S48" s="3225"/>
      <c r="T48" s="3225">
        <f>IF(F1="售价",ROUND(PRODUCT(T47,AB7:AB46),0),ROUND(PRODUCT(T47,AB7:AB46),1))</f>
        <v>57715</v>
      </c>
      <c r="U48" s="3225"/>
      <c r="V48" s="3225">
        <f>IF(F1="售价",ROUND(PRODUCT(V47,AC7:AC46),0),ROUND(PRODUCT(V47,AC7:AC46),1))</f>
        <v>69671</v>
      </c>
      <c r="W48" s="3225"/>
      <c r="X48" s="759"/>
      <c r="Y48" s="759"/>
      <c r="Z48" s="759"/>
      <c r="AA48" s="759"/>
      <c r="AB48" s="759"/>
      <c r="AC48" s="759"/>
    </row>
    <row r="49" spans="1:29" ht="15.75" thickBot="1">
      <c r="A49" s="492" t="s">
        <v>2565</v>
      </c>
      <c r="B49" s="493"/>
      <c r="C49" s="1419">
        <f>R49</f>
        <v>63739</v>
      </c>
      <c r="D49" s="1420"/>
      <c r="E49" s="1420"/>
      <c r="F49" s="1420"/>
      <c r="G49" s="1420"/>
      <c r="H49" s="1420"/>
      <c r="I49" s="1420"/>
      <c r="J49" s="1420"/>
      <c r="K49" s="2623"/>
      <c r="L49" s="1146"/>
      <c r="M49" s="1147"/>
      <c r="N49" s="1147"/>
      <c r="O49" s="1147"/>
      <c r="P49" s="3151" t="str">
        <f>A49</f>
        <v>估价对象XX用房的比较价值（楼面单价，元/平方米）</v>
      </c>
      <c r="Q49" s="3152"/>
      <c r="R49" s="3224">
        <f>IF(F1="售价",ROUND(AVERAGE(R48:V48),0),ROUND(AVERAGE(R48:V48),1))</f>
        <v>63739</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2566</v>
      </c>
      <c r="D52" s="498"/>
      <c r="E52" s="499">
        <f>IF(E47&lt;E48,E48/E47-1,E47/E48-1)</f>
        <v>6.3833333333333409E-2</v>
      </c>
      <c r="F52" s="500" t="str">
        <f>IF(OR(E52&gt;=0.3,E52&lt;=-0.3),"超过30%","")</f>
        <v/>
      </c>
      <c r="G52" s="499">
        <f>IF(G47&lt;G48,G48/G47-1,G47/G48-1)</f>
        <v>7.1853062437321258E-2</v>
      </c>
      <c r="H52" s="500" t="str">
        <f>IF(OR(G52&gt;=0.3,G52&lt;=-0.3),"超过30%","")</f>
        <v/>
      </c>
      <c r="I52" s="499">
        <f>IF(I47&lt;I48,I48/I47-1,I47/I48-1)</f>
        <v>0.12545028672966652</v>
      </c>
      <c r="J52" s="500" t="str">
        <f>IF(OR(I52&gt;=0.3,I52&lt;=-0.3),"超过30%","")</f>
        <v/>
      </c>
      <c r="K52" s="1108"/>
      <c r="L52" s="1109"/>
      <c r="M52" s="1147"/>
      <c r="N52" s="1147"/>
      <c r="O52" s="1147"/>
    </row>
    <row r="53" spans="1:29" ht="13.5" customHeight="1">
      <c r="A53" s="1147"/>
      <c r="B53" s="1147"/>
      <c r="C53" s="497" t="s">
        <v>2567</v>
      </c>
      <c r="D53" s="501"/>
      <c r="E53" s="499">
        <f>IF(E48&lt;G48,G48/E48-1,E48/G48-1)</f>
        <v>0.10595165901412118</v>
      </c>
      <c r="F53" s="500" t="str">
        <f>IF(OR(E53&gt;=0.2,E53&lt;=-0.2),"超过20%","")</f>
        <v/>
      </c>
      <c r="G53" s="499">
        <f>IF(G48&lt;I48,I48/G48-1,G48/I48-1)</f>
        <v>0.20715585203153419</v>
      </c>
      <c r="H53" s="500" t="str">
        <f>IF(OR(G53&gt;=0.2,G53&lt;=-0.2),"超过20%","")</f>
        <v>超过20%</v>
      </c>
      <c r="I53" s="499">
        <f>IF(I48&lt;E48,E48/I48-1,I48/E48-1)</f>
        <v>9.1508694971016658E-2</v>
      </c>
      <c r="J53" s="500" t="str">
        <f>IF(OR(I53&gt;=0.2,I53&lt;=-0.2),"超过20%","")</f>
        <v/>
      </c>
      <c r="K53" s="1108"/>
      <c r="L53" s="1109"/>
      <c r="M53" s="1147"/>
      <c r="N53" s="1147"/>
      <c r="O53" s="1147"/>
    </row>
    <row r="54" spans="1:29" s="502" customFormat="1" ht="13.5" customHeight="1">
      <c r="A54" s="1148"/>
      <c r="B54" s="1148"/>
      <c r="C54" s="497" t="s">
        <v>2568</v>
      </c>
      <c r="D54" s="501"/>
      <c r="E54" s="499">
        <f>IF(E47&lt;G47,G47/E47-1,E47/G47-1)</f>
        <v>0.1142888979682799</v>
      </c>
      <c r="F54" s="500" t="str">
        <f>IF(OR(E54&gt;=0.3,E54&lt;=-0.3),"超过30%","")</f>
        <v/>
      </c>
      <c r="G54" s="499">
        <f>IF(G47&lt;I47,I47/G47-1,G47/I47-1)</f>
        <v>0.14966757047877288</v>
      </c>
      <c r="H54" s="500" t="str">
        <f>IF(OR(G54&gt;=0.3,G54&lt;=-0.3),"超过30%","")</f>
        <v/>
      </c>
      <c r="I54" s="499">
        <f>IF(I47&lt;E47,E47/I47-1,I47/E47-1)</f>
        <v>3.1749999999999945E-2</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2569</v>
      </c>
      <c r="B57" s="759"/>
      <c r="C57" s="764"/>
      <c r="D57" s="764"/>
      <c r="E57" s="764"/>
      <c r="F57" s="765"/>
      <c r="G57" s="765"/>
      <c r="H57" s="764"/>
      <c r="I57" s="764"/>
      <c r="J57" s="764"/>
      <c r="K57" s="1163"/>
      <c r="L57" s="1164"/>
      <c r="M57" s="1162"/>
      <c r="N57" s="1162"/>
      <c r="O57" s="1162"/>
      <c r="P57" s="2626"/>
      <c r="Q57" s="504"/>
    </row>
    <row r="58" spans="1:29" s="508" customFormat="1" ht="15">
      <c r="A58" s="505" t="s">
        <v>2570</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27"/>
      <c r="C59" s="1576">
        <v>100</v>
      </c>
      <c r="D59" s="511">
        <v>99.5</v>
      </c>
      <c r="E59" s="511">
        <v>99.5</v>
      </c>
      <c r="F59" s="511">
        <v>99.5</v>
      </c>
      <c r="G59" s="512">
        <v>99</v>
      </c>
      <c r="H59" s="512">
        <v>99</v>
      </c>
      <c r="I59" s="512">
        <v>99</v>
      </c>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2572</v>
      </c>
      <c r="B61" s="510"/>
      <c r="C61" s="522" t="s">
        <v>2573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2574</v>
      </c>
      <c r="B63" s="528" t="s">
        <v>2540</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5"/>
      <c r="O65" s="1155"/>
      <c r="P65" s="2630"/>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30"/>
      <c r="Q66" s="504"/>
    </row>
    <row r="67" spans="1:17" ht="15.75" thickTop="1">
      <c r="A67" s="534"/>
      <c r="B67" s="546" t="s">
        <v>2544</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0</v>
      </c>
      <c r="D68" s="549">
        <v>1</v>
      </c>
      <c r="E68" s="549">
        <v>2</v>
      </c>
      <c r="F68" s="549">
        <v>3</v>
      </c>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5"/>
      <c r="O76" s="1155"/>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5"/>
      <c r="O78" s="1155"/>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5"/>
      <c r="O80" s="1155"/>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0"/>
      <c r="Q81" s="504"/>
    </row>
    <row r="82" spans="1:17" ht="15.75" thickTop="1">
      <c r="A82" s="534"/>
      <c r="B82" s="546" t="s">
        <v>2089</v>
      </c>
      <c r="C82" s="539" t="s">
        <v>2590</v>
      </c>
      <c r="D82" s="539" t="s">
        <v>2591</v>
      </c>
      <c r="E82" s="539" t="s">
        <v>2592</v>
      </c>
      <c r="F82" s="539" t="s">
        <v>2593</v>
      </c>
      <c r="G82" s="539" t="s">
        <v>2594</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5"/>
      <c r="O84" s="1155"/>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0"/>
      <c r="Q85" s="504"/>
    </row>
    <row r="86" spans="1:17" s="117" customFormat="1" ht="15.75" thickTop="1">
      <c r="A86" s="579"/>
      <c r="B86" s="538" t="s">
        <v>2596</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2597</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2549</v>
      </c>
      <c r="B100" s="528" t="s">
        <v>2598</v>
      </c>
      <c r="C100" s="2958" t="s">
        <v>3295</v>
      </c>
      <c r="D100" s="2958" t="s">
        <v>3297</v>
      </c>
      <c r="E100" s="2958" t="s">
        <v>3298</v>
      </c>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6"/>
      <c r="O101" s="1156"/>
      <c r="P101" s="2630"/>
      <c r="Q101" s="504"/>
    </row>
    <row r="102" spans="1:17" ht="29.25" thickTop="1">
      <c r="A102" s="534"/>
      <c r="B102" s="538" t="s">
        <v>2599</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250000(含)-300000</v>
      </c>
      <c r="I102" s="578" t="str">
        <f t="shared" si="27"/>
        <v>300000(含)-500000</v>
      </c>
      <c r="J102" s="578" t="str">
        <f t="shared" si="27"/>
        <v>500000(含)-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50000</v>
      </c>
      <c r="E103" s="595">
        <v>100000</v>
      </c>
      <c r="F103" s="595">
        <v>150000</v>
      </c>
      <c r="G103" s="595">
        <v>200000</v>
      </c>
      <c r="H103" s="595">
        <v>250000</v>
      </c>
      <c r="I103" s="595">
        <v>300000</v>
      </c>
      <c r="J103" s="596">
        <v>500000</v>
      </c>
      <c r="K103" s="596"/>
      <c r="L103" s="597"/>
      <c r="M103" s="598"/>
      <c r="N103" s="1157"/>
      <c r="O103" s="1157"/>
      <c r="P103" s="2631"/>
      <c r="Q103" s="559"/>
    </row>
    <row r="104" spans="1:17" s="471" customFormat="1" ht="15.75" thickBot="1">
      <c r="A104" s="553"/>
      <c r="B104" s="543"/>
      <c r="C104" s="560">
        <v>100</v>
      </c>
      <c r="D104" s="536">
        <f>C104+1</f>
        <v>101</v>
      </c>
      <c r="E104" s="536">
        <f t="shared" ref="E104:I104" si="28">D104+1</f>
        <v>102</v>
      </c>
      <c r="F104" s="536">
        <f t="shared" si="28"/>
        <v>103</v>
      </c>
      <c r="G104" s="536">
        <f t="shared" si="28"/>
        <v>104</v>
      </c>
      <c r="H104" s="536">
        <f t="shared" si="28"/>
        <v>105</v>
      </c>
      <c r="I104" s="536">
        <f t="shared" si="28"/>
        <v>106</v>
      </c>
      <c r="J104" s="536"/>
      <c r="K104" s="536"/>
      <c r="L104" s="536"/>
      <c r="M104" s="536"/>
      <c r="N104" s="1156"/>
      <c r="O104" s="1156"/>
      <c r="P104" s="2631"/>
      <c r="Q104" s="559"/>
    </row>
    <row r="105" spans="1:17" ht="15" thickTop="1">
      <c r="A105" s="599"/>
      <c r="B105" s="538" t="s">
        <v>2600</v>
      </c>
      <c r="C105" s="2960" t="s">
        <v>3300</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6"/>
      <c r="O106" s="1156"/>
      <c r="P106" s="2630"/>
      <c r="Q106" s="504"/>
    </row>
    <row r="107" spans="1:17" ht="15" thickTop="1">
      <c r="A107" s="599"/>
      <c r="B107" s="538" t="s">
        <v>2601</v>
      </c>
      <c r="C107" s="2959" t="s">
        <v>3302</v>
      </c>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6"/>
      <c r="O108" s="1156"/>
      <c r="P108" s="2630"/>
      <c r="Q108" s="504"/>
    </row>
    <row r="109" spans="1:17" ht="15" thickTop="1">
      <c r="A109" s="599"/>
      <c r="B109" s="538" t="s">
        <v>2602</v>
      </c>
      <c r="C109" s="2960" t="s">
        <v>3304</v>
      </c>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6"/>
      <c r="O110" s="1156"/>
      <c r="P110" s="263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2603</v>
      </c>
      <c r="C114" s="2960" t="s">
        <v>3306</v>
      </c>
      <c r="D114" s="2960" t="s">
        <v>3307</v>
      </c>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6"/>
      <c r="O115" s="1156"/>
      <c r="P115" s="2630"/>
      <c r="Q115" s="504"/>
    </row>
    <row r="116" spans="1:17" ht="15" thickTop="1">
      <c r="A116" s="599"/>
      <c r="B116" s="538" t="s">
        <v>2604</v>
      </c>
      <c r="C116" s="554" t="s">
        <v>3266</v>
      </c>
      <c r="D116" s="554" t="s">
        <v>3281</v>
      </c>
      <c r="E116" s="554" t="s">
        <v>3282</v>
      </c>
      <c r="F116" s="554" t="s">
        <v>3283</v>
      </c>
      <c r="G116" s="554" t="s">
        <v>3284</v>
      </c>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2605</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6"/>
      <c r="O119" s="1156"/>
      <c r="P119" s="2630"/>
      <c r="Q119" s="504"/>
    </row>
    <row r="120" spans="1:17" s="471" customFormat="1" ht="28.5" thickTop="1">
      <c r="A120" s="593"/>
      <c r="B120" s="538" t="s">
        <v>2560</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2606</v>
      </c>
      <c r="C122" s="2960" t="s">
        <v>3304</v>
      </c>
      <c r="D122" s="2960" t="s">
        <v>3308</v>
      </c>
      <c r="E122" s="2960" t="s">
        <v>3310</v>
      </c>
      <c r="F122" s="2959" t="s">
        <v>3312</v>
      </c>
      <c r="G122" s="583"/>
      <c r="H122" s="583"/>
      <c r="I122" s="583"/>
      <c r="J122" s="583"/>
      <c r="K122" s="584"/>
      <c r="L122" s="585"/>
      <c r="M122" s="586"/>
      <c r="N122" s="1155"/>
      <c r="O122" s="1155"/>
      <c r="P122" s="2630"/>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6"/>
      <c r="O123" s="1156"/>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5"/>
      <c r="O124" s="1155"/>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2608</v>
      </c>
    </row>
    <row r="137" spans="1:17" ht="15">
      <c r="B137" s="2638" t="s">
        <v>2609</v>
      </c>
      <c r="C137" s="2639"/>
      <c r="D137" s="2639"/>
      <c r="E137" s="2639"/>
      <c r="F137" s="2639"/>
      <c r="G137" s="2640"/>
      <c r="H137" s="2641"/>
      <c r="I137" s="2642" t="s">
        <v>2610</v>
      </c>
      <c r="J137" s="2639"/>
      <c r="K137" s="2643"/>
    </row>
    <row r="138" spans="1:17" ht="15">
      <c r="B138" s="2644"/>
      <c r="C138" s="146" t="s">
        <v>2611</v>
      </c>
      <c r="D138" s="146" t="s">
        <v>2612</v>
      </c>
      <c r="E138" s="2645" t="s">
        <v>2613</v>
      </c>
      <c r="F138" s="2646" t="s">
        <v>2614</v>
      </c>
      <c r="G138" s="146" t="s">
        <v>2612</v>
      </c>
      <c r="H138" s="147" t="s">
        <v>2613</v>
      </c>
      <c r="I138" s="2647"/>
      <c r="J138" s="146" t="s">
        <v>2615</v>
      </c>
      <c r="K138" s="147" t="s">
        <v>2616</v>
      </c>
    </row>
    <row r="139" spans="1:17" ht="15">
      <c r="B139" s="1087">
        <v>6</v>
      </c>
      <c r="C139" s="1088">
        <v>96</v>
      </c>
      <c r="D139" s="2648" t="s">
        <v>2617</v>
      </c>
      <c r="E139" s="1089">
        <v>100</v>
      </c>
      <c r="F139" s="1090">
        <v>102.5</v>
      </c>
      <c r="G139" s="2648" t="s">
        <v>2617</v>
      </c>
      <c r="H139" s="1091">
        <v>105</v>
      </c>
      <c r="I139" s="2649" t="s">
        <v>2618</v>
      </c>
      <c r="J139" s="1088">
        <v>20</v>
      </c>
      <c r="K139" s="1092">
        <f>C145/(J139-2)</f>
        <v>4.0555555555555553E-3</v>
      </c>
    </row>
    <row r="140" spans="1:17" ht="15">
      <c r="B140" s="1093">
        <v>5</v>
      </c>
      <c r="C140" s="1094">
        <v>100</v>
      </c>
      <c r="D140" s="1094"/>
      <c r="E140" s="1095"/>
      <c r="F140" s="1096">
        <v>102</v>
      </c>
      <c r="G140" s="1094"/>
      <c r="H140" s="1097"/>
      <c r="I140" s="2650" t="s">
        <v>2619</v>
      </c>
      <c r="J140" s="315">
        <f>ROUNDUP((J139-1)/2,0)</f>
        <v>10</v>
      </c>
      <c r="K140" s="1098">
        <v>100</v>
      </c>
    </row>
    <row r="141" spans="1:17" ht="15">
      <c r="B141" s="1093">
        <v>4</v>
      </c>
      <c r="C141" s="1094">
        <v>102</v>
      </c>
      <c r="D141" s="1094"/>
      <c r="E141" s="1095"/>
      <c r="F141" s="1096">
        <v>101.5</v>
      </c>
      <c r="G141" s="1094"/>
      <c r="H141" s="1097"/>
      <c r="I141" s="2650" t="s">
        <v>2620</v>
      </c>
      <c r="J141" s="315">
        <v>1</v>
      </c>
      <c r="K141" s="1099">
        <f>ROUND(100+(J141-J140)*K139*100,1)</f>
        <v>96.4</v>
      </c>
    </row>
    <row r="142" spans="1:17" ht="15">
      <c r="B142" s="1093">
        <v>3</v>
      </c>
      <c r="C142" s="1094">
        <v>103</v>
      </c>
      <c r="D142" s="1094"/>
      <c r="E142" s="1095"/>
      <c r="F142" s="1096">
        <v>101</v>
      </c>
      <c r="G142" s="1094"/>
      <c r="H142" s="1097"/>
      <c r="I142" s="2650" t="s">
        <v>2621</v>
      </c>
      <c r="J142" s="315">
        <f>J139</f>
        <v>20</v>
      </c>
      <c r="K142" s="1100">
        <v>95</v>
      </c>
    </row>
    <row r="143" spans="1:17" ht="15">
      <c r="B143" s="1093">
        <v>2</v>
      </c>
      <c r="C143" s="1094">
        <v>100</v>
      </c>
      <c r="D143" s="1094"/>
      <c r="E143" s="1095"/>
      <c r="F143" s="1096">
        <v>100.5</v>
      </c>
      <c r="G143" s="1094"/>
      <c r="H143" s="1097"/>
      <c r="I143" s="2650" t="s">
        <v>2622</v>
      </c>
      <c r="J143" s="1094">
        <v>15</v>
      </c>
      <c r="K143" s="1099">
        <f>ROUND(100+(J143-J140)*K139*100,1)</f>
        <v>102</v>
      </c>
    </row>
    <row r="144" spans="1:17" ht="15">
      <c r="B144" s="1093">
        <v>1</v>
      </c>
      <c r="C144" s="1094">
        <v>98</v>
      </c>
      <c r="D144" s="2651" t="s">
        <v>2623</v>
      </c>
      <c r="E144" s="1095">
        <v>102</v>
      </c>
      <c r="F144" s="1101">
        <v>100</v>
      </c>
      <c r="G144" s="2651" t="s">
        <v>2623</v>
      </c>
      <c r="H144" s="1097">
        <v>105</v>
      </c>
      <c r="I144" s="2650" t="s">
        <v>2622</v>
      </c>
      <c r="J144" s="1094">
        <v>18</v>
      </c>
      <c r="K144" s="1099">
        <f>ROUND(100+(J144-J140)*K139*100,1)</f>
        <v>103.2</v>
      </c>
    </row>
    <row r="145" spans="2:11" ht="15.75" thickBot="1">
      <c r="B145" s="2652" t="s">
        <v>2624</v>
      </c>
      <c r="C145" s="1102">
        <f>ROUND(MAX(C139:C144)/MIN(C139:C144)-1,3)</f>
        <v>7.2999999999999995E-2</v>
      </c>
      <c r="D145" s="1103"/>
      <c r="E145" s="1103"/>
      <c r="F145" s="2653" t="s">
        <v>2625</v>
      </c>
      <c r="G145" s="2654"/>
      <c r="H145" s="2655"/>
      <c r="I145" s="2656" t="s">
        <v>2622</v>
      </c>
      <c r="J145" s="1104">
        <v>8</v>
      </c>
      <c r="K145" s="1105">
        <f>ROUND(100+(J145-J140)*K139*100,1)</f>
        <v>99.2</v>
      </c>
    </row>
    <row r="147" spans="2:11">
      <c r="B147" s="2637" t="s">
        <v>2626</v>
      </c>
    </row>
    <row r="148" spans="2:11">
      <c r="B148" s="2637"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1" sqref="L2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2514</v>
      </c>
      <c r="B1" s="2585" t="s">
        <v>2628</v>
      </c>
      <c r="C1" s="1637" t="s">
        <v>2516</v>
      </c>
      <c r="D1" s="1624"/>
      <c r="E1" s="2657"/>
      <c r="F1" s="2587"/>
      <c r="G1" s="1634" t="s">
        <v>2629</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2316</v>
      </c>
      <c r="B2" s="1421" t="e">
        <f ca="1">IF(C2="——",ROUND(C49*D3/10000,0),ROUND(C49*D3/10000,0)-D2)</f>
        <v>#DIV/0!</v>
      </c>
      <c r="C2" s="2589"/>
      <c r="D2" s="1368" t="e">
        <f ca="1">SUMIF(INDIRECT("'"&amp;F2&amp;"'"&amp;"!A:A"),"承租人权益价值",INDIRECT("'"&amp;F2&amp;"'"&amp;"!c:c"))</f>
        <v>#REF!</v>
      </c>
      <c r="E2" s="2590" t="s">
        <v>2317</v>
      </c>
      <c r="F2" s="2591"/>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2318</v>
      </c>
      <c r="B3" s="609" t="e">
        <f ca="1">IF(C2="——",C49,ROUND(B2*10000/D3,0))</f>
        <v>#DIV/0!</v>
      </c>
      <c r="C3" s="400" t="s">
        <v>2630</v>
      </c>
      <c r="D3" s="399">
        <f>IF(D1="",'数据-汇总表'!E3,SUMIF('数据-汇总表'!$C19:$C33,D1,'数据-汇总表'!$E19:$E33))</f>
        <v>95346</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2631</v>
      </c>
      <c r="B4" s="402"/>
      <c r="C4" s="3154" t="s">
        <v>2632</v>
      </c>
      <c r="D4" s="3167"/>
      <c r="E4" s="3168" t="s">
        <v>2633</v>
      </c>
      <c r="F4" s="3169"/>
      <c r="G4" s="3154" t="s">
        <v>2634</v>
      </c>
      <c r="H4" s="3167"/>
      <c r="I4" s="3154" t="s">
        <v>2635</v>
      </c>
      <c r="J4" s="3167"/>
      <c r="K4" s="610" t="s">
        <v>2636</v>
      </c>
      <c r="L4" s="1133"/>
      <c r="M4" s="1134"/>
      <c r="N4" s="1134"/>
      <c r="O4" s="1134"/>
      <c r="P4" s="3170" t="s">
        <v>2637</v>
      </c>
      <c r="Q4" s="3171"/>
      <c r="R4" s="3176" t="s">
        <v>2633</v>
      </c>
      <c r="S4" s="3177"/>
      <c r="T4" s="3176" t="s">
        <v>2634</v>
      </c>
      <c r="U4" s="3177"/>
      <c r="V4" s="3163" t="s">
        <v>2635</v>
      </c>
      <c r="W4" s="3163"/>
      <c r="X4" s="1816"/>
      <c r="Y4" s="3176" t="s">
        <v>2637</v>
      </c>
      <c r="Z4" s="3177"/>
      <c r="AA4" s="3164" t="s">
        <v>2633</v>
      </c>
      <c r="AB4" s="3163" t="s">
        <v>2634</v>
      </c>
      <c r="AC4" s="3164" t="s">
        <v>2635</v>
      </c>
    </row>
    <row r="5" spans="1:29" ht="15">
      <c r="A5" s="404"/>
      <c r="B5" s="405"/>
      <c r="C5" s="3184" t="s">
        <v>2528</v>
      </c>
      <c r="D5" s="3185"/>
      <c r="E5" s="3192" t="s">
        <v>2529</v>
      </c>
      <c r="F5" s="3193"/>
      <c r="G5" s="3184" t="s">
        <v>2530</v>
      </c>
      <c r="H5" s="3185"/>
      <c r="I5" s="3184" t="s">
        <v>2531</v>
      </c>
      <c r="J5" s="3185"/>
      <c r="K5" s="610"/>
      <c r="L5" s="1133"/>
      <c r="M5" s="1134"/>
      <c r="N5" s="1134"/>
      <c r="O5" s="1134"/>
      <c r="P5" s="3172"/>
      <c r="Q5" s="3173"/>
      <c r="R5" s="3178"/>
      <c r="S5" s="3179"/>
      <c r="T5" s="3178"/>
      <c r="U5" s="3179"/>
      <c r="V5" s="3163"/>
      <c r="W5" s="3163"/>
      <c r="X5" s="1816"/>
      <c r="Y5" s="3178"/>
      <c r="Z5" s="3179"/>
      <c r="AA5" s="3165"/>
      <c r="AB5" s="3163"/>
      <c r="AC5" s="3165"/>
    </row>
    <row r="6" spans="1:29" ht="15.75" thickBot="1">
      <c r="A6" s="406"/>
      <c r="B6" s="407"/>
      <c r="C6" s="3182" t="s">
        <v>2532</v>
      </c>
      <c r="D6" s="3183"/>
      <c r="E6" s="3190" t="s">
        <v>2532</v>
      </c>
      <c r="F6" s="3191"/>
      <c r="G6" s="3182" t="s">
        <v>2532</v>
      </c>
      <c r="H6" s="3183"/>
      <c r="I6" s="3182" t="s">
        <v>2532</v>
      </c>
      <c r="J6" s="3183"/>
      <c r="K6" s="610" t="s">
        <v>2533</v>
      </c>
      <c r="L6" s="1133"/>
      <c r="M6" s="1134"/>
      <c r="N6" s="1134"/>
      <c r="O6" s="1134"/>
      <c r="P6" s="3174"/>
      <c r="Q6" s="3175"/>
      <c r="R6" s="3178"/>
      <c r="S6" s="3179"/>
      <c r="T6" s="3180"/>
      <c r="U6" s="3181"/>
      <c r="V6" s="3163"/>
      <c r="W6" s="3163"/>
      <c r="X6" s="1816"/>
      <c r="Y6" s="3180"/>
      <c r="Z6" s="3181"/>
      <c r="AA6" s="3166"/>
      <c r="AB6" s="3163"/>
      <c r="AC6" s="3166"/>
    </row>
    <row r="7" spans="1:29" s="117" customFormat="1" ht="15.75" thickBot="1">
      <c r="A7" s="408" t="s">
        <v>2534</v>
      </c>
      <c r="B7" s="409"/>
      <c r="C7" s="410">
        <f>'数据-取费表'!B2</f>
        <v>43381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6" t="s">
        <v>2535</v>
      </c>
      <c r="Q7" s="3188"/>
      <c r="R7" s="770" t="s">
        <v>17</v>
      </c>
      <c r="S7" s="771">
        <f t="shared" ref="S7:S15" si="0">F7</f>
        <v>0</v>
      </c>
      <c r="T7" s="770" t="s">
        <v>17</v>
      </c>
      <c r="U7" s="771">
        <f t="shared" ref="U7:U15" si="1">H7</f>
        <v>0</v>
      </c>
      <c r="V7" s="770" t="s">
        <v>17</v>
      </c>
      <c r="W7" s="771">
        <f t="shared" ref="W7:W15" si="2">J7</f>
        <v>0</v>
      </c>
      <c r="X7" s="772"/>
      <c r="Y7" s="3186" t="s">
        <v>2535</v>
      </c>
      <c r="Z7" s="3187"/>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6" t="s">
        <v>2538</v>
      </c>
      <c r="Q8" s="3187"/>
      <c r="R8" s="770" t="s">
        <v>17</v>
      </c>
      <c r="S8" s="771">
        <f t="shared" si="0"/>
        <v>0</v>
      </c>
      <c r="T8" s="770" t="s">
        <v>17</v>
      </c>
      <c r="U8" s="771">
        <f t="shared" si="1"/>
        <v>0</v>
      </c>
      <c r="V8" s="770" t="s">
        <v>17</v>
      </c>
      <c r="W8" s="771">
        <f t="shared" si="2"/>
        <v>0</v>
      </c>
      <c r="X8" s="772"/>
      <c r="Y8" s="3186" t="s">
        <v>2538</v>
      </c>
      <c r="Z8" s="3187"/>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6" t="s">
        <v>2541</v>
      </c>
      <c r="Q9" s="1798" t="str">
        <f t="shared" ref="Q9:Q15" si="6">B9</f>
        <v>用途</v>
      </c>
      <c r="R9" s="770" t="s">
        <v>17</v>
      </c>
      <c r="S9" s="771">
        <f t="shared" si="0"/>
        <v>100</v>
      </c>
      <c r="T9" s="770" t="s">
        <v>17</v>
      </c>
      <c r="U9" s="771">
        <f t="shared" si="1"/>
        <v>100</v>
      </c>
      <c r="V9" s="770" t="s">
        <v>17</v>
      </c>
      <c r="W9" s="771">
        <f t="shared" si="2"/>
        <v>100</v>
      </c>
      <c r="X9" s="772"/>
      <c r="Y9" s="300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15">
      <c r="A15" s="440" t="s">
        <v>2545</v>
      </c>
      <c r="B15" s="69" t="s">
        <v>2639</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0" t="s">
        <v>2546</v>
      </c>
      <c r="Q15" s="1813" t="str">
        <f t="shared" si="6"/>
        <v>商业繁华度</v>
      </c>
      <c r="R15" s="774" t="s">
        <v>17</v>
      </c>
      <c r="S15" s="775">
        <f t="shared" si="0"/>
        <v>100</v>
      </c>
      <c r="T15" s="774" t="s">
        <v>17</v>
      </c>
      <c r="U15" s="775">
        <f t="shared" si="1"/>
        <v>100</v>
      </c>
      <c r="V15" s="774" t="s">
        <v>17</v>
      </c>
      <c r="W15" s="775">
        <f t="shared" si="2"/>
        <v>100</v>
      </c>
      <c r="X15" s="1816"/>
      <c r="Y15" s="3159" t="s">
        <v>2546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1"/>
      <c r="Q16" s="1813"/>
      <c r="R16" s="774"/>
      <c r="S16" s="775"/>
      <c r="T16" s="774"/>
      <c r="U16" s="775"/>
      <c r="V16" s="774"/>
      <c r="W16" s="775"/>
      <c r="X16" s="1816"/>
      <c r="Y16" s="3160"/>
      <c r="Z16" s="1817"/>
      <c r="AA16" s="1814">
        <v>1</v>
      </c>
      <c r="AB16" s="1814">
        <v>1</v>
      </c>
      <c r="AC16" s="1814">
        <v>1</v>
      </c>
    </row>
    <row r="17" spans="1:29" ht="15">
      <c r="A17" s="428"/>
      <c r="B17" s="451" t="s">
        <v>2088</v>
      </c>
      <c r="C17" s="2609"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1"/>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31"/>
      <c r="Q18" s="1813"/>
      <c r="R18" s="774"/>
      <c r="S18" s="775"/>
      <c r="T18" s="774"/>
      <c r="U18" s="775"/>
      <c r="V18" s="774"/>
      <c r="W18" s="775"/>
      <c r="X18" s="1816"/>
      <c r="Y18" s="3160"/>
      <c r="Z18" s="1817"/>
      <c r="AA18" s="1814">
        <v>1</v>
      </c>
      <c r="AB18" s="1814">
        <v>1</v>
      </c>
      <c r="AC18" s="1814">
        <v>1</v>
      </c>
    </row>
    <row r="19" spans="1:29" ht="15">
      <c r="A19" s="428"/>
      <c r="B19" s="451" t="s">
        <v>2640</v>
      </c>
      <c r="C19" s="2609"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1"/>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31"/>
      <c r="Q20" s="1813"/>
      <c r="R20" s="774"/>
      <c r="S20" s="775"/>
      <c r="T20" s="774"/>
      <c r="U20" s="775"/>
      <c r="V20" s="774"/>
      <c r="W20" s="775"/>
      <c r="X20" s="1816"/>
      <c r="Y20" s="3160"/>
      <c r="Z20" s="1817"/>
      <c r="AA20" s="1814">
        <v>1</v>
      </c>
      <c r="AB20" s="1814">
        <v>1</v>
      </c>
      <c r="AC20" s="1814">
        <v>1</v>
      </c>
    </row>
    <row r="21" spans="1:29" ht="15">
      <c r="A21" s="428"/>
      <c r="B21" s="1387" t="s">
        <v>2641</v>
      </c>
      <c r="C21" s="2609"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1"/>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31"/>
      <c r="Q22" s="1813"/>
      <c r="R22" s="774"/>
      <c r="S22" s="775"/>
      <c r="T22" s="774"/>
      <c r="U22" s="775"/>
      <c r="V22" s="774"/>
      <c r="W22" s="775"/>
      <c r="X22" s="1816"/>
      <c r="Y22" s="3160"/>
      <c r="Z22" s="1817"/>
      <c r="AA22" s="1814">
        <v>1</v>
      </c>
      <c r="AB22" s="1814">
        <v>1</v>
      </c>
      <c r="AC22" s="1814">
        <v>1</v>
      </c>
    </row>
    <row r="23" spans="1:29" ht="15">
      <c r="A23" s="428"/>
      <c r="B23" s="451" t="s">
        <v>2091</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1"/>
      <c r="Q23" s="1813" t="str">
        <f>B23</f>
        <v>自然及人文环境</v>
      </c>
      <c r="R23" s="774" t="s">
        <v>17</v>
      </c>
      <c r="S23" s="775">
        <f>F23</f>
        <v>100</v>
      </c>
      <c r="T23" s="774" t="s">
        <v>17</v>
      </c>
      <c r="U23" s="775">
        <f>H23</f>
        <v>100</v>
      </c>
      <c r="V23" s="774" t="s">
        <v>17</v>
      </c>
      <c r="W23" s="775">
        <f>J23</f>
        <v>100</v>
      </c>
      <c r="X23" s="1816"/>
      <c r="Y23" s="3160"/>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31"/>
      <c r="Q24" s="1813"/>
      <c r="R24" s="774"/>
      <c r="S24" s="775"/>
      <c r="T24" s="774"/>
      <c r="U24" s="775"/>
      <c r="V24" s="774"/>
      <c r="W24" s="775"/>
      <c r="X24" s="1816"/>
      <c r="Y24" s="3160"/>
      <c r="Z24" s="1817"/>
      <c r="AA24" s="1814">
        <v>1</v>
      </c>
      <c r="AB24" s="1814">
        <v>1</v>
      </c>
      <c r="AC24" s="1814">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1"/>
      <c r="Q25" s="1813" t="str">
        <f t="shared" ref="Q25:Q46" si="11">B25</f>
        <v>临街状况</v>
      </c>
      <c r="R25" s="774" t="s">
        <v>17</v>
      </c>
      <c r="S25" s="775">
        <f>F25</f>
        <v>100</v>
      </c>
      <c r="T25" s="774" t="s">
        <v>17</v>
      </c>
      <c r="U25" s="775">
        <f>H25</f>
        <v>100</v>
      </c>
      <c r="V25" s="774" t="s">
        <v>17</v>
      </c>
      <c r="W25" s="775">
        <f>J25</f>
        <v>100</v>
      </c>
      <c r="X25" s="1816"/>
      <c r="Y25" s="3160"/>
      <c r="Z25" s="1817" t="str">
        <f>Q25</f>
        <v>临街状况</v>
      </c>
      <c r="AA25" s="1814">
        <f t="shared" si="3"/>
        <v>1</v>
      </c>
      <c r="AB25" s="1814">
        <f t="shared" si="4"/>
        <v>1</v>
      </c>
      <c r="AC25" s="1814">
        <f t="shared" si="5"/>
        <v>1</v>
      </c>
    </row>
    <row r="26" spans="1:29" ht="15">
      <c r="A26" s="428"/>
      <c r="B26" s="1389" t="s">
        <v>2643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1"/>
      <c r="Q26" s="1813" t="str">
        <f t="shared" si="11"/>
        <v>平面位置/可视性</v>
      </c>
      <c r="R26" s="774" t="s">
        <v>17</v>
      </c>
      <c r="S26" s="775">
        <f>F26</f>
        <v>100</v>
      </c>
      <c r="T26" s="774" t="s">
        <v>17</v>
      </c>
      <c r="U26" s="775">
        <f>H26</f>
        <v>100</v>
      </c>
      <c r="V26" s="774" t="s">
        <v>17</v>
      </c>
      <c r="W26" s="775">
        <f>J26</f>
        <v>100</v>
      </c>
      <c r="X26" s="1816"/>
      <c r="Y26" s="3160"/>
      <c r="Z26" s="1817" t="str">
        <f>Q26</f>
        <v>平面位置/可视性</v>
      </c>
      <c r="AA26" s="1814">
        <f t="shared" si="3"/>
        <v>1</v>
      </c>
      <c r="AB26" s="1814">
        <f t="shared" si="4"/>
        <v>1</v>
      </c>
      <c r="AC26" s="1814">
        <f t="shared" si="5"/>
        <v>1</v>
      </c>
    </row>
    <row r="27" spans="1:29" s="117" customFormat="1" ht="15">
      <c r="A27" s="431"/>
      <c r="B27" s="451" t="s">
        <v>2644</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31"/>
      <c r="Q27" s="1798" t="str">
        <f t="shared" si="11"/>
        <v>人流量</v>
      </c>
      <c r="R27" s="770" t="s">
        <v>17</v>
      </c>
      <c r="S27" s="771">
        <f>F27</f>
        <v>100</v>
      </c>
      <c r="T27" s="770" t="s">
        <v>17</v>
      </c>
      <c r="U27" s="771">
        <f>H27</f>
        <v>100</v>
      </c>
      <c r="V27" s="770" t="s">
        <v>17</v>
      </c>
      <c r="W27" s="771">
        <f>J27</f>
        <v>100</v>
      </c>
      <c r="X27" s="772"/>
      <c r="Y27" s="3160"/>
      <c r="Z27" s="55" t="str">
        <f>Q27</f>
        <v>人流量</v>
      </c>
      <c r="AA27" s="1814">
        <f>D27/F27</f>
        <v>1</v>
      </c>
      <c r="AB27" s="1814">
        <f>D27/H27</f>
        <v>1</v>
      </c>
      <c r="AC27" s="1814">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1"/>
      <c r="Q29" s="1813">
        <f t="shared" si="11"/>
        <v>111</v>
      </c>
      <c r="R29" s="774" t="s">
        <v>17</v>
      </c>
      <c r="S29" s="775">
        <f t="shared" si="12"/>
        <v>100</v>
      </c>
      <c r="T29" s="774" t="s">
        <v>17</v>
      </c>
      <c r="U29" s="775">
        <f t="shared" si="13"/>
        <v>100</v>
      </c>
      <c r="V29" s="774" t="s">
        <v>17</v>
      </c>
      <c r="W29" s="775">
        <f t="shared" si="14"/>
        <v>100</v>
      </c>
      <c r="X29" s="1816"/>
      <c r="Y29" s="316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1814">
        <f t="shared" si="5"/>
        <v>1</v>
      </c>
    </row>
    <row r="32" spans="1:29" ht="15">
      <c r="A32" s="440" t="s">
        <v>2549</v>
      </c>
      <c r="B32" s="71" t="s">
        <v>2646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6" t="s">
        <v>2551</v>
      </c>
      <c r="Q32" s="1813" t="str">
        <f t="shared" si="11"/>
        <v>商业类型</v>
      </c>
      <c r="R32" s="774" t="s">
        <v>17</v>
      </c>
      <c r="S32" s="775">
        <f t="shared" si="12"/>
        <v>100</v>
      </c>
      <c r="T32" s="774" t="s">
        <v>17</v>
      </c>
      <c r="U32" s="775">
        <f t="shared" si="13"/>
        <v>100</v>
      </c>
      <c r="V32" s="774" t="s">
        <v>17</v>
      </c>
      <c r="W32" s="775">
        <f t="shared" si="14"/>
        <v>100</v>
      </c>
      <c r="X32" s="1816"/>
      <c r="Y32" s="3162" t="s">
        <v>2551</v>
      </c>
      <c r="Z32" s="1817" t="str">
        <f t="shared" si="15"/>
        <v>商业类型</v>
      </c>
      <c r="AA32" s="1814">
        <f t="shared" si="3"/>
        <v>1</v>
      </c>
      <c r="AB32" s="1814">
        <f t="shared" si="4"/>
        <v>1</v>
      </c>
      <c r="AC32" s="1814">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11"/>
        <v>项目建筑规模</v>
      </c>
      <c r="R33" s="777" t="s">
        <v>17</v>
      </c>
      <c r="S33" s="778" t="e">
        <f t="shared" si="12"/>
        <v>#N/A</v>
      </c>
      <c r="T33" s="777" t="s">
        <v>17</v>
      </c>
      <c r="U33" s="778" t="e">
        <f t="shared" si="13"/>
        <v>#N/A</v>
      </c>
      <c r="V33" s="777" t="s">
        <v>17</v>
      </c>
      <c r="W33" s="778" t="e">
        <f t="shared" si="14"/>
        <v>#N/A</v>
      </c>
      <c r="X33" s="779"/>
      <c r="Y33" s="3162"/>
      <c r="Z33" s="780" t="str">
        <f t="shared" si="15"/>
        <v>项目建筑规模</v>
      </c>
      <c r="AA33" s="1814" t="e">
        <f t="shared" si="3"/>
        <v>#N/A</v>
      </c>
      <c r="AB33" s="1814" t="e">
        <f t="shared" si="4"/>
        <v>#N/A</v>
      </c>
      <c r="AC33" s="1814" t="e">
        <f t="shared" si="5"/>
        <v>#N/A</v>
      </c>
    </row>
    <row r="34" spans="1:29" ht="15">
      <c r="A34" s="472"/>
      <c r="B34" s="422" t="s">
        <v>2553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27"/>
      <c r="Q34" s="1813" t="str">
        <f t="shared" si="11"/>
        <v>建筑结构</v>
      </c>
      <c r="R34" s="774" t="s">
        <v>17</v>
      </c>
      <c r="S34" s="775">
        <f t="shared" si="12"/>
        <v>100</v>
      </c>
      <c r="T34" s="774" t="s">
        <v>17</v>
      </c>
      <c r="U34" s="775">
        <f t="shared" si="13"/>
        <v>100</v>
      </c>
      <c r="V34" s="774" t="s">
        <v>17</v>
      </c>
      <c r="W34" s="775">
        <f t="shared" si="14"/>
        <v>100</v>
      </c>
      <c r="X34" s="1816"/>
      <c r="Y34" s="3162"/>
      <c r="Z34" s="1817" t="str">
        <f t="shared" si="15"/>
        <v>建筑结构</v>
      </c>
      <c r="AA34" s="1814">
        <f t="shared" si="3"/>
        <v>1</v>
      </c>
      <c r="AB34" s="1814">
        <f t="shared" si="4"/>
        <v>1</v>
      </c>
      <c r="AC34" s="1814">
        <f t="shared" si="5"/>
        <v>1</v>
      </c>
    </row>
    <row r="35" spans="1:29" ht="15">
      <c r="A35" s="472"/>
      <c r="B35" s="422" t="s">
        <v>2647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7"/>
      <c r="Q35" s="1813" t="str">
        <f t="shared" si="11"/>
        <v>公共部分装修</v>
      </c>
      <c r="R35" s="774" t="s">
        <v>17</v>
      </c>
      <c r="S35" s="775">
        <f t="shared" si="12"/>
        <v>100</v>
      </c>
      <c r="T35" s="774" t="s">
        <v>17</v>
      </c>
      <c r="U35" s="775">
        <f t="shared" si="13"/>
        <v>100</v>
      </c>
      <c r="V35" s="774" t="s">
        <v>17</v>
      </c>
      <c r="W35" s="775">
        <f t="shared" si="14"/>
        <v>100</v>
      </c>
      <c r="X35" s="1816"/>
      <c r="Y35" s="3162"/>
      <c r="Z35" s="1817" t="str">
        <f t="shared" si="15"/>
        <v>公共部分装修</v>
      </c>
      <c r="AA35" s="1814">
        <f t="shared" si="3"/>
        <v>1</v>
      </c>
      <c r="AB35" s="1814">
        <f t="shared" si="4"/>
        <v>1</v>
      </c>
      <c r="AC35" s="1814">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13" t="str">
        <f t="shared" si="11"/>
        <v>成新度</v>
      </c>
      <c r="R36" s="774" t="s">
        <v>17</v>
      </c>
      <c r="S36" s="775" t="e">
        <f t="shared" si="12"/>
        <v>#N/A</v>
      </c>
      <c r="T36" s="774" t="s">
        <v>17</v>
      </c>
      <c r="U36" s="775" t="e">
        <f t="shared" si="13"/>
        <v>#N/A</v>
      </c>
      <c r="V36" s="774" t="s">
        <v>17</v>
      </c>
      <c r="W36" s="775" t="e">
        <f t="shared" si="14"/>
        <v>#N/A</v>
      </c>
      <c r="X36" s="1816"/>
      <c r="Y36" s="3162"/>
      <c r="Z36" s="1817" t="str">
        <f t="shared" si="15"/>
        <v>成新度</v>
      </c>
      <c r="AA36" s="1814" t="e">
        <f t="shared" si="3"/>
        <v>#N/A</v>
      </c>
      <c r="AB36" s="1814" t="e">
        <f t="shared" si="4"/>
        <v>#N/A</v>
      </c>
      <c r="AC36" s="1814" t="e">
        <f t="shared" si="5"/>
        <v>#N/A</v>
      </c>
    </row>
    <row r="37" spans="1:29" s="117" customFormat="1" ht="15">
      <c r="A37" s="473"/>
      <c r="B37" s="422" t="s">
        <v>2649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7"/>
      <c r="Q37" s="1798" t="str">
        <f t="shared" si="11"/>
        <v>市政基础设施</v>
      </c>
      <c r="R37" s="770" t="s">
        <v>17</v>
      </c>
      <c r="S37" s="771">
        <f t="shared" si="12"/>
        <v>100</v>
      </c>
      <c r="T37" s="770" t="s">
        <v>17</v>
      </c>
      <c r="U37" s="771">
        <f t="shared" si="13"/>
        <v>100</v>
      </c>
      <c r="V37" s="770" t="s">
        <v>17</v>
      </c>
      <c r="W37" s="771">
        <f t="shared" si="14"/>
        <v>100</v>
      </c>
      <c r="X37" s="772"/>
      <c r="Y37" s="3162"/>
      <c r="Z37" s="55" t="str">
        <f t="shared" si="15"/>
        <v>市政基础设施</v>
      </c>
      <c r="AA37" s="773">
        <f t="shared" si="3"/>
        <v>1</v>
      </c>
      <c r="AB37" s="773">
        <f t="shared" si="4"/>
        <v>1</v>
      </c>
      <c r="AC37" s="773">
        <f t="shared" si="5"/>
        <v>1</v>
      </c>
    </row>
    <row r="38" spans="1:29" ht="15">
      <c r="A38" s="472"/>
      <c r="B38" s="422" t="s">
        <v>2650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7" t="s">
        <v>2551</v>
      </c>
      <c r="Q38" s="1813" t="str">
        <f t="shared" si="11"/>
        <v>业态</v>
      </c>
      <c r="R38" s="774" t="s">
        <v>17</v>
      </c>
      <c r="S38" s="775">
        <f t="shared" si="12"/>
        <v>100</v>
      </c>
      <c r="T38" s="774" t="s">
        <v>17</v>
      </c>
      <c r="U38" s="775">
        <f t="shared" si="13"/>
        <v>100</v>
      </c>
      <c r="V38" s="774" t="s">
        <v>17</v>
      </c>
      <c r="W38" s="775">
        <f t="shared" si="14"/>
        <v>100</v>
      </c>
      <c r="X38" s="1816"/>
      <c r="Y38" s="3162" t="s">
        <v>2551</v>
      </c>
      <c r="Z38" s="1817" t="str">
        <f t="shared" si="15"/>
        <v>业态</v>
      </c>
      <c r="AA38" s="1814">
        <f t="shared" si="3"/>
        <v>1</v>
      </c>
      <c r="AB38" s="1814">
        <f t="shared" si="4"/>
        <v>1</v>
      </c>
      <c r="AC38" s="1814">
        <f t="shared" si="5"/>
        <v>1</v>
      </c>
    </row>
    <row r="39" spans="1:29" ht="15">
      <c r="A39" s="472"/>
      <c r="B39" s="422" t="s">
        <v>2651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7"/>
      <c r="Q39" s="1813" t="str">
        <f t="shared" si="11"/>
        <v>层高</v>
      </c>
      <c r="R39" s="774" t="s">
        <v>17</v>
      </c>
      <c r="S39" s="775">
        <f t="shared" si="12"/>
        <v>100</v>
      </c>
      <c r="T39" s="774" t="s">
        <v>17</v>
      </c>
      <c r="U39" s="775">
        <f t="shared" si="13"/>
        <v>100</v>
      </c>
      <c r="V39" s="774" t="s">
        <v>17</v>
      </c>
      <c r="W39" s="775">
        <f t="shared" si="14"/>
        <v>100</v>
      </c>
      <c r="X39" s="1816"/>
      <c r="Y39" s="3162"/>
      <c r="Z39" s="1817" t="str">
        <f t="shared" si="15"/>
        <v>层高</v>
      </c>
      <c r="AA39" s="1814">
        <f t="shared" si="3"/>
        <v>1</v>
      </c>
      <c r="AB39" s="1814">
        <f t="shared" si="4"/>
        <v>1</v>
      </c>
      <c r="AC39" s="1814">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13" t="str">
        <f t="shared" si="11"/>
        <v>单套建筑面积</v>
      </c>
      <c r="R40" s="774" t="s">
        <v>17</v>
      </c>
      <c r="S40" s="775">
        <f t="shared" si="12"/>
        <v>100</v>
      </c>
      <c r="T40" s="774" t="s">
        <v>17</v>
      </c>
      <c r="U40" s="775">
        <f t="shared" si="13"/>
        <v>100</v>
      </c>
      <c r="V40" s="774" t="s">
        <v>17</v>
      </c>
      <c r="W40" s="775">
        <f t="shared" si="14"/>
        <v>100</v>
      </c>
      <c r="X40" s="1816"/>
      <c r="Y40" s="3162"/>
      <c r="Z40" s="1817" t="str">
        <f t="shared" si="15"/>
        <v>单套建筑面积</v>
      </c>
      <c r="AA40" s="1814">
        <f t="shared" si="3"/>
        <v>1</v>
      </c>
      <c r="AB40" s="1814">
        <f t="shared" si="4"/>
        <v>1</v>
      </c>
      <c r="AC40" s="1814">
        <f t="shared" si="5"/>
        <v>1</v>
      </c>
    </row>
    <row r="41" spans="1:29" s="471" customFormat="1" ht="15">
      <c r="A41" s="468"/>
      <c r="B41" s="1815"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11"/>
        <v>进深比</v>
      </c>
      <c r="R41" s="777" t="s">
        <v>17</v>
      </c>
      <c r="S41" s="778">
        <f t="shared" si="12"/>
        <v>100</v>
      </c>
      <c r="T41" s="777" t="s">
        <v>17</v>
      </c>
      <c r="U41" s="778">
        <f t="shared" si="13"/>
        <v>100</v>
      </c>
      <c r="V41" s="777" t="s">
        <v>17</v>
      </c>
      <c r="W41" s="778">
        <f t="shared" si="14"/>
        <v>100</v>
      </c>
      <c r="X41" s="779"/>
      <c r="Y41" s="3162"/>
      <c r="Z41" s="780" t="str">
        <f t="shared" si="15"/>
        <v>进深比</v>
      </c>
      <c r="AA41" s="1814">
        <f t="shared" si="3"/>
        <v>1</v>
      </c>
      <c r="AB41" s="1814">
        <f t="shared" si="4"/>
        <v>1</v>
      </c>
      <c r="AC41" s="1814">
        <f t="shared" si="5"/>
        <v>1</v>
      </c>
    </row>
    <row r="42" spans="1:29" ht="15">
      <c r="A42" s="472"/>
      <c r="B42" s="422" t="s">
        <v>2654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7"/>
      <c r="Q42" s="1813" t="str">
        <f t="shared" si="11"/>
        <v>内部装修</v>
      </c>
      <c r="R42" s="774" t="s">
        <v>17</v>
      </c>
      <c r="S42" s="775">
        <f t="shared" si="12"/>
        <v>100</v>
      </c>
      <c r="T42" s="774" t="s">
        <v>17</v>
      </c>
      <c r="U42" s="775">
        <f t="shared" si="13"/>
        <v>100</v>
      </c>
      <c r="V42" s="774" t="s">
        <v>17</v>
      </c>
      <c r="W42" s="775">
        <f t="shared" si="14"/>
        <v>100</v>
      </c>
      <c r="X42" s="1816"/>
      <c r="Y42" s="3162"/>
      <c r="Z42" s="1817" t="str">
        <f t="shared" si="15"/>
        <v>内部装修</v>
      </c>
      <c r="AA42" s="1814">
        <f t="shared" si="3"/>
        <v>1</v>
      </c>
      <c r="AB42" s="1814">
        <f t="shared" si="4"/>
        <v>1</v>
      </c>
      <c r="AC42" s="1814">
        <f t="shared" si="5"/>
        <v>1</v>
      </c>
    </row>
    <row r="43" spans="1:29" ht="15">
      <c r="A43" s="472"/>
      <c r="B43" s="422" t="s">
        <v>2562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7"/>
      <c r="Q43" s="1813" t="str">
        <f t="shared" si="11"/>
        <v>内部装修维护情况</v>
      </c>
      <c r="R43" s="774" t="s">
        <v>17</v>
      </c>
      <c r="S43" s="775">
        <f t="shared" si="12"/>
        <v>100</v>
      </c>
      <c r="T43" s="774" t="s">
        <v>17</v>
      </c>
      <c r="U43" s="775">
        <f t="shared" si="13"/>
        <v>100</v>
      </c>
      <c r="V43" s="774" t="s">
        <v>17</v>
      </c>
      <c r="W43" s="775">
        <f t="shared" si="14"/>
        <v>100</v>
      </c>
      <c r="X43" s="1816"/>
      <c r="Y43" s="316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8">
        <f t="shared" si="11"/>
        <v>111</v>
      </c>
      <c r="R44" s="770" t="s">
        <v>17</v>
      </c>
      <c r="S44" s="771">
        <f t="shared" si="12"/>
        <v>100</v>
      </c>
      <c r="T44" s="770" t="s">
        <v>17</v>
      </c>
      <c r="U44" s="771">
        <f t="shared" si="13"/>
        <v>100</v>
      </c>
      <c r="V44" s="770" t="s">
        <v>17</v>
      </c>
      <c r="W44" s="771">
        <f t="shared" si="14"/>
        <v>100</v>
      </c>
      <c r="X44" s="772"/>
      <c r="Y44" s="316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13">
        <f t="shared" si="11"/>
        <v>111</v>
      </c>
      <c r="R45" s="774" t="s">
        <v>17</v>
      </c>
      <c r="S45" s="775">
        <f t="shared" si="12"/>
        <v>100</v>
      </c>
      <c r="T45" s="774" t="s">
        <v>17</v>
      </c>
      <c r="U45" s="775">
        <f t="shared" si="13"/>
        <v>100</v>
      </c>
      <c r="V45" s="774" t="s">
        <v>17</v>
      </c>
      <c r="W45" s="775">
        <f t="shared" si="14"/>
        <v>100</v>
      </c>
      <c r="X45" s="1816"/>
      <c r="Y45" s="3162"/>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13">
        <f t="shared" si="11"/>
        <v>111</v>
      </c>
      <c r="R46" s="774" t="s">
        <v>17</v>
      </c>
      <c r="S46" s="775">
        <f t="shared" si="12"/>
        <v>100</v>
      </c>
      <c r="T46" s="774" t="s">
        <v>17</v>
      </c>
      <c r="U46" s="775">
        <f t="shared" si="13"/>
        <v>100</v>
      </c>
      <c r="V46" s="774" t="s">
        <v>17</v>
      </c>
      <c r="W46" s="775">
        <f t="shared" si="14"/>
        <v>100</v>
      </c>
      <c r="X46" s="1816"/>
      <c r="Y46" s="3229"/>
      <c r="Z46" s="1817">
        <f t="shared" si="15"/>
        <v>111</v>
      </c>
      <c r="AA46" s="1814">
        <f t="shared" si="3"/>
        <v>1</v>
      </c>
      <c r="AB46" s="1814">
        <f t="shared" si="4"/>
        <v>1</v>
      </c>
      <c r="AC46" s="1814">
        <f t="shared" si="5"/>
        <v>1</v>
      </c>
    </row>
    <row r="47" spans="1:29" ht="15">
      <c r="A47" s="479" t="s">
        <v>2563</v>
      </c>
      <c r="B47" s="480"/>
      <c r="C47" s="1410" t="s">
        <v>1</v>
      </c>
      <c r="D47" s="1411"/>
      <c r="E47" s="1412"/>
      <c r="F47" s="1413"/>
      <c r="G47" s="1414"/>
      <c r="H47" s="1415"/>
      <c r="I47" s="1412"/>
      <c r="J47" s="1415"/>
      <c r="K47" s="783"/>
      <c r="L47" s="1146"/>
      <c r="M47" s="1147"/>
      <c r="N47" s="1134"/>
      <c r="O47" s="1147"/>
      <c r="P47" s="3157" t="str">
        <f>A47</f>
        <v>成交单价（元/平方米）</v>
      </c>
      <c r="Q47" s="3157"/>
      <c r="R47" s="3163">
        <f>E47</f>
        <v>0</v>
      </c>
      <c r="S47" s="3163"/>
      <c r="T47" s="3163">
        <f>G47</f>
        <v>0</v>
      </c>
      <c r="U47" s="3163"/>
      <c r="V47" s="3163">
        <f>I47</f>
        <v>0</v>
      </c>
      <c r="W47" s="3163"/>
      <c r="X47" s="759"/>
      <c r="Y47" s="781"/>
      <c r="Z47" s="759"/>
      <c r="AA47" s="759"/>
      <c r="AB47" s="759"/>
      <c r="AC47" s="759"/>
    </row>
    <row r="48" spans="1:29" ht="15.75" thickBot="1">
      <c r="A48" s="486" t="s">
        <v>2655</v>
      </c>
      <c r="B48" s="487"/>
      <c r="C48" s="1416" t="e">
        <f>R49</f>
        <v>#DIV/0!</v>
      </c>
      <c r="D48" s="1417"/>
      <c r="E48" s="1418" t="e">
        <f>R48</f>
        <v>#DIV/0!</v>
      </c>
      <c r="F48" s="1418"/>
      <c r="G48" s="1416" t="e">
        <f>T48</f>
        <v>#DIV/0!</v>
      </c>
      <c r="H48" s="1417"/>
      <c r="I48" s="1418" t="e">
        <f>V48</f>
        <v>#DIV/0!</v>
      </c>
      <c r="J48" s="1417"/>
      <c r="K48" s="784"/>
      <c r="L48" s="1146"/>
      <c r="M48" s="1147"/>
      <c r="N48" s="1134"/>
      <c r="O48" s="1147"/>
      <c r="P48" s="3157" t="str">
        <f>A48</f>
        <v>比较价值（元/平方米）</v>
      </c>
      <c r="Q48" s="3157"/>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2656</v>
      </c>
      <c r="B49" s="493"/>
      <c r="C49" s="1420" t="e">
        <f>R49</f>
        <v>#DIV/0!</v>
      </c>
      <c r="D49" s="1420"/>
      <c r="E49" s="1420"/>
      <c r="F49" s="1420"/>
      <c r="G49" s="1420"/>
      <c r="H49" s="1420"/>
      <c r="I49" s="1420"/>
      <c r="J49" s="1420"/>
      <c r="K49" s="785"/>
      <c r="L49" s="1146"/>
      <c r="M49" s="1147"/>
      <c r="N49" s="1134"/>
      <c r="O49" s="1147"/>
      <c r="P49" s="3151" t="str">
        <f>A49</f>
        <v>估价对象XX用房的比较价值（楼面单价，元/平方米）</v>
      </c>
      <c r="Q49" s="3152"/>
      <c r="R49" s="3224" t="e">
        <f>IF(F1="售价",ROUND(AVERAGE(R48:V48),0),ROUND(AVERAGE(R48:V48),1))</f>
        <v>#DIV/0!</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2534</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2536</v>
      </c>
      <c r="B61" s="510"/>
      <c r="C61" s="522" t="s">
        <v>2638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2574</v>
      </c>
      <c r="B63" s="528" t="s">
        <v>2540</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2641</v>
      </c>
      <c r="C82" s="660" t="s">
        <v>2661</v>
      </c>
      <c r="D82" s="660" t="s">
        <v>2662</v>
      </c>
      <c r="E82" s="660" t="s">
        <v>2663</v>
      </c>
      <c r="F82" s="660" t="s">
        <v>2664</v>
      </c>
      <c r="G82" s="660" t="s">
        <v>2665</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2666</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2549</v>
      </c>
      <c r="B100" s="528" t="s">
        <v>2667</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2600</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2602</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2604</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2668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2669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2670</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2671</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2606</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2514</v>
      </c>
      <c r="B1" s="2669" t="s">
        <v>2672</v>
      </c>
      <c r="C1" s="1623" t="s">
        <v>2516</v>
      </c>
      <c r="D1" s="1624"/>
      <c r="E1" s="1633"/>
      <c r="F1" s="2587"/>
      <c r="G1" s="1634" t="s">
        <v>2629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IF(C2="——",ROUND(C50*D3/10000,0),ROUND(C50*D3/10000,0)-D2)</f>
        <v>#DIV/0!</v>
      </c>
      <c r="C2" s="2589"/>
      <c r="D2" s="1368" t="e">
        <f ca="1">SUMIF(INDIRECT("'"&amp;F2&amp;"'"&amp;"!A:A"),"承租人权益价值",INDIRECT("'"&amp;F2&amp;"'"&amp;"!c:c"))</f>
        <v>#REF!</v>
      </c>
      <c r="E2" s="2590" t="s">
        <v>2317</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2630</v>
      </c>
      <c r="D3" s="399">
        <f>IF(D1="",'数据-汇总表'!E3,SUMIF('数据-汇总表'!$C19:$C33,D1,'数据-汇总表'!$E19:$E33))</f>
        <v>95346</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2631</v>
      </c>
      <c r="B4" s="402"/>
      <c r="C4" s="3154" t="s">
        <v>2632</v>
      </c>
      <c r="D4" s="3167"/>
      <c r="E4" s="3168" t="s">
        <v>2633</v>
      </c>
      <c r="F4" s="3169"/>
      <c r="G4" s="3154" t="s">
        <v>2634</v>
      </c>
      <c r="H4" s="3167"/>
      <c r="I4" s="3154" t="s">
        <v>2635</v>
      </c>
      <c r="J4" s="3167"/>
      <c r="K4" s="610" t="s">
        <v>2636</v>
      </c>
      <c r="L4" s="1133"/>
      <c r="M4" s="1134"/>
      <c r="N4" s="1134"/>
      <c r="O4" s="1134"/>
      <c r="P4" s="3240" t="s">
        <v>2637</v>
      </c>
      <c r="Q4" s="3241"/>
      <c r="R4" s="3244" t="s">
        <v>2633</v>
      </c>
      <c r="S4" s="3245"/>
      <c r="T4" s="3244" t="s">
        <v>2634</v>
      </c>
      <c r="U4" s="3245"/>
      <c r="V4" s="3246" t="s">
        <v>2635</v>
      </c>
      <c r="W4" s="3246"/>
      <c r="X4" s="2670"/>
      <c r="Y4" s="3244" t="s">
        <v>2637</v>
      </c>
      <c r="Z4" s="3245"/>
      <c r="AA4" s="3248" t="s">
        <v>2633</v>
      </c>
      <c r="AB4" s="3248" t="s">
        <v>2634</v>
      </c>
      <c r="AC4" s="3237" t="s">
        <v>2635</v>
      </c>
    </row>
    <row r="5" spans="1:29" ht="15">
      <c r="A5" s="404"/>
      <c r="B5" s="405"/>
      <c r="C5" s="3184" t="s">
        <v>2528</v>
      </c>
      <c r="D5" s="3185"/>
      <c r="E5" s="3192" t="s">
        <v>2529</v>
      </c>
      <c r="F5" s="3193"/>
      <c r="G5" s="3184" t="s">
        <v>2530</v>
      </c>
      <c r="H5" s="3185"/>
      <c r="I5" s="3184" t="s">
        <v>2531</v>
      </c>
      <c r="J5" s="3185"/>
      <c r="K5" s="610"/>
      <c r="L5" s="1133"/>
      <c r="M5" s="1134"/>
      <c r="N5" s="1134"/>
      <c r="O5" s="1134"/>
      <c r="P5" s="3242"/>
      <c r="Q5" s="3173"/>
      <c r="R5" s="3178"/>
      <c r="S5" s="3179"/>
      <c r="T5" s="3178"/>
      <c r="U5" s="3179"/>
      <c r="V5" s="3163"/>
      <c r="W5" s="3163"/>
      <c r="X5" s="1816"/>
      <c r="Y5" s="3178"/>
      <c r="Z5" s="3179"/>
      <c r="AA5" s="3165"/>
      <c r="AB5" s="3165"/>
      <c r="AC5" s="3238"/>
    </row>
    <row r="6" spans="1:29" ht="15.75" thickBot="1">
      <c r="A6" s="406"/>
      <c r="B6" s="407"/>
      <c r="C6" s="3182" t="s">
        <v>2532</v>
      </c>
      <c r="D6" s="3183"/>
      <c r="E6" s="3190" t="s">
        <v>2532</v>
      </c>
      <c r="F6" s="3191"/>
      <c r="G6" s="3182" t="s">
        <v>2532</v>
      </c>
      <c r="H6" s="3183"/>
      <c r="I6" s="3182" t="s">
        <v>2532</v>
      </c>
      <c r="J6" s="3183"/>
      <c r="K6" s="610" t="s">
        <v>2533</v>
      </c>
      <c r="L6" s="1133"/>
      <c r="M6" s="1134"/>
      <c r="N6" s="1134"/>
      <c r="O6" s="1134"/>
      <c r="P6" s="3243"/>
      <c r="Q6" s="3175"/>
      <c r="R6" s="3178"/>
      <c r="S6" s="3179"/>
      <c r="T6" s="3180"/>
      <c r="U6" s="3181"/>
      <c r="V6" s="3163"/>
      <c r="W6" s="3163"/>
      <c r="X6" s="1816"/>
      <c r="Y6" s="3180"/>
      <c r="Z6" s="3181"/>
      <c r="AA6" s="3166"/>
      <c r="AB6" s="3166"/>
      <c r="AC6" s="3239"/>
    </row>
    <row r="7" spans="1:29" s="117" customFormat="1" ht="15.75" thickBot="1">
      <c r="A7" s="408" t="s">
        <v>2534</v>
      </c>
      <c r="B7" s="409"/>
      <c r="C7" s="410">
        <f>'数据-取费表'!B2</f>
        <v>43381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2535</v>
      </c>
      <c r="Q7" s="3188"/>
      <c r="R7" s="770" t="s">
        <v>17</v>
      </c>
      <c r="S7" s="771">
        <f t="shared" ref="S7:S15" si="0">F7</f>
        <v>0</v>
      </c>
      <c r="T7" s="770" t="s">
        <v>17</v>
      </c>
      <c r="U7" s="771">
        <f t="shared" ref="U7:U15" si="1">H7</f>
        <v>0</v>
      </c>
      <c r="V7" s="770" t="s">
        <v>17</v>
      </c>
      <c r="W7" s="771">
        <f t="shared" ref="W7:W15" si="2">J7</f>
        <v>0</v>
      </c>
      <c r="X7" s="772"/>
      <c r="Y7" s="3186" t="s">
        <v>2535</v>
      </c>
      <c r="Z7" s="3187"/>
      <c r="AA7" s="773" t="e">
        <f>D7/F7</f>
        <v>#DIV/0!</v>
      </c>
      <c r="AB7" s="773" t="e">
        <f>D7/H7</f>
        <v>#DIV/0!</v>
      </c>
      <c r="AC7" s="2671"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2538</v>
      </c>
      <c r="Q8" s="3187"/>
      <c r="R8" s="770" t="s">
        <v>17</v>
      </c>
      <c r="S8" s="771">
        <f t="shared" si="0"/>
        <v>0</v>
      </c>
      <c r="T8" s="770" t="s">
        <v>17</v>
      </c>
      <c r="U8" s="771">
        <f t="shared" si="1"/>
        <v>0</v>
      </c>
      <c r="V8" s="770" t="s">
        <v>17</v>
      </c>
      <c r="W8" s="771">
        <f t="shared" si="2"/>
        <v>0</v>
      </c>
      <c r="X8" s="772"/>
      <c r="Y8" s="3186" t="s">
        <v>2538</v>
      </c>
      <c r="Z8" s="3187"/>
      <c r="AA8" s="773" t="e">
        <f t="shared" ref="AA8:AA47" si="3">D8/F8</f>
        <v>#DIV/0!</v>
      </c>
      <c r="AB8" s="773" t="e">
        <f t="shared" ref="AB8:AB47" si="4">D8/H8</f>
        <v>#DIV/0!</v>
      </c>
      <c r="AC8" s="2671"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6" t="s">
        <v>2541</v>
      </c>
      <c r="Q9" s="1798" t="str">
        <f t="shared" ref="Q9:Q15" si="6">B9</f>
        <v>用途</v>
      </c>
      <c r="R9" s="770" t="s">
        <v>17</v>
      </c>
      <c r="S9" s="771">
        <f t="shared" si="0"/>
        <v>100</v>
      </c>
      <c r="T9" s="770" t="s">
        <v>17</v>
      </c>
      <c r="U9" s="771">
        <f t="shared" si="1"/>
        <v>100</v>
      </c>
      <c r="V9" s="770" t="s">
        <v>17</v>
      </c>
      <c r="W9" s="771">
        <f t="shared" si="2"/>
        <v>100</v>
      </c>
      <c r="X9" s="772"/>
      <c r="Y9" s="3008" t="s">
        <v>2542</v>
      </c>
      <c r="Z9" s="55" t="str">
        <f t="shared" ref="Z9:Z15" si="7">Q9</f>
        <v>用途</v>
      </c>
      <c r="AA9" s="773">
        <f t="shared" si="3"/>
        <v>1</v>
      </c>
      <c r="AB9" s="773">
        <f t="shared" si="4"/>
        <v>1</v>
      </c>
      <c r="AC9" s="2671">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1">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1" t="e">
        <f t="shared" si="5"/>
        <v>#N/A</v>
      </c>
    </row>
    <row r="12" spans="1:29" s="117" customFormat="1" ht="15">
      <c r="A12" s="431"/>
      <c r="B12" s="2602">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1">
        <f>D12/J12</f>
        <v>1</v>
      </c>
    </row>
    <row r="13" spans="1:29" ht="15">
      <c r="A13" s="428"/>
      <c r="B13" s="2602">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1">
        <f t="shared" si="5"/>
        <v>1</v>
      </c>
    </row>
    <row r="15" spans="1:29" ht="15">
      <c r="A15" s="440" t="s">
        <v>2545</v>
      </c>
      <c r="B15" s="629" t="s">
        <v>2673</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0" t="s">
        <v>2546</v>
      </c>
      <c r="Q15" s="1813" t="str">
        <f t="shared" si="6"/>
        <v>办公集聚程度</v>
      </c>
      <c r="R15" s="774" t="s">
        <v>17</v>
      </c>
      <c r="S15" s="775">
        <f t="shared" si="0"/>
        <v>100</v>
      </c>
      <c r="T15" s="774" t="s">
        <v>17</v>
      </c>
      <c r="U15" s="775">
        <f t="shared" si="1"/>
        <v>100</v>
      </c>
      <c r="V15" s="774" t="s">
        <v>17</v>
      </c>
      <c r="W15" s="775">
        <f t="shared" si="2"/>
        <v>100</v>
      </c>
      <c r="X15" s="1816"/>
      <c r="Y15" s="3159" t="s">
        <v>2546</v>
      </c>
      <c r="Z15" s="1817" t="str">
        <f t="shared" si="7"/>
        <v>办公集聚程度</v>
      </c>
      <c r="AA15" s="1814">
        <f t="shared" si="3"/>
        <v>1</v>
      </c>
      <c r="AB15" s="1814">
        <f t="shared" si="4"/>
        <v>1</v>
      </c>
      <c r="AC15" s="2674">
        <f t="shared" si="5"/>
        <v>1</v>
      </c>
    </row>
    <row r="16" spans="1:29" ht="15">
      <c r="A16" s="428"/>
      <c r="B16" s="630"/>
      <c r="C16" s="2613"/>
      <c r="D16" s="448"/>
      <c r="E16" s="447"/>
      <c r="F16" s="448"/>
      <c r="G16" s="2613"/>
      <c r="H16" s="450"/>
      <c r="I16" s="447"/>
      <c r="J16" s="448"/>
      <c r="K16" s="615"/>
      <c r="L16" s="1143"/>
      <c r="M16" s="1134"/>
      <c r="N16" s="1134"/>
      <c r="O16" s="1134"/>
      <c r="P16" s="3231"/>
      <c r="Q16" s="1813"/>
      <c r="R16" s="774"/>
      <c r="S16" s="775"/>
      <c r="T16" s="774"/>
      <c r="U16" s="775"/>
      <c r="V16" s="774"/>
      <c r="W16" s="775"/>
      <c r="X16" s="1816"/>
      <c r="Y16" s="3160"/>
      <c r="Z16" s="1817"/>
      <c r="AA16" s="1814">
        <v>1</v>
      </c>
      <c r="AB16" s="1814">
        <v>1</v>
      </c>
      <c r="AC16" s="2674">
        <v>1</v>
      </c>
    </row>
    <row r="17" spans="1:29" ht="15">
      <c r="A17" s="428"/>
      <c r="B17" s="631" t="s">
        <v>2088</v>
      </c>
      <c r="C17" s="2675"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1"/>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2674">
        <f t="shared" si="5"/>
        <v>1</v>
      </c>
    </row>
    <row r="18" spans="1:29" ht="15">
      <c r="A18" s="428"/>
      <c r="B18" s="632"/>
      <c r="C18" s="2676"/>
      <c r="D18" s="450"/>
      <c r="E18" s="2611"/>
      <c r="F18" s="450"/>
      <c r="G18" s="2612"/>
      <c r="H18" s="448"/>
      <c r="I18" s="2612"/>
      <c r="J18" s="448"/>
      <c r="K18" s="615"/>
      <c r="L18" s="1143"/>
      <c r="M18" s="1134"/>
      <c r="N18" s="1134"/>
      <c r="O18" s="1134"/>
      <c r="P18" s="3231"/>
      <c r="Q18" s="1813"/>
      <c r="R18" s="774"/>
      <c r="S18" s="775"/>
      <c r="T18" s="774"/>
      <c r="U18" s="775"/>
      <c r="V18" s="774"/>
      <c r="W18" s="775"/>
      <c r="X18" s="1816"/>
      <c r="Y18" s="3160"/>
      <c r="Z18" s="1817"/>
      <c r="AA18" s="1814">
        <v>1</v>
      </c>
      <c r="AB18" s="1814">
        <v>1</v>
      </c>
      <c r="AC18" s="2674">
        <v>1</v>
      </c>
    </row>
    <row r="19" spans="1:29" ht="15">
      <c r="A19" s="428"/>
      <c r="B19" s="631" t="s">
        <v>2674</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1"/>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2674">
        <f t="shared" si="5"/>
        <v>1</v>
      </c>
    </row>
    <row r="20" spans="1:29" ht="15">
      <c r="A20" s="428"/>
      <c r="B20" s="632"/>
      <c r="C20" s="2613"/>
      <c r="D20" s="448"/>
      <c r="E20" s="2606"/>
      <c r="F20" s="448"/>
      <c r="G20" s="2607"/>
      <c r="H20" s="448"/>
      <c r="I20" s="2607"/>
      <c r="J20" s="448"/>
      <c r="K20" s="615"/>
      <c r="L20" s="1143"/>
      <c r="M20" s="1134"/>
      <c r="N20" s="1134"/>
      <c r="O20" s="1134"/>
      <c r="P20" s="3231"/>
      <c r="Q20" s="1813"/>
      <c r="R20" s="774"/>
      <c r="S20" s="775"/>
      <c r="T20" s="774"/>
      <c r="U20" s="775"/>
      <c r="V20" s="774"/>
      <c r="W20" s="775"/>
      <c r="X20" s="1816"/>
      <c r="Y20" s="3160"/>
      <c r="Z20" s="1817"/>
      <c r="AA20" s="1814">
        <v>1</v>
      </c>
      <c r="AB20" s="1814">
        <v>1</v>
      </c>
      <c r="AC20" s="2674">
        <v>1</v>
      </c>
    </row>
    <row r="21" spans="1:29" ht="15">
      <c r="A21" s="428"/>
      <c r="B21" s="633" t="s">
        <v>2675</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1"/>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3"/>
      <c r="H22" s="448"/>
      <c r="I22" s="2613"/>
      <c r="J22" s="448"/>
      <c r="K22" s="1386"/>
      <c r="L22" s="1143"/>
      <c r="M22" s="1134"/>
      <c r="N22" s="1134"/>
      <c r="O22" s="1134"/>
      <c r="P22" s="3231"/>
      <c r="Q22" s="1813"/>
      <c r="R22" s="774"/>
      <c r="S22" s="775"/>
      <c r="T22" s="774"/>
      <c r="U22" s="775"/>
      <c r="V22" s="774"/>
      <c r="W22" s="775"/>
      <c r="X22" s="1816"/>
      <c r="Y22" s="3160"/>
      <c r="Z22" s="1817"/>
      <c r="AA22" s="1814">
        <v>1</v>
      </c>
      <c r="AB22" s="1814">
        <v>1</v>
      </c>
      <c r="AC22" s="2674">
        <v>1</v>
      </c>
    </row>
    <row r="23" spans="1:29" ht="15">
      <c r="A23" s="428"/>
      <c r="B23" s="631" t="s">
        <v>2676</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1"/>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2674">
        <f t="shared" si="5"/>
        <v>1</v>
      </c>
    </row>
    <row r="24" spans="1:29" ht="15">
      <c r="A24" s="428"/>
      <c r="B24" s="633"/>
      <c r="C24" s="2613"/>
      <c r="D24" s="448"/>
      <c r="E24" s="2606"/>
      <c r="F24" s="448"/>
      <c r="G24" s="2607"/>
      <c r="H24" s="448"/>
      <c r="I24" s="2607"/>
      <c r="J24" s="448"/>
      <c r="K24" s="615"/>
      <c r="L24" s="1143"/>
      <c r="M24" s="1134"/>
      <c r="N24" s="1134"/>
      <c r="O24" s="1134"/>
      <c r="P24" s="3231"/>
      <c r="Q24" s="1813"/>
      <c r="R24" s="774"/>
      <c r="S24" s="775"/>
      <c r="T24" s="774"/>
      <c r="U24" s="775"/>
      <c r="V24" s="774"/>
      <c r="W24" s="775"/>
      <c r="X24" s="1816"/>
      <c r="Y24" s="3160"/>
      <c r="Z24" s="1817"/>
      <c r="AA24" s="1814">
        <v>1</v>
      </c>
      <c r="AB24" s="1814">
        <v>1</v>
      </c>
      <c r="AC24" s="2674">
        <v>1</v>
      </c>
    </row>
    <row r="25" spans="1:29" ht="27">
      <c r="A25" s="404"/>
      <c r="B25" s="631" t="s">
        <v>2677</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1"/>
      <c r="Q25" s="1813" t="str">
        <f>B25</f>
        <v>毗邻道路的类型与等级</v>
      </c>
      <c r="R25" s="774" t="s">
        <v>17</v>
      </c>
      <c r="S25" s="775">
        <f>F25</f>
        <v>100</v>
      </c>
      <c r="T25" s="774" t="s">
        <v>17</v>
      </c>
      <c r="U25" s="775">
        <f>H25</f>
        <v>100</v>
      </c>
      <c r="V25" s="774" t="s">
        <v>17</v>
      </c>
      <c r="W25" s="775">
        <f>J25</f>
        <v>100</v>
      </c>
      <c r="X25" s="1816"/>
      <c r="Y25" s="3160"/>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31"/>
      <c r="Q26" s="1813"/>
      <c r="R26" s="774"/>
      <c r="S26" s="775"/>
      <c r="T26" s="774"/>
      <c r="U26" s="775"/>
      <c r="V26" s="774"/>
      <c r="W26" s="775"/>
      <c r="X26" s="1816"/>
      <c r="Y26" s="3160"/>
      <c r="Z26" s="1817"/>
      <c r="AA26" s="1814">
        <v>1</v>
      </c>
      <c r="AB26" s="1814">
        <v>1</v>
      </c>
      <c r="AC26" s="2674">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1"/>
      <c r="Q27" s="1813" t="str">
        <f t="shared" ref="Q27:Q47" si="11">B27</f>
        <v>楼层</v>
      </c>
      <c r="R27" s="774" t="s">
        <v>17</v>
      </c>
      <c r="S27" s="775">
        <f>F27</f>
        <v>100</v>
      </c>
      <c r="T27" s="774" t="s">
        <v>17</v>
      </c>
      <c r="U27" s="775">
        <f>H27</f>
        <v>100</v>
      </c>
      <c r="V27" s="774" t="s">
        <v>17</v>
      </c>
      <c r="W27" s="775">
        <f>J27</f>
        <v>100</v>
      </c>
      <c r="X27" s="1816"/>
      <c r="Y27" s="3160"/>
      <c r="Z27" s="1817" t="str">
        <f>Q27</f>
        <v>楼层</v>
      </c>
      <c r="AA27" s="1814">
        <f t="shared" si="3"/>
        <v>1</v>
      </c>
      <c r="AB27" s="1814">
        <f t="shared" si="4"/>
        <v>1</v>
      </c>
      <c r="AC27" s="2674">
        <f t="shared" si="5"/>
        <v>1</v>
      </c>
    </row>
    <row r="28" spans="1:29" s="117" customFormat="1" ht="15">
      <c r="A28" s="431"/>
      <c r="B28" s="631" t="s">
        <v>2678</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31"/>
      <c r="Q28" s="1798" t="str">
        <f t="shared" si="11"/>
        <v>朝向</v>
      </c>
      <c r="R28" s="770" t="s">
        <v>17</v>
      </c>
      <c r="S28" s="771">
        <f>F28</f>
        <v>100</v>
      </c>
      <c r="T28" s="770" t="s">
        <v>17</v>
      </c>
      <c r="U28" s="771">
        <f>H28</f>
        <v>100</v>
      </c>
      <c r="V28" s="770" t="s">
        <v>17</v>
      </c>
      <c r="W28" s="771">
        <f>J28</f>
        <v>100</v>
      </c>
      <c r="X28" s="772"/>
      <c r="Y28" s="3160"/>
      <c r="Z28" s="55" t="str">
        <f>Q28</f>
        <v>朝向</v>
      </c>
      <c r="AA28" s="1814">
        <f>D28/F28</f>
        <v>1</v>
      </c>
      <c r="AB28" s="1814">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31"/>
      <c r="Q29" s="1813">
        <f t="shared" si="11"/>
        <v>111</v>
      </c>
      <c r="R29" s="774" t="s">
        <v>17</v>
      </c>
      <c r="S29" s="775">
        <f t="shared" ref="S29:S47" si="12">F29</f>
        <v>100</v>
      </c>
      <c r="T29" s="774" t="s">
        <v>17</v>
      </c>
      <c r="U29" s="775">
        <f t="shared" ref="U29:U47" si="13">H29</f>
        <v>100</v>
      </c>
      <c r="V29" s="774" t="s">
        <v>17</v>
      </c>
      <c r="W29" s="775">
        <f t="shared" ref="W29:W47" si="14">J29</f>
        <v>100</v>
      </c>
      <c r="X29" s="1816"/>
      <c r="Y29" s="3160"/>
      <c r="Z29" s="1817">
        <f t="shared" ref="Z29:Z47" si="15">Q29</f>
        <v>111</v>
      </c>
      <c r="AA29" s="1814">
        <f t="shared" si="3"/>
        <v>1</v>
      </c>
      <c r="AB29" s="1814">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31"/>
      <c r="Q32" s="1813">
        <f t="shared" si="11"/>
        <v>111</v>
      </c>
      <c r="R32" s="774" t="s">
        <v>17</v>
      </c>
      <c r="S32" s="775">
        <f t="shared" si="12"/>
        <v>100</v>
      </c>
      <c r="T32" s="774" t="s">
        <v>17</v>
      </c>
      <c r="U32" s="775">
        <f t="shared" si="13"/>
        <v>100</v>
      </c>
      <c r="V32" s="774" t="s">
        <v>17</v>
      </c>
      <c r="W32" s="775">
        <f t="shared" si="14"/>
        <v>100</v>
      </c>
      <c r="X32" s="1816"/>
      <c r="Y32" s="3160"/>
      <c r="Z32" s="1817">
        <f t="shared" si="15"/>
        <v>111</v>
      </c>
      <c r="AA32" s="1814">
        <f t="shared" si="3"/>
        <v>1</v>
      </c>
      <c r="AB32" s="1814">
        <f t="shared" si="4"/>
        <v>1</v>
      </c>
      <c r="AC32" s="2674">
        <f t="shared" si="5"/>
        <v>1</v>
      </c>
    </row>
    <row r="33" spans="1:29" ht="15">
      <c r="A33" s="440" t="s">
        <v>2549</v>
      </c>
      <c r="B33" s="71" t="s">
        <v>2679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26" t="s">
        <v>2551</v>
      </c>
      <c r="Q33" s="1813" t="str">
        <f t="shared" si="11"/>
        <v>建筑类型</v>
      </c>
      <c r="R33" s="774" t="s">
        <v>17</v>
      </c>
      <c r="S33" s="775">
        <f t="shared" si="12"/>
        <v>100</v>
      </c>
      <c r="T33" s="774" t="s">
        <v>17</v>
      </c>
      <c r="U33" s="775">
        <f t="shared" si="13"/>
        <v>100</v>
      </c>
      <c r="V33" s="774" t="s">
        <v>17</v>
      </c>
      <c r="W33" s="775">
        <f t="shared" si="14"/>
        <v>100</v>
      </c>
      <c r="X33" s="1816"/>
      <c r="Y33" s="3162" t="s">
        <v>2551</v>
      </c>
      <c r="Z33" s="1817" t="str">
        <f t="shared" si="15"/>
        <v>建筑类型</v>
      </c>
      <c r="AA33" s="1814">
        <f t="shared" si="3"/>
        <v>1</v>
      </c>
      <c r="AB33" s="1814">
        <f t="shared" si="4"/>
        <v>1</v>
      </c>
      <c r="AC33" s="2674">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7"/>
      <c r="Q34" s="776" t="str">
        <f t="shared" si="11"/>
        <v>项目建筑规模</v>
      </c>
      <c r="R34" s="777" t="s">
        <v>17</v>
      </c>
      <c r="S34" s="778" t="e">
        <f t="shared" si="12"/>
        <v>#N/A</v>
      </c>
      <c r="T34" s="777" t="s">
        <v>17</v>
      </c>
      <c r="U34" s="778" t="e">
        <f t="shared" si="13"/>
        <v>#N/A</v>
      </c>
      <c r="V34" s="777" t="s">
        <v>17</v>
      </c>
      <c r="W34" s="778" t="e">
        <f t="shared" si="14"/>
        <v>#N/A</v>
      </c>
      <c r="X34" s="779"/>
      <c r="Y34" s="3162"/>
      <c r="Z34" s="780" t="str">
        <f t="shared" si="15"/>
        <v>项目建筑规模</v>
      </c>
      <c r="AA34" s="1814" t="e">
        <f t="shared" si="3"/>
        <v>#N/A</v>
      </c>
      <c r="AB34" s="1814" t="e">
        <f t="shared" si="4"/>
        <v>#N/A</v>
      </c>
      <c r="AC34" s="2674"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7"/>
      <c r="Q35" s="1813" t="str">
        <f t="shared" si="11"/>
        <v>建筑结构</v>
      </c>
      <c r="R35" s="774" t="s">
        <v>17</v>
      </c>
      <c r="S35" s="775">
        <f t="shared" si="12"/>
        <v>100</v>
      </c>
      <c r="T35" s="774" t="s">
        <v>17</v>
      </c>
      <c r="U35" s="775">
        <f t="shared" si="13"/>
        <v>100</v>
      </c>
      <c r="V35" s="774" t="s">
        <v>17</v>
      </c>
      <c r="W35" s="775">
        <f t="shared" si="14"/>
        <v>100</v>
      </c>
      <c r="X35" s="1816"/>
      <c r="Y35" s="3162"/>
      <c r="Z35" s="1817" t="str">
        <f t="shared" si="15"/>
        <v>建筑结构</v>
      </c>
      <c r="AA35" s="1814">
        <f t="shared" si="3"/>
        <v>1</v>
      </c>
      <c r="AB35" s="1814">
        <f t="shared" si="4"/>
        <v>1</v>
      </c>
      <c r="AC35" s="2674">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7"/>
      <c r="Q36" s="1813" t="str">
        <f t="shared" si="11"/>
        <v>公共部分装修</v>
      </c>
      <c r="R36" s="774" t="s">
        <v>17</v>
      </c>
      <c r="S36" s="775">
        <f t="shared" si="12"/>
        <v>100</v>
      </c>
      <c r="T36" s="774" t="s">
        <v>17</v>
      </c>
      <c r="U36" s="775">
        <f t="shared" si="13"/>
        <v>100</v>
      </c>
      <c r="V36" s="774" t="s">
        <v>17</v>
      </c>
      <c r="W36" s="775">
        <f t="shared" si="14"/>
        <v>100</v>
      </c>
      <c r="X36" s="1816"/>
      <c r="Y36" s="3162"/>
      <c r="Z36" s="1817" t="str">
        <f t="shared" si="15"/>
        <v>公共部分装修</v>
      </c>
      <c r="AA36" s="1814">
        <f t="shared" si="3"/>
        <v>1</v>
      </c>
      <c r="AB36" s="1814">
        <f t="shared" si="4"/>
        <v>1</v>
      </c>
      <c r="AC36" s="2674">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7"/>
      <c r="Q37" s="1813" t="str">
        <f t="shared" si="11"/>
        <v>成新度</v>
      </c>
      <c r="R37" s="774" t="s">
        <v>17</v>
      </c>
      <c r="S37" s="775" t="e">
        <f t="shared" si="12"/>
        <v>#N/A</v>
      </c>
      <c r="T37" s="774" t="s">
        <v>17</v>
      </c>
      <c r="U37" s="775" t="e">
        <f t="shared" si="13"/>
        <v>#N/A</v>
      </c>
      <c r="V37" s="774" t="s">
        <v>17</v>
      </c>
      <c r="W37" s="775" t="e">
        <f t="shared" si="14"/>
        <v>#N/A</v>
      </c>
      <c r="X37" s="1816"/>
      <c r="Y37" s="3162"/>
      <c r="Z37" s="1817" t="str">
        <f t="shared" si="15"/>
        <v>成新度</v>
      </c>
      <c r="AA37" s="1814" t="e">
        <f t="shared" si="3"/>
        <v>#N/A</v>
      </c>
      <c r="AB37" s="1814" t="e">
        <f t="shared" si="4"/>
        <v>#N/A</v>
      </c>
      <c r="AC37" s="2674"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7"/>
      <c r="Q38" s="1798" t="str">
        <f t="shared" si="11"/>
        <v>写字楼等级</v>
      </c>
      <c r="R38" s="770" t="s">
        <v>17</v>
      </c>
      <c r="S38" s="771">
        <f t="shared" si="12"/>
        <v>100</v>
      </c>
      <c r="T38" s="770" t="s">
        <v>17</v>
      </c>
      <c r="U38" s="771">
        <f t="shared" si="13"/>
        <v>100</v>
      </c>
      <c r="V38" s="770" t="s">
        <v>17</v>
      </c>
      <c r="W38" s="771">
        <f t="shared" si="14"/>
        <v>100</v>
      </c>
      <c r="X38" s="772"/>
      <c r="Y38" s="3162"/>
      <c r="Z38" s="55" t="str">
        <f t="shared" si="15"/>
        <v>写字楼等级</v>
      </c>
      <c r="AA38" s="773">
        <f t="shared" si="3"/>
        <v>1</v>
      </c>
      <c r="AB38" s="773">
        <f t="shared" si="4"/>
        <v>1</v>
      </c>
      <c r="AC38" s="2671">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7" t="s">
        <v>2551</v>
      </c>
      <c r="Q39" s="1813" t="str">
        <f t="shared" si="11"/>
        <v>物业管理</v>
      </c>
      <c r="R39" s="774" t="s">
        <v>17</v>
      </c>
      <c r="S39" s="775">
        <f t="shared" si="12"/>
        <v>100</v>
      </c>
      <c r="T39" s="774" t="s">
        <v>17</v>
      </c>
      <c r="U39" s="775">
        <f t="shared" si="13"/>
        <v>100</v>
      </c>
      <c r="V39" s="774" t="s">
        <v>17</v>
      </c>
      <c r="W39" s="775">
        <f t="shared" si="14"/>
        <v>100</v>
      </c>
      <c r="X39" s="1816"/>
      <c r="Y39" s="3162" t="s">
        <v>2551</v>
      </c>
      <c r="Z39" s="1817" t="str">
        <f t="shared" si="15"/>
        <v>物业管理</v>
      </c>
      <c r="AA39" s="1814">
        <f t="shared" si="3"/>
        <v>1</v>
      </c>
      <c r="AB39" s="1814">
        <f t="shared" si="4"/>
        <v>1</v>
      </c>
      <c r="AC39" s="2674">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7"/>
      <c r="Q40" s="1813" t="str">
        <f t="shared" si="11"/>
        <v>市政基础设施</v>
      </c>
      <c r="R40" s="774" t="s">
        <v>17</v>
      </c>
      <c r="S40" s="775">
        <f t="shared" si="12"/>
        <v>100</v>
      </c>
      <c r="T40" s="774" t="s">
        <v>17</v>
      </c>
      <c r="U40" s="775">
        <f t="shared" si="13"/>
        <v>100</v>
      </c>
      <c r="V40" s="774" t="s">
        <v>17</v>
      </c>
      <c r="W40" s="775">
        <f t="shared" si="14"/>
        <v>100</v>
      </c>
      <c r="X40" s="1816"/>
      <c r="Y40" s="3162"/>
      <c r="Z40" s="1817" t="str">
        <f t="shared" si="15"/>
        <v>市政基础设施</v>
      </c>
      <c r="AA40" s="1814">
        <f t="shared" si="3"/>
        <v>1</v>
      </c>
      <c r="AB40" s="1814">
        <f t="shared" si="4"/>
        <v>1</v>
      </c>
      <c r="AC40" s="2674">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7"/>
      <c r="Q41" s="1813" t="str">
        <f t="shared" si="11"/>
        <v>层高</v>
      </c>
      <c r="R41" s="774" t="s">
        <v>17</v>
      </c>
      <c r="S41" s="775">
        <f t="shared" si="12"/>
        <v>100</v>
      </c>
      <c r="T41" s="774" t="s">
        <v>17</v>
      </c>
      <c r="U41" s="775">
        <f t="shared" si="13"/>
        <v>100</v>
      </c>
      <c r="V41" s="774" t="s">
        <v>17</v>
      </c>
      <c r="W41" s="775">
        <f t="shared" si="14"/>
        <v>100</v>
      </c>
      <c r="X41" s="1816"/>
      <c r="Y41" s="3162"/>
      <c r="Z41" s="1817" t="str">
        <f t="shared" si="15"/>
        <v>层高</v>
      </c>
      <c r="AA41" s="1814">
        <f t="shared" si="3"/>
        <v>1</v>
      </c>
      <c r="AB41" s="1814">
        <f t="shared" si="4"/>
        <v>1</v>
      </c>
      <c r="AC41" s="2674">
        <f t="shared" si="5"/>
        <v>1</v>
      </c>
    </row>
    <row r="42" spans="1:29" s="471" customFormat="1" ht="15">
      <c r="A42" s="468"/>
      <c r="B42" s="1815"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11"/>
        <v>单套建筑面积</v>
      </c>
      <c r="R42" s="777" t="s">
        <v>17</v>
      </c>
      <c r="S42" s="778">
        <f t="shared" si="12"/>
        <v>100</v>
      </c>
      <c r="T42" s="777" t="s">
        <v>17</v>
      </c>
      <c r="U42" s="778">
        <f t="shared" si="13"/>
        <v>100</v>
      </c>
      <c r="V42" s="777" t="s">
        <v>17</v>
      </c>
      <c r="W42" s="778">
        <f t="shared" si="14"/>
        <v>100</v>
      </c>
      <c r="X42" s="779"/>
      <c r="Y42" s="3162"/>
      <c r="Z42" s="780" t="str">
        <f t="shared" si="15"/>
        <v>单套建筑面积</v>
      </c>
      <c r="AA42" s="1814">
        <f t="shared" si="3"/>
        <v>1</v>
      </c>
      <c r="AB42" s="1814">
        <f t="shared" si="4"/>
        <v>1</v>
      </c>
      <c r="AC42" s="2674">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7"/>
      <c r="Q43" s="1813" t="str">
        <f t="shared" si="11"/>
        <v>内部装修</v>
      </c>
      <c r="R43" s="774" t="s">
        <v>17</v>
      </c>
      <c r="S43" s="775">
        <f t="shared" si="12"/>
        <v>100</v>
      </c>
      <c r="T43" s="774" t="s">
        <v>17</v>
      </c>
      <c r="U43" s="775">
        <f t="shared" si="13"/>
        <v>100</v>
      </c>
      <c r="V43" s="774" t="s">
        <v>17</v>
      </c>
      <c r="W43" s="775">
        <f t="shared" si="14"/>
        <v>100</v>
      </c>
      <c r="X43" s="1816"/>
      <c r="Y43" s="3162"/>
      <c r="Z43" s="1817" t="str">
        <f t="shared" si="15"/>
        <v>内部装修</v>
      </c>
      <c r="AA43" s="1814">
        <f t="shared" si="3"/>
        <v>1</v>
      </c>
      <c r="AB43" s="1814">
        <f t="shared" si="4"/>
        <v>1</v>
      </c>
      <c r="AC43" s="2674">
        <f t="shared" si="5"/>
        <v>1</v>
      </c>
    </row>
    <row r="44" spans="1:29" ht="15">
      <c r="A44" s="472"/>
      <c r="B44" s="422" t="s">
        <v>2562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7"/>
      <c r="Q44" s="1813" t="str">
        <f t="shared" si="11"/>
        <v>内部装修维护情况</v>
      </c>
      <c r="R44" s="774" t="s">
        <v>17</v>
      </c>
      <c r="S44" s="775">
        <f t="shared" si="12"/>
        <v>100</v>
      </c>
      <c r="T44" s="774" t="s">
        <v>17</v>
      </c>
      <c r="U44" s="775">
        <f t="shared" si="13"/>
        <v>100</v>
      </c>
      <c r="V44" s="774" t="s">
        <v>17</v>
      </c>
      <c r="W44" s="775">
        <f t="shared" si="14"/>
        <v>100</v>
      </c>
      <c r="X44" s="1816"/>
      <c r="Y44" s="3162"/>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8">
        <f t="shared" si="11"/>
        <v>111</v>
      </c>
      <c r="R45" s="770" t="s">
        <v>17</v>
      </c>
      <c r="S45" s="771">
        <f t="shared" si="12"/>
        <v>100</v>
      </c>
      <c r="T45" s="770" t="s">
        <v>17</v>
      </c>
      <c r="U45" s="771">
        <f t="shared" si="13"/>
        <v>100</v>
      </c>
      <c r="V45" s="770" t="s">
        <v>17</v>
      </c>
      <c r="W45" s="771">
        <f t="shared" si="14"/>
        <v>100</v>
      </c>
      <c r="X45" s="772"/>
      <c r="Y45" s="3162"/>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13">
        <f t="shared" si="11"/>
        <v>111</v>
      </c>
      <c r="R46" s="774" t="s">
        <v>17</v>
      </c>
      <c r="S46" s="775">
        <f t="shared" si="12"/>
        <v>100</v>
      </c>
      <c r="T46" s="774" t="s">
        <v>17</v>
      </c>
      <c r="U46" s="775">
        <f t="shared" si="13"/>
        <v>100</v>
      </c>
      <c r="V46" s="774" t="s">
        <v>17</v>
      </c>
      <c r="W46" s="775">
        <f t="shared" si="14"/>
        <v>100</v>
      </c>
      <c r="X46" s="1816"/>
      <c r="Y46" s="3162"/>
      <c r="Z46" s="1817">
        <f t="shared" si="15"/>
        <v>111</v>
      </c>
      <c r="AA46" s="1814">
        <f t="shared" si="3"/>
        <v>1</v>
      </c>
      <c r="AB46" s="1814">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13">
        <f t="shared" si="11"/>
        <v>111</v>
      </c>
      <c r="R47" s="774" t="s">
        <v>17</v>
      </c>
      <c r="S47" s="775">
        <f t="shared" si="12"/>
        <v>100</v>
      </c>
      <c r="T47" s="774" t="s">
        <v>17</v>
      </c>
      <c r="U47" s="775">
        <f t="shared" si="13"/>
        <v>100</v>
      </c>
      <c r="V47" s="774" t="s">
        <v>17</v>
      </c>
      <c r="W47" s="775">
        <f t="shared" si="14"/>
        <v>100</v>
      </c>
      <c r="X47" s="1816"/>
      <c r="Y47" s="3229"/>
      <c r="Z47" s="1817">
        <f t="shared" si="15"/>
        <v>111</v>
      </c>
      <c r="AA47" s="1814">
        <f t="shared" si="3"/>
        <v>1</v>
      </c>
      <c r="AB47" s="1814">
        <f t="shared" si="4"/>
        <v>1</v>
      </c>
      <c r="AC47" s="2674">
        <f t="shared" si="5"/>
        <v>1</v>
      </c>
    </row>
    <row r="48" spans="1:29" ht="15">
      <c r="A48" s="479" t="s">
        <v>2563</v>
      </c>
      <c r="B48" s="480"/>
      <c r="C48" s="1410" t="s">
        <v>1</v>
      </c>
      <c r="D48" s="1411"/>
      <c r="E48" s="1412"/>
      <c r="F48" s="1413"/>
      <c r="G48" s="1414"/>
      <c r="H48" s="1415"/>
      <c r="I48" s="1412"/>
      <c r="J48" s="485"/>
      <c r="K48" s="783"/>
      <c r="L48" s="1146"/>
      <c r="M48" s="1134"/>
      <c r="N48" s="1134"/>
      <c r="O48" s="1134"/>
      <c r="P48" s="3156" t="str">
        <f>A48</f>
        <v>成交单价（元/平方米）</v>
      </c>
      <c r="Q48" s="3157"/>
      <c r="R48" s="3225">
        <f>E48</f>
        <v>0</v>
      </c>
      <c r="S48" s="3225"/>
      <c r="T48" s="3225">
        <f>G48</f>
        <v>0</v>
      </c>
      <c r="U48" s="3225"/>
      <c r="V48" s="3225">
        <f>I48</f>
        <v>0</v>
      </c>
      <c r="W48" s="3225"/>
      <c r="X48" s="446"/>
      <c r="Y48" s="781"/>
      <c r="Z48" s="446"/>
      <c r="AA48" s="446"/>
      <c r="AB48" s="446"/>
      <c r="AC48" s="630"/>
    </row>
    <row r="49" spans="1:29" ht="15.75" thickBot="1">
      <c r="A49" s="486" t="s">
        <v>2655</v>
      </c>
      <c r="B49" s="487"/>
      <c r="C49" s="1416" t="e">
        <f>R50</f>
        <v>#DIV/0!</v>
      </c>
      <c r="D49" s="1417"/>
      <c r="E49" s="1418" t="e">
        <f>R49</f>
        <v>#DIV/0!</v>
      </c>
      <c r="F49" s="1418"/>
      <c r="G49" s="1416" t="e">
        <f>T49</f>
        <v>#DIV/0!</v>
      </c>
      <c r="H49" s="1417"/>
      <c r="I49" s="1418" t="e">
        <f>V49</f>
        <v>#DIV/0!</v>
      </c>
      <c r="J49" s="489"/>
      <c r="K49" s="784"/>
      <c r="L49" s="1146"/>
      <c r="M49" s="1134"/>
      <c r="N49" s="1134"/>
      <c r="O49" s="1134"/>
      <c r="P49" s="3156" t="str">
        <f>A49</f>
        <v>比较价值（元/平方米）</v>
      </c>
      <c r="Q49" s="3157"/>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6"/>
      <c r="Y49" s="446"/>
      <c r="Z49" s="446"/>
      <c r="AA49" s="446"/>
      <c r="AB49" s="446"/>
      <c r="AC49" s="630"/>
    </row>
    <row r="50" spans="1:29" ht="15.75" thickBot="1">
      <c r="A50" s="492" t="s">
        <v>2656</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2660</v>
      </c>
      <c r="B58" s="759"/>
      <c r="C58" s="764"/>
      <c r="D58" s="764"/>
      <c r="E58" s="764"/>
      <c r="F58" s="765"/>
      <c r="G58" s="765"/>
      <c r="H58" s="764"/>
      <c r="I58" s="764"/>
      <c r="J58" s="764"/>
      <c r="K58" s="766"/>
      <c r="L58" s="1164"/>
      <c r="M58" s="1162"/>
      <c r="N58" s="1162"/>
      <c r="O58" s="1162"/>
      <c r="P58" s="2681"/>
      <c r="Q58" s="504"/>
    </row>
    <row r="59" spans="1:29" s="508" customFormat="1" ht="15">
      <c r="A59" s="505" t="s">
        <v>2534</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2571</v>
      </c>
      <c r="B61" s="516"/>
      <c r="C61" s="517"/>
      <c r="D61" s="518"/>
      <c r="E61" s="518"/>
      <c r="F61" s="518"/>
      <c r="G61" s="518"/>
      <c r="H61" s="518"/>
      <c r="I61" s="518"/>
      <c r="J61" s="518"/>
      <c r="K61" s="518"/>
      <c r="L61" s="518"/>
      <c r="M61" s="519"/>
      <c r="N61" s="518"/>
      <c r="O61" s="519"/>
      <c r="P61" s="2682"/>
      <c r="Q61" s="504"/>
    </row>
    <row r="62" spans="1:29" s="117" customFormat="1" ht="15">
      <c r="A62" s="521" t="s">
        <v>2536</v>
      </c>
      <c r="B62" s="510"/>
      <c r="C62" s="522" t="s">
        <v>2638</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2574</v>
      </c>
      <c r="B64" s="528" t="s">
        <v>2540</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2675</v>
      </c>
      <c r="C83" s="660" t="s">
        <v>2661</v>
      </c>
      <c r="D83" s="660" t="s">
        <v>2662</v>
      </c>
      <c r="E83" s="660" t="s">
        <v>2663</v>
      </c>
      <c r="F83" s="660" t="s">
        <v>2664</v>
      </c>
      <c r="G83" s="660" t="s">
        <v>2665</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2685</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2549</v>
      </c>
      <c r="B101" s="528" t="s">
        <v>2598</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2600</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2602</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2686</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2603</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2604</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2687</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2670</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2606</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北京昌业房地产开发有限公司：</v>
      </c>
    </row>
    <row r="4" spans="1:1" ht="54">
      <c r="A4" s="1951" t="str">
        <f>"受贵公司委托，我公司对"&amp;项目基本情况!S1&amp;"进行了预评估。"</f>
        <v>受贵公司委托，我公司对北京市昌平区北七家镇（中心起步区（海鶄落新村建设）项目一期）HQL-13地块、18地块二宗住宅用地出让国有建设用地使用权出让国有建设用地使用权抵押价值进行了预评估。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中心起步区（海鶄落新村建设）项目一期）HQL-13地块、18地块二宗住宅用地出让国有建设用地使用权出让国有建设用地使用权，为北京昌业房地产开发有限公司所有。根据《不动产权证书》[京（2016）昌平区不动产权第0000033号]，估价对象（分摊）出让国有建设用地使用权面积为44764.76平方米。根据《HQL-13地块主要技术经济指标》，估价对象建筑面积为95346平方米。</v>
      </c>
    </row>
    <row r="8" spans="1:1" ht="57.75">
      <c r="A8" s="1954" t="s">
        <v>1614</v>
      </c>
    </row>
    <row r="9" spans="1:1" ht="18.75">
      <c r="A9" s="1953" t="s">
        <v>1615</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中心起步区（海鶄落新村建设）项目一期）HQL-13地块、18地块二宗住宅用地出让国有建设用地使用权出让国有建设用地使用权,属北京昌业房地产开发有限公司开发建设的居住项目，该项目尚在开发建设中。根据《不动产权证书》[京（2016）昌平区不动产权第0000033号]，估价对象（分摊）出让国有建设用地使用权面积为44764.76平方米。根据《HQL-13地块主要技术经济指标》，估价对象规划建筑面积为95346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为估价委托人在向中国银行总行北京分行王府井支行办理贷款手续过程中，确定房地产抵押贷款额度提供参考依据而评估房地产抵押价值。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2018年10月8日（评估专业人员实地查勘之日）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2514</v>
      </c>
      <c r="B1" s="2669" t="s">
        <v>2688</v>
      </c>
      <c r="C1" s="1623" t="s">
        <v>2516</v>
      </c>
      <c r="D1" s="1624"/>
      <c r="E1" s="1633"/>
      <c r="F1" s="2587"/>
      <c r="G1" s="1634" t="s">
        <v>2629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89"/>
      <c r="D2" s="1127" t="e">
        <f ca="1">SUMIF(INDIRECT("'"&amp;F2&amp;"'"&amp;"!A:A"),"承租人权益价值",INDIRECT("'"&amp;F2&amp;"'"&amp;"!c:c"))</f>
        <v>#REF!</v>
      </c>
      <c r="E2" s="2590" t="s">
        <v>2317</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2630</v>
      </c>
      <c r="D3" s="399">
        <f>IF(D1="",'数据-汇总表'!E3,SUMIF('数据-汇总表'!$C19:$C33,D1,'数据-汇总表'!$E19:$E33))</f>
        <v>95346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2631</v>
      </c>
      <c r="B4" s="402"/>
      <c r="C4" s="3154" t="s">
        <v>2632</v>
      </c>
      <c r="D4" s="3167"/>
      <c r="E4" s="3168" t="s">
        <v>2633</v>
      </c>
      <c r="F4" s="3169"/>
      <c r="G4" s="3154" t="s">
        <v>2634</v>
      </c>
      <c r="H4" s="3167"/>
      <c r="I4" s="3154" t="s">
        <v>2635</v>
      </c>
      <c r="J4" s="3167"/>
      <c r="K4" s="610" t="s">
        <v>2636</v>
      </c>
      <c r="L4" s="1133"/>
      <c r="M4" s="1134"/>
      <c r="N4" s="1134"/>
      <c r="O4" s="1134"/>
      <c r="P4" s="3170" t="s">
        <v>2637</v>
      </c>
      <c r="Q4" s="3171"/>
      <c r="R4" s="3176" t="s">
        <v>2633</v>
      </c>
      <c r="S4" s="3177"/>
      <c r="T4" s="3176" t="s">
        <v>2634</v>
      </c>
      <c r="U4" s="3177"/>
      <c r="V4" s="3163" t="s">
        <v>2635</v>
      </c>
      <c r="W4" s="3163"/>
      <c r="X4" s="1816"/>
      <c r="Y4" s="3176" t="s">
        <v>2637</v>
      </c>
      <c r="Z4" s="3177"/>
      <c r="AA4" s="3164" t="s">
        <v>2633</v>
      </c>
      <c r="AB4" s="3165" t="s">
        <v>2634</v>
      </c>
      <c r="AC4" s="3164" t="s">
        <v>2635</v>
      </c>
    </row>
    <row r="5" spans="1:29" ht="15">
      <c r="A5" s="404"/>
      <c r="B5" s="405"/>
      <c r="C5" s="3184" t="s">
        <v>2528</v>
      </c>
      <c r="D5" s="3185"/>
      <c r="E5" s="3192" t="s">
        <v>2529</v>
      </c>
      <c r="F5" s="3193"/>
      <c r="G5" s="3184" t="s">
        <v>2530</v>
      </c>
      <c r="H5" s="3185"/>
      <c r="I5" s="3184" t="s">
        <v>2531</v>
      </c>
      <c r="J5" s="3185"/>
      <c r="K5" s="610"/>
      <c r="L5" s="1133"/>
      <c r="M5" s="1134"/>
      <c r="N5" s="1134"/>
      <c r="O5" s="1134"/>
      <c r="P5" s="3172"/>
      <c r="Q5" s="3173"/>
      <c r="R5" s="3178"/>
      <c r="S5" s="3179"/>
      <c r="T5" s="3178"/>
      <c r="U5" s="3179"/>
      <c r="V5" s="3163"/>
      <c r="W5" s="3163"/>
      <c r="X5" s="1816"/>
      <c r="Y5" s="3178"/>
      <c r="Z5" s="3179"/>
      <c r="AA5" s="3165"/>
      <c r="AB5" s="3165"/>
      <c r="AC5" s="3165"/>
    </row>
    <row r="6" spans="1:29" ht="15.75" thickBot="1">
      <c r="A6" s="406"/>
      <c r="B6" s="407"/>
      <c r="C6" s="3182" t="s">
        <v>2532</v>
      </c>
      <c r="D6" s="3183"/>
      <c r="E6" s="3190" t="s">
        <v>2532</v>
      </c>
      <c r="F6" s="3191"/>
      <c r="G6" s="3182" t="s">
        <v>2532</v>
      </c>
      <c r="H6" s="3183"/>
      <c r="I6" s="3182" t="s">
        <v>2532</v>
      </c>
      <c r="J6" s="3183"/>
      <c r="K6" s="610" t="s">
        <v>2533</v>
      </c>
      <c r="L6" s="1133"/>
      <c r="M6" s="1134"/>
      <c r="N6" s="1134"/>
      <c r="O6" s="1134"/>
      <c r="P6" s="3174"/>
      <c r="Q6" s="3175"/>
      <c r="R6" s="3178"/>
      <c r="S6" s="3179"/>
      <c r="T6" s="3180"/>
      <c r="U6" s="3181"/>
      <c r="V6" s="3163"/>
      <c r="W6" s="3163"/>
      <c r="X6" s="1816"/>
      <c r="Y6" s="3180"/>
      <c r="Z6" s="3181"/>
      <c r="AA6" s="3166"/>
      <c r="AB6" s="3166"/>
      <c r="AC6" s="3166"/>
    </row>
    <row r="7" spans="1:29" s="117" customFormat="1" ht="15.75" thickBot="1">
      <c r="A7" s="408" t="s">
        <v>2534</v>
      </c>
      <c r="B7" s="409"/>
      <c r="C7" s="410">
        <f>'数据-取费表'!B2</f>
        <v>43381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6" t="s">
        <v>2535</v>
      </c>
      <c r="Q7" s="3188"/>
      <c r="R7" s="770" t="s">
        <v>17</v>
      </c>
      <c r="S7" s="771">
        <f t="shared" ref="S7:S15" si="0">F7</f>
        <v>0</v>
      </c>
      <c r="T7" s="770" t="s">
        <v>17</v>
      </c>
      <c r="U7" s="771">
        <f t="shared" ref="U7:U15" si="1">H7</f>
        <v>0</v>
      </c>
      <c r="V7" s="770" t="s">
        <v>17</v>
      </c>
      <c r="W7" s="771">
        <f t="shared" ref="W7:W15" si="2">J7</f>
        <v>0</v>
      </c>
      <c r="X7" s="772"/>
      <c r="Y7" s="3186" t="s">
        <v>2535</v>
      </c>
      <c r="Z7" s="3187"/>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6" t="s">
        <v>2538</v>
      </c>
      <c r="Q8" s="3187"/>
      <c r="R8" s="770" t="s">
        <v>17</v>
      </c>
      <c r="S8" s="771">
        <f t="shared" si="0"/>
        <v>0</v>
      </c>
      <c r="T8" s="770" t="s">
        <v>17</v>
      </c>
      <c r="U8" s="771">
        <f t="shared" si="1"/>
        <v>0</v>
      </c>
      <c r="V8" s="770" t="s">
        <v>17</v>
      </c>
      <c r="W8" s="771">
        <f t="shared" si="2"/>
        <v>0</v>
      </c>
      <c r="X8" s="772"/>
      <c r="Y8" s="3186" t="s">
        <v>2538</v>
      </c>
      <c r="Z8" s="3187"/>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7" t="s">
        <v>2541</v>
      </c>
      <c r="Q9" s="1798" t="str">
        <f t="shared" ref="Q9:Q15" si="6">B9</f>
        <v>用途</v>
      </c>
      <c r="R9" s="770" t="s">
        <v>17</v>
      </c>
      <c r="S9" s="771">
        <f t="shared" si="0"/>
        <v>100</v>
      </c>
      <c r="T9" s="770" t="s">
        <v>17</v>
      </c>
      <c r="U9" s="771">
        <f t="shared" si="1"/>
        <v>100</v>
      </c>
      <c r="V9" s="770" t="s">
        <v>17</v>
      </c>
      <c r="W9" s="771">
        <f t="shared" si="2"/>
        <v>100</v>
      </c>
      <c r="X9" s="772"/>
      <c r="Y9" s="300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15">
      <c r="A15" s="440" t="s">
        <v>2545</v>
      </c>
      <c r="B15" s="69" t="s">
        <v>2689</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9" t="s">
        <v>2546</v>
      </c>
      <c r="Q15" s="1813" t="str">
        <f t="shared" si="6"/>
        <v>产业集聚程度</v>
      </c>
      <c r="R15" s="774" t="s">
        <v>17</v>
      </c>
      <c r="S15" s="775">
        <f t="shared" si="0"/>
        <v>100</v>
      </c>
      <c r="T15" s="774" t="s">
        <v>17</v>
      </c>
      <c r="U15" s="775">
        <f t="shared" si="1"/>
        <v>100</v>
      </c>
      <c r="V15" s="774" t="s">
        <v>17</v>
      </c>
      <c r="W15" s="775">
        <f t="shared" si="2"/>
        <v>100</v>
      </c>
      <c r="X15" s="1816"/>
      <c r="Y15" s="3159" t="s">
        <v>2546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0"/>
      <c r="Q16" s="1813"/>
      <c r="R16" s="774"/>
      <c r="S16" s="775"/>
      <c r="T16" s="774"/>
      <c r="U16" s="775"/>
      <c r="V16" s="774"/>
      <c r="W16" s="775"/>
      <c r="X16" s="1816"/>
      <c r="Y16" s="3160"/>
      <c r="Z16" s="1817"/>
      <c r="AA16" s="1814">
        <v>1</v>
      </c>
      <c r="AB16" s="1814">
        <v>1</v>
      </c>
      <c r="AC16" s="1814">
        <v>1</v>
      </c>
    </row>
    <row r="17" spans="1:29" ht="15">
      <c r="A17" s="428"/>
      <c r="B17" s="451" t="s">
        <v>2088</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60"/>
      <c r="Q18" s="1813"/>
      <c r="R18" s="774"/>
      <c r="S18" s="775"/>
      <c r="T18" s="774"/>
      <c r="U18" s="775"/>
      <c r="V18" s="774"/>
      <c r="W18" s="775"/>
      <c r="X18" s="1816"/>
      <c r="Y18" s="3160"/>
      <c r="Z18" s="1817"/>
      <c r="AA18" s="1814">
        <v>1</v>
      </c>
      <c r="AB18" s="1814">
        <v>1</v>
      </c>
      <c r="AC18" s="1814">
        <v>1</v>
      </c>
    </row>
    <row r="19" spans="1:29" ht="15">
      <c r="A19" s="428"/>
      <c r="B19" s="451" t="s">
        <v>2674</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0"/>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60"/>
      <c r="Q20" s="1813"/>
      <c r="R20" s="774"/>
      <c r="S20" s="775"/>
      <c r="T20" s="774"/>
      <c r="U20" s="775"/>
      <c r="V20" s="774"/>
      <c r="W20" s="775"/>
      <c r="X20" s="1816"/>
      <c r="Y20" s="3160"/>
      <c r="Z20" s="1817"/>
      <c r="AA20" s="1814">
        <v>1</v>
      </c>
      <c r="AB20" s="1814">
        <v>1</v>
      </c>
      <c r="AC20" s="1814">
        <v>1</v>
      </c>
    </row>
    <row r="21" spans="1:29" ht="15">
      <c r="A21" s="428"/>
      <c r="B21" s="1387" t="s">
        <v>2675</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0"/>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60"/>
      <c r="Q22" s="1813"/>
      <c r="R22" s="774"/>
      <c r="S22" s="775"/>
      <c r="T22" s="774"/>
      <c r="U22" s="775"/>
      <c r="V22" s="774"/>
      <c r="W22" s="775"/>
      <c r="X22" s="1816"/>
      <c r="Y22" s="3160"/>
      <c r="Z22" s="1817"/>
      <c r="AA22" s="1814">
        <v>1</v>
      </c>
      <c r="AB22" s="1814">
        <v>1</v>
      </c>
      <c r="AC22" s="1814">
        <v>1</v>
      </c>
    </row>
    <row r="23" spans="1:29" ht="15">
      <c r="A23" s="428"/>
      <c r="B23" s="451" t="s">
        <v>2676</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0"/>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60"/>
      <c r="Q24" s="1813"/>
      <c r="R24" s="774"/>
      <c r="S24" s="775"/>
      <c r="T24" s="774"/>
      <c r="U24" s="775"/>
      <c r="V24" s="774"/>
      <c r="W24" s="775"/>
      <c r="X24" s="1816"/>
      <c r="Y24" s="316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0"/>
      <c r="Q25" s="1813">
        <f>B25</f>
        <v>111</v>
      </c>
      <c r="R25" s="774" t="s">
        <v>17</v>
      </c>
      <c r="S25" s="775">
        <f>F25</f>
        <v>100</v>
      </c>
      <c r="T25" s="774" t="s">
        <v>17</v>
      </c>
      <c r="U25" s="775">
        <f>H25</f>
        <v>100</v>
      </c>
      <c r="V25" s="774" t="s">
        <v>17</v>
      </c>
      <c r="W25" s="775">
        <f>J25</f>
        <v>100</v>
      </c>
      <c r="X25" s="1816"/>
      <c r="Y25" s="316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0"/>
      <c r="Q26" s="1813">
        <f t="shared" ref="Q26:Q40" si="11">B26</f>
        <v>111</v>
      </c>
      <c r="R26" s="774" t="s">
        <v>17</v>
      </c>
      <c r="S26" s="775">
        <f>F26</f>
        <v>100</v>
      </c>
      <c r="T26" s="774" t="s">
        <v>17</v>
      </c>
      <c r="U26" s="775">
        <f>H26</f>
        <v>100</v>
      </c>
      <c r="V26" s="774" t="s">
        <v>17</v>
      </c>
      <c r="W26" s="775">
        <f>J26</f>
        <v>100</v>
      </c>
      <c r="X26" s="1816"/>
      <c r="Y26" s="316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0"/>
      <c r="Q27" s="1798">
        <f t="shared" si="11"/>
        <v>111</v>
      </c>
      <c r="R27" s="770" t="s">
        <v>17</v>
      </c>
      <c r="S27" s="771">
        <f>F27</f>
        <v>100</v>
      </c>
      <c r="T27" s="770" t="s">
        <v>17</v>
      </c>
      <c r="U27" s="771">
        <f>H27</f>
        <v>100</v>
      </c>
      <c r="V27" s="770" t="s">
        <v>17</v>
      </c>
      <c r="W27" s="771">
        <f>J27</f>
        <v>100</v>
      </c>
      <c r="X27" s="772"/>
      <c r="Y27" s="316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0"/>
      <c r="Q28" s="1813">
        <f t="shared" si="11"/>
        <v>111</v>
      </c>
      <c r="R28" s="774" t="s">
        <v>17</v>
      </c>
      <c r="S28" s="775">
        <f t="shared" ref="S28:S40" si="12">F28</f>
        <v>100</v>
      </c>
      <c r="T28" s="774" t="s">
        <v>17</v>
      </c>
      <c r="U28" s="775">
        <f t="shared" ref="U28:U40" si="13">H28</f>
        <v>100</v>
      </c>
      <c r="V28" s="774" t="s">
        <v>17</v>
      </c>
      <c r="W28" s="775">
        <f t="shared" ref="W28:W40" si="14">J28</f>
        <v>100</v>
      </c>
      <c r="X28" s="1816"/>
      <c r="Y28" s="3160"/>
      <c r="Z28" s="1817">
        <f t="shared" ref="Z28:Z40" si="15">Q28</f>
        <v>111</v>
      </c>
      <c r="AA28" s="1814">
        <f t="shared" si="3"/>
        <v>1</v>
      </c>
      <c r="AB28" s="1814">
        <f t="shared" si="4"/>
        <v>1</v>
      </c>
      <c r="AC28" s="1814">
        <f t="shared" si="5"/>
        <v>1</v>
      </c>
    </row>
    <row r="29" spans="1:29" ht="15">
      <c r="A29" s="466" t="s">
        <v>2549</v>
      </c>
      <c r="B29" s="71" t="s">
        <v>2679</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61" t="s">
        <v>2551</v>
      </c>
      <c r="Q29" s="1813" t="str">
        <f t="shared" si="11"/>
        <v>建筑类型</v>
      </c>
      <c r="R29" s="774" t="s">
        <v>17</v>
      </c>
      <c r="S29" s="775">
        <f t="shared" si="12"/>
        <v>100</v>
      </c>
      <c r="T29" s="774" t="s">
        <v>17</v>
      </c>
      <c r="U29" s="775">
        <f t="shared" si="13"/>
        <v>100</v>
      </c>
      <c r="V29" s="774" t="s">
        <v>17</v>
      </c>
      <c r="W29" s="775">
        <f t="shared" si="14"/>
        <v>100</v>
      </c>
      <c r="X29" s="1816"/>
      <c r="Y29" s="3162" t="s">
        <v>2551</v>
      </c>
      <c r="Z29" s="1817" t="str">
        <f t="shared" si="15"/>
        <v>建筑类型</v>
      </c>
      <c r="AA29" s="1814">
        <f t="shared" si="3"/>
        <v>1</v>
      </c>
      <c r="AB29" s="1814">
        <f t="shared" si="4"/>
        <v>1</v>
      </c>
      <c r="AC29" s="1814">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2"/>
      <c r="Q30" s="776" t="str">
        <f t="shared" si="11"/>
        <v>项目建筑规模</v>
      </c>
      <c r="R30" s="777" t="s">
        <v>17</v>
      </c>
      <c r="S30" s="778" t="e">
        <f t="shared" si="12"/>
        <v>#N/A</v>
      </c>
      <c r="T30" s="777" t="s">
        <v>17</v>
      </c>
      <c r="U30" s="778" t="e">
        <f t="shared" si="13"/>
        <v>#N/A</v>
      </c>
      <c r="V30" s="777" t="s">
        <v>17</v>
      </c>
      <c r="W30" s="778" t="e">
        <f t="shared" si="14"/>
        <v>#N/A</v>
      </c>
      <c r="X30" s="779"/>
      <c r="Y30" s="3162"/>
      <c r="Z30" s="780" t="str">
        <f t="shared" si="15"/>
        <v>项目建筑规模</v>
      </c>
      <c r="AA30" s="1814" t="e">
        <f t="shared" si="3"/>
        <v>#N/A</v>
      </c>
      <c r="AB30" s="1814" t="e">
        <f t="shared" si="4"/>
        <v>#N/A</v>
      </c>
      <c r="AC30" s="1814"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2"/>
      <c r="Q31" s="1813" t="str">
        <f t="shared" si="11"/>
        <v>建筑结构</v>
      </c>
      <c r="R31" s="774" t="s">
        <v>17</v>
      </c>
      <c r="S31" s="775">
        <f t="shared" si="12"/>
        <v>100</v>
      </c>
      <c r="T31" s="774" t="s">
        <v>17</v>
      </c>
      <c r="U31" s="775">
        <f t="shared" si="13"/>
        <v>100</v>
      </c>
      <c r="V31" s="774" t="s">
        <v>17</v>
      </c>
      <c r="W31" s="775">
        <f t="shared" si="14"/>
        <v>100</v>
      </c>
      <c r="X31" s="1816"/>
      <c r="Y31" s="3162"/>
      <c r="Z31" s="1817" t="str">
        <f t="shared" si="15"/>
        <v>建筑结构</v>
      </c>
      <c r="AA31" s="1814">
        <f t="shared" si="3"/>
        <v>1</v>
      </c>
      <c r="AB31" s="1814">
        <f t="shared" si="4"/>
        <v>1</v>
      </c>
      <c r="AC31" s="1814">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2"/>
      <c r="Q32" s="1813" t="str">
        <f t="shared" si="11"/>
        <v>公共部分装修</v>
      </c>
      <c r="R32" s="774" t="s">
        <v>17</v>
      </c>
      <c r="S32" s="775">
        <f t="shared" si="12"/>
        <v>100</v>
      </c>
      <c r="T32" s="774" t="s">
        <v>17</v>
      </c>
      <c r="U32" s="775">
        <f t="shared" si="13"/>
        <v>100</v>
      </c>
      <c r="V32" s="774" t="s">
        <v>17</v>
      </c>
      <c r="W32" s="775">
        <f t="shared" si="14"/>
        <v>100</v>
      </c>
      <c r="X32" s="1816"/>
      <c r="Y32" s="3162"/>
      <c r="Z32" s="1817" t="str">
        <f t="shared" si="15"/>
        <v>公共部分装修</v>
      </c>
      <c r="AA32" s="1814">
        <f t="shared" si="3"/>
        <v>1</v>
      </c>
      <c r="AB32" s="1814">
        <f t="shared" si="4"/>
        <v>1</v>
      </c>
      <c r="AC32" s="1814">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2"/>
      <c r="Q33" s="1813" t="str">
        <f t="shared" si="11"/>
        <v>成新度</v>
      </c>
      <c r="R33" s="774" t="s">
        <v>17</v>
      </c>
      <c r="S33" s="775" t="e">
        <f t="shared" si="12"/>
        <v>#N/A</v>
      </c>
      <c r="T33" s="774" t="s">
        <v>17</v>
      </c>
      <c r="U33" s="775" t="e">
        <f t="shared" si="13"/>
        <v>#N/A</v>
      </c>
      <c r="V33" s="774" t="s">
        <v>17</v>
      </c>
      <c r="W33" s="775" t="e">
        <f t="shared" si="14"/>
        <v>#N/A</v>
      </c>
      <c r="X33" s="1816"/>
      <c r="Y33" s="3162"/>
      <c r="Z33" s="1817" t="str">
        <f t="shared" si="15"/>
        <v>成新度</v>
      </c>
      <c r="AA33" s="1814" t="e">
        <f t="shared" si="3"/>
        <v>#N/A</v>
      </c>
      <c r="AB33" s="1814" t="e">
        <f t="shared" si="4"/>
        <v>#N/A</v>
      </c>
      <c r="AC33" s="1814"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2"/>
      <c r="Q34" s="1798" t="str">
        <f t="shared" si="11"/>
        <v>物业管理</v>
      </c>
      <c r="R34" s="770" t="s">
        <v>17</v>
      </c>
      <c r="S34" s="771">
        <f t="shared" si="12"/>
        <v>100</v>
      </c>
      <c r="T34" s="770" t="s">
        <v>17</v>
      </c>
      <c r="U34" s="771">
        <f t="shared" si="13"/>
        <v>100</v>
      </c>
      <c r="V34" s="770" t="s">
        <v>17</v>
      </c>
      <c r="W34" s="771">
        <f t="shared" si="14"/>
        <v>100</v>
      </c>
      <c r="X34" s="772"/>
      <c r="Y34" s="3162"/>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2" t="s">
        <v>2551</v>
      </c>
      <c r="Q35" s="1813" t="str">
        <f t="shared" si="11"/>
        <v>市政基础设施</v>
      </c>
      <c r="R35" s="774" t="s">
        <v>17</v>
      </c>
      <c r="S35" s="775">
        <f t="shared" si="12"/>
        <v>100</v>
      </c>
      <c r="T35" s="774" t="s">
        <v>17</v>
      </c>
      <c r="U35" s="775">
        <f t="shared" si="13"/>
        <v>100</v>
      </c>
      <c r="V35" s="774" t="s">
        <v>17</v>
      </c>
      <c r="W35" s="775">
        <f t="shared" si="14"/>
        <v>100</v>
      </c>
      <c r="X35" s="1816"/>
      <c r="Y35" s="3162" t="s">
        <v>2551</v>
      </c>
      <c r="Z35" s="1817" t="str">
        <f t="shared" si="15"/>
        <v>市政基础设施</v>
      </c>
      <c r="AA35" s="1814">
        <f t="shared" si="3"/>
        <v>1</v>
      </c>
      <c r="AB35" s="1814">
        <f t="shared" si="4"/>
        <v>1</v>
      </c>
      <c r="AC35" s="1814">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2"/>
      <c r="Q36" s="1813" t="str">
        <f t="shared" si="11"/>
        <v>内部装修</v>
      </c>
      <c r="R36" s="774" t="s">
        <v>17</v>
      </c>
      <c r="S36" s="775">
        <f t="shared" si="12"/>
        <v>100</v>
      </c>
      <c r="T36" s="774" t="s">
        <v>17</v>
      </c>
      <c r="U36" s="775">
        <f t="shared" si="13"/>
        <v>100</v>
      </c>
      <c r="V36" s="774" t="s">
        <v>17</v>
      </c>
      <c r="W36" s="775">
        <f t="shared" si="14"/>
        <v>100</v>
      </c>
      <c r="X36" s="1816"/>
      <c r="Y36" s="3162"/>
      <c r="Z36" s="1817" t="str">
        <f t="shared" si="15"/>
        <v>内部装修</v>
      </c>
      <c r="AA36" s="1814">
        <f t="shared" si="3"/>
        <v>1</v>
      </c>
      <c r="AB36" s="1814">
        <f t="shared" si="4"/>
        <v>1</v>
      </c>
      <c r="AC36" s="1814">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2"/>
      <c r="Q37" s="1813" t="str">
        <f t="shared" si="11"/>
        <v>内部装修状况</v>
      </c>
      <c r="R37" s="774" t="s">
        <v>17</v>
      </c>
      <c r="S37" s="775">
        <f t="shared" si="12"/>
        <v>100</v>
      </c>
      <c r="T37" s="774" t="s">
        <v>17</v>
      </c>
      <c r="U37" s="775">
        <f t="shared" si="13"/>
        <v>100</v>
      </c>
      <c r="V37" s="774" t="s">
        <v>17</v>
      </c>
      <c r="W37" s="775">
        <f t="shared" si="14"/>
        <v>100</v>
      </c>
      <c r="X37" s="1816"/>
      <c r="Y37" s="316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2"/>
      <c r="Q38" s="776">
        <f t="shared" si="11"/>
        <v>111</v>
      </c>
      <c r="R38" s="777" t="s">
        <v>17</v>
      </c>
      <c r="S38" s="778">
        <f t="shared" si="12"/>
        <v>100</v>
      </c>
      <c r="T38" s="777" t="s">
        <v>17</v>
      </c>
      <c r="U38" s="778">
        <f t="shared" si="13"/>
        <v>100</v>
      </c>
      <c r="V38" s="777" t="s">
        <v>17</v>
      </c>
      <c r="W38" s="778">
        <f t="shared" si="14"/>
        <v>100</v>
      </c>
      <c r="X38" s="779"/>
      <c r="Y38" s="316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2"/>
      <c r="Q39" s="1813">
        <f t="shared" si="11"/>
        <v>111</v>
      </c>
      <c r="R39" s="774" t="s">
        <v>17</v>
      </c>
      <c r="S39" s="775">
        <f t="shared" si="12"/>
        <v>100</v>
      </c>
      <c r="T39" s="774" t="s">
        <v>17</v>
      </c>
      <c r="U39" s="775">
        <f t="shared" si="13"/>
        <v>100</v>
      </c>
      <c r="V39" s="774" t="s">
        <v>17</v>
      </c>
      <c r="W39" s="775">
        <f t="shared" si="14"/>
        <v>100</v>
      </c>
      <c r="X39" s="1816"/>
      <c r="Y39" s="3162"/>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9"/>
      <c r="Q40" s="1813">
        <f t="shared" si="11"/>
        <v>111</v>
      </c>
      <c r="R40" s="774" t="s">
        <v>17</v>
      </c>
      <c r="S40" s="775">
        <f t="shared" si="12"/>
        <v>100</v>
      </c>
      <c r="T40" s="774" t="s">
        <v>17</v>
      </c>
      <c r="U40" s="775">
        <f t="shared" si="13"/>
        <v>100</v>
      </c>
      <c r="V40" s="774" t="s">
        <v>17</v>
      </c>
      <c r="W40" s="775">
        <f t="shared" si="14"/>
        <v>100</v>
      </c>
      <c r="X40" s="1816"/>
      <c r="Y40" s="3229"/>
      <c r="Z40" s="1817">
        <f t="shared" si="15"/>
        <v>111</v>
      </c>
      <c r="AA40" s="1814">
        <f t="shared" si="3"/>
        <v>1</v>
      </c>
      <c r="AB40" s="1814">
        <f t="shared" si="4"/>
        <v>1</v>
      </c>
      <c r="AC40" s="1814">
        <f t="shared" si="5"/>
        <v>1</v>
      </c>
    </row>
    <row r="41" spans="1:29" ht="15">
      <c r="A41" s="479" t="s">
        <v>2563</v>
      </c>
      <c r="B41" s="480"/>
      <c r="C41" s="1410" t="s">
        <v>1</v>
      </c>
      <c r="D41" s="1411"/>
      <c r="E41" s="1412"/>
      <c r="F41" s="1413"/>
      <c r="G41" s="1414"/>
      <c r="H41" s="1415"/>
      <c r="I41" s="1412"/>
      <c r="J41" s="1415"/>
      <c r="K41" s="783"/>
      <c r="L41" s="1146"/>
      <c r="M41" s="1147"/>
      <c r="N41" s="1134"/>
      <c r="O41" s="1147"/>
      <c r="P41" s="3157" t="str">
        <f>A41</f>
        <v>成交单价（元/平方米）</v>
      </c>
      <c r="Q41" s="3157"/>
      <c r="R41" s="3225">
        <f>E41</f>
        <v>0</v>
      </c>
      <c r="S41" s="3225"/>
      <c r="T41" s="3225">
        <f>G41</f>
        <v>0</v>
      </c>
      <c r="U41" s="3225"/>
      <c r="V41" s="3225">
        <f>I41</f>
        <v>0</v>
      </c>
      <c r="W41" s="3225"/>
      <c r="X41" s="759"/>
      <c r="Y41" s="781"/>
      <c r="Z41" s="759"/>
      <c r="AA41" s="759"/>
      <c r="AB41" s="759"/>
      <c r="AC41" s="759"/>
    </row>
    <row r="42" spans="1:29" ht="15.75" thickBot="1">
      <c r="A42" s="486" t="s">
        <v>2655</v>
      </c>
      <c r="B42" s="487"/>
      <c r="C42" s="1416" t="e">
        <f>R43</f>
        <v>#DIV/0!</v>
      </c>
      <c r="D42" s="1417"/>
      <c r="E42" s="1418" t="e">
        <f>R42</f>
        <v>#DIV/0!</v>
      </c>
      <c r="F42" s="1418"/>
      <c r="G42" s="1416" t="e">
        <f>T42</f>
        <v>#DIV/0!</v>
      </c>
      <c r="H42" s="1417"/>
      <c r="I42" s="1418" t="e">
        <f>V42</f>
        <v>#DIV/0!</v>
      </c>
      <c r="J42" s="1417"/>
      <c r="K42" s="784"/>
      <c r="L42" s="1146"/>
      <c r="M42" s="1147"/>
      <c r="N42" s="1134"/>
      <c r="O42" s="1147"/>
      <c r="P42" s="3157" t="str">
        <f>A42</f>
        <v>比较价值（元/平方米）</v>
      </c>
      <c r="Q42" s="3157"/>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2656</v>
      </c>
      <c r="B43" s="493"/>
      <c r="C43" s="1420" t="e">
        <f>R43</f>
        <v>#DIV/0!</v>
      </c>
      <c r="D43" s="1420"/>
      <c r="E43" s="1420"/>
      <c r="F43" s="1420"/>
      <c r="G43" s="1420"/>
      <c r="H43" s="1420"/>
      <c r="I43" s="1420"/>
      <c r="J43" s="1420"/>
      <c r="K43" s="785"/>
      <c r="L43" s="1146"/>
      <c r="M43" s="1147"/>
      <c r="N43" s="1147"/>
      <c r="O43" s="1147"/>
      <c r="P43" s="3151" t="str">
        <f>A43</f>
        <v>估价对象XX用房的比较价值（楼面单价，元/平方米）</v>
      </c>
      <c r="Q43" s="3152"/>
      <c r="R43" s="3224" t="e">
        <f>IF(F1="售价",ROUND(AVERAGE(R42:V42),0),ROUND(AVERAGE(R42:V42),1))</f>
        <v>#DIV/0!</v>
      </c>
      <c r="S43" s="3224"/>
      <c r="T43" s="3224"/>
      <c r="U43" s="3224"/>
      <c r="V43" s="3224"/>
      <c r="W43" s="322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2660</v>
      </c>
      <c r="B51" s="759"/>
      <c r="C51" s="764"/>
      <c r="D51" s="764"/>
      <c r="E51" s="764"/>
      <c r="F51" s="765"/>
      <c r="G51" s="765"/>
      <c r="H51" s="764"/>
      <c r="I51" s="764"/>
      <c r="J51" s="764"/>
      <c r="K51" s="1163"/>
      <c r="L51" s="1164"/>
      <c r="M51" s="1162"/>
      <c r="N51" s="1162"/>
      <c r="O51" s="1162"/>
      <c r="P51" s="503"/>
      <c r="Q51" s="504"/>
    </row>
    <row r="52" spans="1:17" s="508" customFormat="1" ht="15">
      <c r="A52" s="505" t="s">
        <v>2534</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2574</v>
      </c>
      <c r="B57" s="528" t="s">
        <v>2540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2549</v>
      </c>
      <c r="B88" s="528" t="s">
        <v>2598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0" zoomScaleNormal="90" workbookViewId="0">
      <selection activeCell="H40" sqref="H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2693</v>
      </c>
      <c r="B1" s="1622" t="s">
        <v>3256</v>
      </c>
      <c r="C1" s="1623" t="s">
        <v>2516</v>
      </c>
      <c r="D1" s="1624" t="s">
        <v>3256</v>
      </c>
      <c r="E1" s="1625"/>
      <c r="F1" s="2587" t="s">
        <v>3323</v>
      </c>
      <c r="G1" s="1626" t="s">
        <v>2629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f>IF(C2="——",IF(B37="元/平方米",ROUND(C39*D3/10000,0),ROUND(F3*C39/10000,0)),IF(B37="元/平方米",ROUND(C39*D3/10000,0),ROUND(F3*C39/10000,0))-D2)</f>
        <v>10340</v>
      </c>
      <c r="C2" s="2589" t="s">
        <v>70</v>
      </c>
      <c r="D2" s="1127" t="e">
        <f ca="1">SUMIF(INDIRECT("'"&amp;F2&amp;"'"&amp;"!A:A"),"承租人权益价值",INDIRECT("'"&amp;F2&amp;"'"&amp;"!c:c"))</f>
        <v>#REF!</v>
      </c>
      <c r="E2" s="2590" t="s">
        <v>2317</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f>IF(AND(C2="——",B37="元/平方米"),C39,ROUND(B2*10000/D3,0))</f>
        <v>5929</v>
      </c>
      <c r="C3" s="400" t="s">
        <v>2630</v>
      </c>
      <c r="D3" s="399">
        <f>SUMIF('数据-汇总表'!$C19:$C33,D1,'数据-汇总表'!$E19:$E33)</f>
        <v>17440</v>
      </c>
      <c r="E3" s="400" t="s">
        <v>2694</v>
      </c>
      <c r="F3" s="399">
        <f>SUMIF('数据-取费表'!A5:A15,D1,'数据-取费表'!AH5:AH15)</f>
        <v>436</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2631</v>
      </c>
      <c r="B4" s="402"/>
      <c r="C4" s="3154" t="s">
        <v>2632</v>
      </c>
      <c r="D4" s="3167"/>
      <c r="E4" s="3168" t="s">
        <v>2633</v>
      </c>
      <c r="F4" s="3169"/>
      <c r="G4" s="3154" t="s">
        <v>2634</v>
      </c>
      <c r="H4" s="3167"/>
      <c r="I4" s="3154" t="s">
        <v>2635</v>
      </c>
      <c r="J4" s="3167"/>
      <c r="K4" s="610" t="s">
        <v>2636</v>
      </c>
      <c r="L4" s="1133"/>
      <c r="M4" s="1134"/>
      <c r="N4" s="1134"/>
      <c r="O4" s="1134"/>
      <c r="P4" s="3170" t="s">
        <v>2637</v>
      </c>
      <c r="Q4" s="3171"/>
      <c r="R4" s="3176" t="s">
        <v>2633</v>
      </c>
      <c r="S4" s="3177"/>
      <c r="T4" s="3176" t="s">
        <v>2634</v>
      </c>
      <c r="U4" s="3177"/>
      <c r="V4" s="3163" t="s">
        <v>2635</v>
      </c>
      <c r="W4" s="3163"/>
      <c r="X4" s="1816"/>
      <c r="Y4" s="3176" t="s">
        <v>2637</v>
      </c>
      <c r="Z4" s="3177"/>
      <c r="AA4" s="3164" t="s">
        <v>2633</v>
      </c>
      <c r="AB4" s="3165" t="s">
        <v>2634</v>
      </c>
      <c r="AC4" s="3164" t="s">
        <v>2635</v>
      </c>
    </row>
    <row r="5" spans="1:29" ht="15">
      <c r="A5" s="404"/>
      <c r="B5" s="405"/>
      <c r="C5" s="3232" t="s">
        <v>3291</v>
      </c>
      <c r="D5" s="3185"/>
      <c r="E5" s="3249" t="s">
        <v>3315</v>
      </c>
      <c r="F5" s="3185"/>
      <c r="G5" s="3249" t="s">
        <v>3316</v>
      </c>
      <c r="H5" s="3185"/>
      <c r="I5" s="3249" t="s">
        <v>3317</v>
      </c>
      <c r="J5" s="3185"/>
      <c r="K5" s="610"/>
      <c r="L5" s="1133"/>
      <c r="M5" s="1134"/>
      <c r="N5" s="1134"/>
      <c r="O5" s="1134"/>
      <c r="P5" s="3172"/>
      <c r="Q5" s="3173"/>
      <c r="R5" s="3178"/>
      <c r="S5" s="3179"/>
      <c r="T5" s="3178"/>
      <c r="U5" s="3179"/>
      <c r="V5" s="3163"/>
      <c r="W5" s="3163"/>
      <c r="X5" s="1816"/>
      <c r="Y5" s="3178"/>
      <c r="Z5" s="3179"/>
      <c r="AA5" s="3165"/>
      <c r="AB5" s="3165"/>
      <c r="AC5" s="3165"/>
    </row>
    <row r="6" spans="1:29" ht="15.75" thickBot="1">
      <c r="A6" s="406"/>
      <c r="B6" s="407"/>
      <c r="C6" s="3182" t="s">
        <v>2532</v>
      </c>
      <c r="D6" s="3183"/>
      <c r="E6" s="3190" t="s">
        <v>2532</v>
      </c>
      <c r="F6" s="3191"/>
      <c r="G6" s="3182" t="s">
        <v>2532</v>
      </c>
      <c r="H6" s="3183"/>
      <c r="I6" s="3182" t="s">
        <v>2532</v>
      </c>
      <c r="J6" s="3183"/>
      <c r="K6" s="610" t="s">
        <v>2533</v>
      </c>
      <c r="L6" s="1133"/>
      <c r="M6" s="1134"/>
      <c r="N6" s="1134"/>
      <c r="O6" s="1134"/>
      <c r="P6" s="3174"/>
      <c r="Q6" s="3175"/>
      <c r="R6" s="3178"/>
      <c r="S6" s="3179"/>
      <c r="T6" s="3180"/>
      <c r="U6" s="3181"/>
      <c r="V6" s="3163"/>
      <c r="W6" s="3163"/>
      <c r="X6" s="1816"/>
      <c r="Y6" s="3180"/>
      <c r="Z6" s="3181"/>
      <c r="AA6" s="3166"/>
      <c r="AB6" s="3166"/>
      <c r="AC6" s="3166"/>
    </row>
    <row r="7" spans="1:29" s="117" customFormat="1" ht="15.75" thickBot="1">
      <c r="A7" s="408" t="s">
        <v>2534</v>
      </c>
      <c r="B7" s="409"/>
      <c r="C7" s="410">
        <f>'数据-取费表'!B2</f>
        <v>43381</v>
      </c>
      <c r="D7" s="411">
        <v>100</v>
      </c>
      <c r="E7" s="412">
        <v>43208</v>
      </c>
      <c r="F7" s="413">
        <f>SUMIF(48:48,YEAR(E7)&amp;"-"&amp;MONTH(E7),49:49)</f>
        <v>99</v>
      </c>
      <c r="G7" s="2696">
        <v>43223</v>
      </c>
      <c r="H7" s="411">
        <f>SUMIF(48:48,YEAR(G7)&amp;"-"&amp;MONTH(G7),49:49)</f>
        <v>99</v>
      </c>
      <c r="I7" s="2696">
        <v>43238</v>
      </c>
      <c r="J7" s="411">
        <f>SUMIF(48:48,YEAR(I7)&amp;"-"&amp;MONTH(I7),49:49)</f>
        <v>99</v>
      </c>
      <c r="K7" s="611"/>
      <c r="L7" s="1135"/>
      <c r="M7" s="1136"/>
      <c r="N7" s="1136"/>
      <c r="O7" s="1136"/>
      <c r="P7" s="3186" t="s">
        <v>2535</v>
      </c>
      <c r="Q7" s="3188"/>
      <c r="R7" s="770" t="s">
        <v>17</v>
      </c>
      <c r="S7" s="771">
        <f t="shared" ref="S7:S14" si="0">F7</f>
        <v>99</v>
      </c>
      <c r="T7" s="770" t="s">
        <v>17</v>
      </c>
      <c r="U7" s="771">
        <f t="shared" ref="U7:U14" si="1">H7</f>
        <v>99</v>
      </c>
      <c r="V7" s="770" t="s">
        <v>17</v>
      </c>
      <c r="W7" s="771">
        <f t="shared" ref="W7:W14" si="2">J7</f>
        <v>99</v>
      </c>
      <c r="X7" s="772"/>
      <c r="Y7" s="3186" t="s">
        <v>2535</v>
      </c>
      <c r="Z7" s="3187"/>
      <c r="AA7" s="773">
        <f>D7/F7</f>
        <v>1.0101010101010102</v>
      </c>
      <c r="AB7" s="773">
        <f>D7/H7</f>
        <v>1.0101010101010102</v>
      </c>
      <c r="AC7" s="773">
        <f>D7/J7</f>
        <v>1.0101010101010102</v>
      </c>
    </row>
    <row r="8" spans="1:29" s="117" customFormat="1" ht="15.75" thickBot="1">
      <c r="A8" s="408" t="s">
        <v>2536</v>
      </c>
      <c r="B8" s="409"/>
      <c r="C8" s="414" t="s">
        <v>2638</v>
      </c>
      <c r="D8" s="411">
        <v>100</v>
      </c>
      <c r="E8" s="414" t="s">
        <v>3318</v>
      </c>
      <c r="F8" s="413">
        <f>SUMIF(51:51,E8,52:52)-SUMIF(51:51,C8,52:52)+100</f>
        <v>100</v>
      </c>
      <c r="G8" s="414" t="s">
        <v>3318</v>
      </c>
      <c r="H8" s="411">
        <f>SUMIF(51:51,G8,52:52)-SUMIF(51:51,C8,52:52)+100</f>
        <v>100</v>
      </c>
      <c r="I8" s="414" t="s">
        <v>3318</v>
      </c>
      <c r="J8" s="411">
        <f>SUMIF(51:51,I8,52:52)-SUMIF(51:51,C8,52:52)+100</f>
        <v>100</v>
      </c>
      <c r="K8" s="611"/>
      <c r="L8" s="1135"/>
      <c r="M8" s="1136"/>
      <c r="N8" s="1136"/>
      <c r="O8" s="1136"/>
      <c r="P8" s="3186" t="s">
        <v>2538</v>
      </c>
      <c r="Q8" s="3187"/>
      <c r="R8" s="770" t="s">
        <v>17</v>
      </c>
      <c r="S8" s="771">
        <f t="shared" si="0"/>
        <v>100</v>
      </c>
      <c r="T8" s="770" t="s">
        <v>17</v>
      </c>
      <c r="U8" s="771">
        <f t="shared" si="1"/>
        <v>100</v>
      </c>
      <c r="V8" s="770" t="s">
        <v>17</v>
      </c>
      <c r="W8" s="771">
        <f t="shared" si="2"/>
        <v>100</v>
      </c>
      <c r="X8" s="772"/>
      <c r="Y8" s="3186" t="s">
        <v>2538</v>
      </c>
      <c r="Z8" s="3187"/>
      <c r="AA8" s="773">
        <f t="shared" ref="AA8:AA36" si="3">D8/F8</f>
        <v>1</v>
      </c>
      <c r="AB8" s="773">
        <f t="shared" ref="AB8:AB36" si="4">D8/H8</f>
        <v>1</v>
      </c>
      <c r="AC8" s="773">
        <f t="shared" ref="AC8:AC36" si="5">D8/J8</f>
        <v>1</v>
      </c>
    </row>
    <row r="9" spans="1:29" s="117" customFormat="1">
      <c r="A9" s="68" t="s">
        <v>2539</v>
      </c>
      <c r="B9" s="640" t="s">
        <v>2540</v>
      </c>
      <c r="C9" s="2961" t="s">
        <v>3322</v>
      </c>
      <c r="D9" s="135">
        <v>100</v>
      </c>
      <c r="E9" s="419" t="s">
        <v>3256</v>
      </c>
      <c r="F9" s="135">
        <f>SUMIF(53:53,E9,54:54)-SUMIF(53:53,C9,54:54)+100</f>
        <v>100</v>
      </c>
      <c r="G9" s="417" t="s">
        <v>3256</v>
      </c>
      <c r="H9" s="135">
        <f>SUMIF(53:53,G9,54:54)-SUMIF(53:53,C9,54:54)+100</f>
        <v>100</v>
      </c>
      <c r="I9" s="417" t="s">
        <v>3256</v>
      </c>
      <c r="J9" s="135">
        <f>SUMIF(53:53,I9,54:54)-SUMIF(53:53,C9,54:54)+100</f>
        <v>100</v>
      </c>
      <c r="K9" s="611"/>
      <c r="L9" s="1135"/>
      <c r="M9" s="1136"/>
      <c r="N9" s="1136"/>
      <c r="O9" s="1136"/>
      <c r="P9" s="3157" t="s">
        <v>2541</v>
      </c>
      <c r="Q9" s="1798" t="str">
        <f t="shared" ref="Q9:Q14" si="6">B9</f>
        <v>用途</v>
      </c>
      <c r="R9" s="770" t="s">
        <v>17</v>
      </c>
      <c r="S9" s="771">
        <f t="shared" si="0"/>
        <v>100</v>
      </c>
      <c r="T9" s="770" t="s">
        <v>17</v>
      </c>
      <c r="U9" s="771">
        <f t="shared" si="1"/>
        <v>100</v>
      </c>
      <c r="V9" s="770" t="s">
        <v>17</v>
      </c>
      <c r="W9" s="771">
        <f t="shared" si="2"/>
        <v>100</v>
      </c>
      <c r="X9" s="772"/>
      <c r="Y9" s="3008" t="s">
        <v>2542</v>
      </c>
      <c r="Z9" s="55" t="str">
        <f t="shared" ref="Z9:Z14" si="7">Q9</f>
        <v>用途</v>
      </c>
      <c r="AA9" s="773">
        <f t="shared" si="3"/>
        <v>1</v>
      </c>
      <c r="AB9" s="773">
        <f t="shared" si="4"/>
        <v>1</v>
      </c>
      <c r="AC9" s="773">
        <f t="shared" si="5"/>
        <v>1</v>
      </c>
    </row>
    <row r="10" spans="1:29" s="427" customFormat="1" ht="27.75" thickBot="1">
      <c r="A10" s="641"/>
      <c r="B10" s="642" t="s">
        <v>2543</v>
      </c>
      <c r="C10" s="423" t="s">
        <v>3319</v>
      </c>
      <c r="D10" s="136">
        <v>100</v>
      </c>
      <c r="E10" s="423" t="s">
        <v>3319</v>
      </c>
      <c r="F10" s="136">
        <f>SUMIF(55:55,E10,56:56)-SUMIF(55:55,C10,56:56)+100</f>
        <v>100</v>
      </c>
      <c r="G10" s="424" t="s">
        <v>3319</v>
      </c>
      <c r="H10" s="136">
        <f>SUMIF(55:55,G10,56:56)-SUMIF(55:55,C10,56:56)+100</f>
        <v>100</v>
      </c>
      <c r="I10" s="423" t="s">
        <v>3319</v>
      </c>
      <c r="J10" s="136">
        <f>SUMIF(55:55,I10,56:56)-SUMIF(55:55,C10,56:56)+100</f>
        <v>100</v>
      </c>
      <c r="K10" s="612">
        <f>'比较法-住宅'!K10</f>
        <v>2</v>
      </c>
      <c r="L10" s="1138"/>
      <c r="M10" s="1139"/>
      <c r="N10" s="1139"/>
      <c r="O10" s="1139"/>
      <c r="P10" s="315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7"/>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
      <c r="A14" s="401" t="s">
        <v>2545</v>
      </c>
      <c r="B14" s="629" t="s">
        <v>2695</v>
      </c>
      <c r="C14" s="2693" t="str">
        <f>IF(B1="工业",估价对象房地状况!G4,估价对象房地状况!C6)</f>
        <v>一般</v>
      </c>
      <c r="D14" s="441">
        <v>100</v>
      </c>
      <c r="E14" s="442"/>
      <c r="F14" s="443">
        <f>SUMIF(63:63,E15,64:64)-SUMIF(63:63,C15,64:64)+100</f>
        <v>102</v>
      </c>
      <c r="G14" s="444"/>
      <c r="H14" s="441">
        <f>SUMIF(63:63,G15,64:64)-SUMIF(63:63,C15,64:64)+100</f>
        <v>102</v>
      </c>
      <c r="I14" s="442"/>
      <c r="J14" s="441">
        <f>SUMIF(63:63,I15,64:64)-SUMIF(63:63,C15,64:64)+100</f>
        <v>102</v>
      </c>
      <c r="K14" s="614">
        <f>'比较法-住宅'!K17</f>
        <v>2</v>
      </c>
      <c r="L14" s="1143"/>
      <c r="M14" s="1134"/>
      <c r="N14" s="1134"/>
      <c r="O14" s="1134"/>
      <c r="P14" s="3159" t="s">
        <v>2546</v>
      </c>
      <c r="Q14" s="1813" t="str">
        <f t="shared" si="6"/>
        <v>交通便捷度</v>
      </c>
      <c r="R14" s="774" t="s">
        <v>17</v>
      </c>
      <c r="S14" s="775">
        <f t="shared" si="0"/>
        <v>102</v>
      </c>
      <c r="T14" s="774" t="s">
        <v>17</v>
      </c>
      <c r="U14" s="775">
        <f t="shared" si="1"/>
        <v>102</v>
      </c>
      <c r="V14" s="774" t="s">
        <v>17</v>
      </c>
      <c r="W14" s="775">
        <f t="shared" si="2"/>
        <v>102</v>
      </c>
      <c r="X14" s="1816"/>
      <c r="Y14" s="3159" t="s">
        <v>2546</v>
      </c>
      <c r="Z14" s="1817" t="str">
        <f t="shared" si="7"/>
        <v>交通便捷度</v>
      </c>
      <c r="AA14" s="1814">
        <f t="shared" si="3"/>
        <v>0.98039215686274506</v>
      </c>
      <c r="AB14" s="1814">
        <f t="shared" si="4"/>
        <v>0.98039215686274506</v>
      </c>
      <c r="AC14" s="1814">
        <f t="shared" si="5"/>
        <v>0.98039215686274506</v>
      </c>
    </row>
    <row r="15" spans="1:29" ht="15">
      <c r="A15" s="404"/>
      <c r="B15" s="647"/>
      <c r="C15" s="447" t="s">
        <v>3263</v>
      </c>
      <c r="D15" s="448"/>
      <c r="E15" s="447" t="s">
        <v>3261</v>
      </c>
      <c r="F15" s="449"/>
      <c r="G15" s="447" t="s">
        <v>3261</v>
      </c>
      <c r="H15" s="450"/>
      <c r="I15" s="447" t="s">
        <v>3261</v>
      </c>
      <c r="J15" s="448"/>
      <c r="K15" s="615"/>
      <c r="L15" s="1143"/>
      <c r="M15" s="1134"/>
      <c r="N15" s="1134"/>
      <c r="O15" s="1134"/>
      <c r="P15" s="3160"/>
      <c r="Q15" s="1813"/>
      <c r="R15" s="774"/>
      <c r="S15" s="775"/>
      <c r="T15" s="774"/>
      <c r="U15" s="775"/>
      <c r="V15" s="774"/>
      <c r="W15" s="775"/>
      <c r="X15" s="1816"/>
      <c r="Y15" s="3160"/>
      <c r="Z15" s="1817"/>
      <c r="AA15" s="1814">
        <v>1</v>
      </c>
      <c r="AB15" s="1814">
        <v>1</v>
      </c>
      <c r="AC15" s="1814">
        <v>1</v>
      </c>
    </row>
    <row r="16" spans="1:29" ht="15">
      <c r="A16" s="404"/>
      <c r="B16" s="631" t="s">
        <v>2674</v>
      </c>
      <c r="C16" s="2609" t="str">
        <f>IF(B1="工业",估价对象房地状况!G5,估价对象房地状况!C7)</f>
        <v>较好</v>
      </c>
      <c r="D16" s="455">
        <v>100</v>
      </c>
      <c r="E16" s="459"/>
      <c r="F16" s="458">
        <f>SUMIF(65:65,E17,66:66)-SUMIF(65:65,C17,66:66)+100</f>
        <v>100</v>
      </c>
      <c r="G16" s="459"/>
      <c r="H16" s="455">
        <f>SUMIF(65:65,G17,66:66)-SUMIF(65:65,C17,66:66)+100</f>
        <v>100</v>
      </c>
      <c r="I16" s="457"/>
      <c r="J16" s="455">
        <f>SUMIF(65:65,I17,66:66)-SUMIF(65:65,C17,66:66)+100</f>
        <v>100</v>
      </c>
      <c r="K16" s="614">
        <f>'比较法-住宅'!K19</f>
        <v>2</v>
      </c>
      <c r="L16" s="1143"/>
      <c r="M16" s="1134"/>
      <c r="N16" s="1134"/>
      <c r="O16" s="1134"/>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04"/>
      <c r="B17" s="632"/>
      <c r="C17" s="2610" t="s">
        <v>3261</v>
      </c>
      <c r="D17" s="448"/>
      <c r="E17" s="447" t="s">
        <v>3261</v>
      </c>
      <c r="F17" s="449"/>
      <c r="G17" s="447" t="s">
        <v>3261</v>
      </c>
      <c r="H17" s="448"/>
      <c r="I17" s="447" t="s">
        <v>3261</v>
      </c>
      <c r="J17" s="448"/>
      <c r="K17" s="615"/>
      <c r="L17" s="1143"/>
      <c r="M17" s="1134"/>
      <c r="N17" s="1134"/>
      <c r="O17" s="1134"/>
      <c r="P17" s="3160"/>
      <c r="Q17" s="1813"/>
      <c r="R17" s="774"/>
      <c r="S17" s="775"/>
      <c r="T17" s="774"/>
      <c r="U17" s="775"/>
      <c r="V17" s="774"/>
      <c r="W17" s="775"/>
      <c r="X17" s="1816"/>
      <c r="Y17" s="3160"/>
      <c r="Z17" s="1817"/>
      <c r="AA17" s="1814">
        <v>1</v>
      </c>
      <c r="AB17" s="1814">
        <v>1</v>
      </c>
      <c r="AC17" s="1814">
        <v>1</v>
      </c>
    </row>
    <row r="18" spans="1:29" ht="15">
      <c r="A18" s="404"/>
      <c r="B18" s="633" t="s">
        <v>2675</v>
      </c>
      <c r="C18" s="2609" t="str">
        <f>IF(B1="工业",估价对象房地状况!G6,估价对象房地状况!C8)</f>
        <v>七通</v>
      </c>
      <c r="D18" s="450">
        <v>100</v>
      </c>
      <c r="E18" s="459"/>
      <c r="F18" s="458">
        <f>SUMIF(67:67,E19,68:68)-SUMIF(67:67,C19,68:68)+100</f>
        <v>100</v>
      </c>
      <c r="G18" s="459"/>
      <c r="H18" s="455">
        <f>SUMIF(67:67,G19,68:68)-SUMIF(67:67,C19,68:68)+100</f>
        <v>100</v>
      </c>
      <c r="I18" s="457"/>
      <c r="J18" s="455">
        <f>SUMIF(67:67,I19,68:68)-SUMIF(67:67,C19,68:68)+100</f>
        <v>100</v>
      </c>
      <c r="K18" s="614">
        <f>'比较法-住宅'!K21</f>
        <v>1</v>
      </c>
      <c r="L18" s="1143"/>
      <c r="M18" s="1134"/>
      <c r="N18" s="1134"/>
      <c r="O18" s="1134"/>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04"/>
      <c r="B19" s="633"/>
      <c r="C19" s="2610" t="s">
        <v>3266</v>
      </c>
      <c r="D19" s="450"/>
      <c r="E19" s="447" t="s">
        <v>3266</v>
      </c>
      <c r="F19" s="453"/>
      <c r="G19" s="447" t="s">
        <v>3266</v>
      </c>
      <c r="H19" s="448"/>
      <c r="I19" s="447" t="s">
        <v>3266</v>
      </c>
      <c r="J19" s="448"/>
      <c r="K19" s="1386"/>
      <c r="L19" s="1143"/>
      <c r="M19" s="1134"/>
      <c r="N19" s="1134"/>
      <c r="O19" s="1134"/>
      <c r="P19" s="3160"/>
      <c r="Q19" s="1813"/>
      <c r="R19" s="774"/>
      <c r="S19" s="775"/>
      <c r="T19" s="774"/>
      <c r="U19" s="775"/>
      <c r="V19" s="774"/>
      <c r="W19" s="775"/>
      <c r="X19" s="1816"/>
      <c r="Y19" s="3160"/>
      <c r="Z19" s="1817"/>
      <c r="AA19" s="1814">
        <v>1</v>
      </c>
      <c r="AB19" s="1814">
        <v>1</v>
      </c>
      <c r="AC19" s="1814">
        <v>1</v>
      </c>
    </row>
    <row r="20" spans="1:29" ht="15">
      <c r="A20" s="404"/>
      <c r="B20" s="631" t="s">
        <v>2696</v>
      </c>
      <c r="C20" s="2609" t="str">
        <f>IF(B1="工业",估价对象房地状况!G7,估价对象房地状况!C9)</f>
        <v>较好</v>
      </c>
      <c r="D20" s="455">
        <v>100</v>
      </c>
      <c r="E20" s="452"/>
      <c r="F20" s="458">
        <f>SUMIF(69:69,E21,70:70)-SUMIF(69:69,C21,70:70)+100</f>
        <v>100</v>
      </c>
      <c r="G20" s="454"/>
      <c r="H20" s="450">
        <f>SUMIF(69:69,G21,70:70)-SUMIF(69:69,C21,70:70)+100</f>
        <v>100</v>
      </c>
      <c r="I20" s="452"/>
      <c r="J20" s="450">
        <f>SUMIF(69:69,I21,70:70)-SUMIF(69:69,C21,70:70)+100</f>
        <v>98</v>
      </c>
      <c r="K20" s="614">
        <f>'比较法-住宅'!K23</f>
        <v>2</v>
      </c>
      <c r="L20" s="1143"/>
      <c r="M20" s="1134"/>
      <c r="N20" s="1134"/>
      <c r="O20" s="1134"/>
      <c r="P20" s="3160"/>
      <c r="Q20" s="1813" t="str">
        <f>B20</f>
        <v>自然及人文环境</v>
      </c>
      <c r="R20" s="774" t="s">
        <v>17</v>
      </c>
      <c r="S20" s="775">
        <f>F20</f>
        <v>100</v>
      </c>
      <c r="T20" s="774" t="s">
        <v>17</v>
      </c>
      <c r="U20" s="775">
        <f>H20</f>
        <v>100</v>
      </c>
      <c r="V20" s="774" t="s">
        <v>17</v>
      </c>
      <c r="W20" s="775">
        <f>J20</f>
        <v>98</v>
      </c>
      <c r="X20" s="1816"/>
      <c r="Y20" s="3160"/>
      <c r="Z20" s="1817" t="str">
        <f>Q20</f>
        <v>自然及人文环境</v>
      </c>
      <c r="AA20" s="1814">
        <f t="shared" si="3"/>
        <v>1</v>
      </c>
      <c r="AB20" s="1814">
        <f t="shared" si="4"/>
        <v>1</v>
      </c>
      <c r="AC20" s="1814">
        <f t="shared" si="5"/>
        <v>1.0204081632653061</v>
      </c>
    </row>
    <row r="21" spans="1:29" ht="15.75" thickBot="1">
      <c r="A21" s="404"/>
      <c r="B21" s="632"/>
      <c r="C21" s="447" t="s">
        <v>3261</v>
      </c>
      <c r="D21" s="448"/>
      <c r="E21" s="447" t="s">
        <v>3261</v>
      </c>
      <c r="F21" s="449"/>
      <c r="G21" s="447" t="s">
        <v>3261</v>
      </c>
      <c r="H21" s="448"/>
      <c r="I21" s="447" t="s">
        <v>3263</v>
      </c>
      <c r="J21" s="448"/>
      <c r="K21" s="615"/>
      <c r="L21" s="1143"/>
      <c r="M21" s="1134"/>
      <c r="N21" s="1134"/>
      <c r="O21" s="1134"/>
      <c r="P21" s="3160"/>
      <c r="Q21" s="1813"/>
      <c r="R21" s="774"/>
      <c r="S21" s="775"/>
      <c r="T21" s="774"/>
      <c r="U21" s="775"/>
      <c r="V21" s="774"/>
      <c r="W21" s="775"/>
      <c r="X21" s="1816"/>
      <c r="Y21" s="3160"/>
      <c r="Z21" s="1817"/>
      <c r="AA21" s="1814">
        <v>1</v>
      </c>
      <c r="AB21" s="1814">
        <v>1</v>
      </c>
      <c r="AC21" s="1814">
        <v>1</v>
      </c>
    </row>
    <row r="22" spans="1:29" ht="15" hidden="1">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0"/>
      <c r="Q24" s="1813">
        <f t="shared" ref="Q24:Q36"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15">
      <c r="A26" s="652" t="s">
        <v>2549</v>
      </c>
      <c r="B26" s="70" t="s">
        <v>2698</v>
      </c>
      <c r="C26" s="2694" t="str">
        <f>B1</f>
        <v>车库</v>
      </c>
      <c r="D26" s="448">
        <v>100</v>
      </c>
      <c r="E26" s="447" t="s">
        <v>3256</v>
      </c>
      <c r="F26" s="449">
        <f>SUMIF(79:79,E26,80:80)-SUMIF(79:79,C26,80:80)+100</f>
        <v>100</v>
      </c>
      <c r="G26" s="447" t="s">
        <v>3256</v>
      </c>
      <c r="H26" s="448">
        <f>SUMIF(79:79,G26,80:80)-SUMIF(79:79,C26,80:80)+100</f>
        <v>100</v>
      </c>
      <c r="I26" s="447" t="s">
        <v>3256</v>
      </c>
      <c r="J26" s="448">
        <f>SUMIF(79:79,I26,80:80)-SUMIF(79:79,C26,80:80)+100</f>
        <v>100</v>
      </c>
      <c r="K26" s="612">
        <v>5</v>
      </c>
      <c r="L26" s="1143"/>
      <c r="M26" s="1134"/>
      <c r="N26" s="1134"/>
      <c r="O26" s="1134"/>
      <c r="P26" s="3161" t="s">
        <v>2551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2" t="s">
        <v>2551</v>
      </c>
      <c r="Z26" s="1817" t="str">
        <f t="shared" ref="Z26:Z36" si="15">Q26</f>
        <v>配套类型</v>
      </c>
      <c r="AA26" s="1814">
        <f t="shared" si="3"/>
        <v>1</v>
      </c>
      <c r="AB26" s="1814">
        <f t="shared" si="4"/>
        <v>1</v>
      </c>
      <c r="AC26" s="1814">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2"/>
      <c r="Q27" s="776" t="str">
        <f t="shared" si="11"/>
        <v>项目停车位配比</v>
      </c>
      <c r="R27" s="777" t="s">
        <v>17</v>
      </c>
      <c r="S27" s="778">
        <f t="shared" si="12"/>
        <v>100</v>
      </c>
      <c r="T27" s="777" t="s">
        <v>17</v>
      </c>
      <c r="U27" s="778">
        <f t="shared" si="13"/>
        <v>100</v>
      </c>
      <c r="V27" s="777" t="s">
        <v>17</v>
      </c>
      <c r="W27" s="778">
        <f t="shared" si="14"/>
        <v>100</v>
      </c>
      <c r="X27" s="779"/>
      <c r="Y27" s="3162"/>
      <c r="Z27" s="780" t="str">
        <f t="shared" si="15"/>
        <v>项目停车位配比</v>
      </c>
      <c r="AA27" s="1814">
        <f t="shared" si="3"/>
        <v>1</v>
      </c>
      <c r="AB27" s="1814">
        <f t="shared" si="4"/>
        <v>1</v>
      </c>
      <c r="AC27" s="1814">
        <f t="shared" si="5"/>
        <v>1</v>
      </c>
    </row>
    <row r="28" spans="1:29" ht="15">
      <c r="A28" s="656"/>
      <c r="B28" s="654" t="s">
        <v>2700</v>
      </c>
      <c r="C28" s="460" t="s">
        <v>3309</v>
      </c>
      <c r="D28" s="435">
        <v>100</v>
      </c>
      <c r="E28" s="460" t="s">
        <v>3309</v>
      </c>
      <c r="F28" s="461">
        <f>SUMIF(83:83,E28,84:84)-SUMIF(83:83,C28,84:84)+100</f>
        <v>100</v>
      </c>
      <c r="G28" s="460" t="s">
        <v>3309</v>
      </c>
      <c r="H28" s="435">
        <f>SUMIF(83:83,G28,84:84)-SUMIF(83:83,C28,84:84)+100</f>
        <v>100</v>
      </c>
      <c r="I28" s="460" t="s">
        <v>3309</v>
      </c>
      <c r="J28" s="435">
        <f>SUMIF(83:83,I28,84:84)-SUMIF(83:83,C28,84:84)+100</f>
        <v>100</v>
      </c>
      <c r="K28" s="612"/>
      <c r="L28" s="1143"/>
      <c r="M28" s="1134"/>
      <c r="N28" s="1134"/>
      <c r="O28" s="1134"/>
      <c r="P28" s="3162"/>
      <c r="Q28" s="1813" t="str">
        <f t="shared" si="11"/>
        <v>公共部分装修</v>
      </c>
      <c r="R28" s="774" t="s">
        <v>17</v>
      </c>
      <c r="S28" s="775">
        <f t="shared" si="12"/>
        <v>100</v>
      </c>
      <c r="T28" s="774" t="s">
        <v>17</v>
      </c>
      <c r="U28" s="775">
        <f t="shared" si="13"/>
        <v>100</v>
      </c>
      <c r="V28" s="774" t="s">
        <v>17</v>
      </c>
      <c r="W28" s="775">
        <f t="shared" si="14"/>
        <v>100</v>
      </c>
      <c r="X28" s="1816"/>
      <c r="Y28" s="3162"/>
      <c r="Z28" s="1817" t="str">
        <f t="shared" si="15"/>
        <v>公共部分装修</v>
      </c>
      <c r="AA28" s="1814">
        <f t="shared" si="3"/>
        <v>1</v>
      </c>
      <c r="AB28" s="1814">
        <f t="shared" si="4"/>
        <v>1</v>
      </c>
      <c r="AC28" s="1814">
        <f t="shared" si="5"/>
        <v>1</v>
      </c>
    </row>
    <row r="29" spans="1:29" ht="15">
      <c r="A29" s="656"/>
      <c r="B29" s="654" t="s">
        <v>2701</v>
      </c>
      <c r="C29" s="469">
        <v>100</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43"/>
      <c r="M29" s="1134"/>
      <c r="N29" s="1134"/>
      <c r="O29" s="1134"/>
      <c r="P29" s="3162"/>
      <c r="Q29" s="1813" t="str">
        <f t="shared" si="11"/>
        <v>成新率</v>
      </c>
      <c r="R29" s="774" t="s">
        <v>17</v>
      </c>
      <c r="S29" s="775">
        <f t="shared" si="12"/>
        <v>100</v>
      </c>
      <c r="T29" s="774" t="s">
        <v>17</v>
      </c>
      <c r="U29" s="775">
        <f t="shared" si="13"/>
        <v>100</v>
      </c>
      <c r="V29" s="774" t="s">
        <v>17</v>
      </c>
      <c r="W29" s="775">
        <f t="shared" si="14"/>
        <v>100</v>
      </c>
      <c r="X29" s="1816"/>
      <c r="Y29" s="3162"/>
      <c r="Z29" s="1817" t="str">
        <f t="shared" si="15"/>
        <v>成新率</v>
      </c>
      <c r="AA29" s="1814">
        <f t="shared" si="3"/>
        <v>1</v>
      </c>
      <c r="AB29" s="1814">
        <f t="shared" si="4"/>
        <v>1</v>
      </c>
      <c r="AC29" s="1814">
        <f t="shared" si="5"/>
        <v>1</v>
      </c>
    </row>
    <row r="30" spans="1:29" ht="15">
      <c r="A30" s="656"/>
      <c r="B30" s="654" t="s">
        <v>2702</v>
      </c>
      <c r="C30" s="657" t="s">
        <v>3320</v>
      </c>
      <c r="D30" s="435">
        <v>100</v>
      </c>
      <c r="E30" s="657" t="s">
        <v>3320</v>
      </c>
      <c r="F30" s="461">
        <f>SUMIF(88:88,E30,89:89)-SUMIF(88:88,C30,89:89)+100</f>
        <v>100</v>
      </c>
      <c r="G30" s="657" t="s">
        <v>3320</v>
      </c>
      <c r="H30" s="435">
        <f>SUMIF(88:88,E30,89:89)-SUMIF(88:88,C30,89:89)+100</f>
        <v>100</v>
      </c>
      <c r="I30" s="657" t="s">
        <v>3320</v>
      </c>
      <c r="J30" s="435">
        <f>SUMIF(88:88,E30,89:89)-SUMIF(88:88,C30,89:89)+100</f>
        <v>100</v>
      </c>
      <c r="K30" s="612"/>
      <c r="L30" s="1143"/>
      <c r="M30" s="1134"/>
      <c r="N30" s="1134"/>
      <c r="O30" s="1134"/>
      <c r="P30" s="3162"/>
      <c r="Q30" s="1813" t="str">
        <f t="shared" si="11"/>
        <v>物业等级</v>
      </c>
      <c r="R30" s="774" t="s">
        <v>17</v>
      </c>
      <c r="S30" s="775">
        <f t="shared" si="12"/>
        <v>100</v>
      </c>
      <c r="T30" s="774" t="s">
        <v>17</v>
      </c>
      <c r="U30" s="775">
        <f t="shared" si="13"/>
        <v>100</v>
      </c>
      <c r="V30" s="774" t="s">
        <v>17</v>
      </c>
      <c r="W30" s="775">
        <f t="shared" si="14"/>
        <v>100</v>
      </c>
      <c r="X30" s="1816"/>
      <c r="Y30" s="3162"/>
      <c r="Z30" s="1817" t="str">
        <f t="shared" si="15"/>
        <v>物业等级</v>
      </c>
      <c r="AA30" s="1814">
        <f t="shared" si="3"/>
        <v>1</v>
      </c>
      <c r="AB30" s="1814">
        <f t="shared" si="4"/>
        <v>1</v>
      </c>
      <c r="AC30" s="1814">
        <f t="shared" si="5"/>
        <v>1</v>
      </c>
    </row>
    <row r="31" spans="1:29" s="117" customFormat="1" ht="15">
      <c r="A31" s="658"/>
      <c r="B31" s="654" t="s">
        <v>2703</v>
      </c>
      <c r="C31" s="469">
        <v>40</v>
      </c>
      <c r="D31" s="136">
        <v>100</v>
      </c>
      <c r="E31" s="469">
        <v>30</v>
      </c>
      <c r="F31" s="461">
        <f>LOOKUP(E31,91:91,92:92)-LOOKUP(C31,91:91,92:92)+100</f>
        <v>99</v>
      </c>
      <c r="G31" s="469">
        <v>37</v>
      </c>
      <c r="H31" s="435">
        <f>LOOKUP(G31,91:91,92:92)-LOOKUP(C31,91:91,92:92)+100</f>
        <v>99</v>
      </c>
      <c r="I31" s="469">
        <v>33</v>
      </c>
      <c r="J31" s="435">
        <f>LOOKUP(I31,91:91,92:92)-LOOKUP(C31,91:91,92:92)+100</f>
        <v>99</v>
      </c>
      <c r="K31" s="612"/>
      <c r="L31" s="1135"/>
      <c r="M31" s="1136"/>
      <c r="N31" s="1136"/>
      <c r="O31" s="1136"/>
      <c r="P31" s="3162"/>
      <c r="Q31" s="1798" t="str">
        <f t="shared" si="11"/>
        <v>停车位面积</v>
      </c>
      <c r="R31" s="770" t="s">
        <v>17</v>
      </c>
      <c r="S31" s="771">
        <f t="shared" si="12"/>
        <v>99</v>
      </c>
      <c r="T31" s="770" t="s">
        <v>17</v>
      </c>
      <c r="U31" s="771">
        <f t="shared" si="13"/>
        <v>99</v>
      </c>
      <c r="V31" s="770" t="s">
        <v>17</v>
      </c>
      <c r="W31" s="771">
        <f t="shared" si="14"/>
        <v>99</v>
      </c>
      <c r="X31" s="772"/>
      <c r="Y31" s="3162"/>
      <c r="Z31" s="55" t="str">
        <f t="shared" si="15"/>
        <v>停车位面积</v>
      </c>
      <c r="AA31" s="773">
        <f t="shared" si="3"/>
        <v>1.0101010101010102</v>
      </c>
      <c r="AB31" s="773">
        <f t="shared" si="4"/>
        <v>1.0101010101010102</v>
      </c>
      <c r="AC31" s="773">
        <f t="shared" si="5"/>
        <v>1.0101010101010102</v>
      </c>
    </row>
    <row r="32" spans="1:29" ht="15">
      <c r="A32" s="656"/>
      <c r="B32" s="654" t="s">
        <v>2704</v>
      </c>
      <c r="C32" s="460" t="s">
        <v>3321</v>
      </c>
      <c r="D32" s="435">
        <v>100</v>
      </c>
      <c r="E32" s="460" t="s">
        <v>3321</v>
      </c>
      <c r="F32" s="461">
        <f>SUMIF(93:93,E32,94:94)-SUMIF(93:93,C32,94:94)+100</f>
        <v>100</v>
      </c>
      <c r="G32" s="460" t="s">
        <v>3321</v>
      </c>
      <c r="H32" s="435">
        <f>SUMIF(93:93,G32,94:94)-SUMIF(93:93,C32,94:94)+100</f>
        <v>100</v>
      </c>
      <c r="I32" s="460" t="s">
        <v>3321</v>
      </c>
      <c r="J32" s="435">
        <f>SUMIF(93:93,I32,94:94)-SUMIF(93:93,C32,94:94)+100</f>
        <v>100</v>
      </c>
      <c r="K32" s="612"/>
      <c r="L32" s="1143"/>
      <c r="M32" s="1134"/>
      <c r="N32" s="1134"/>
      <c r="O32" s="1134"/>
      <c r="P32" s="3162" t="s">
        <v>2551</v>
      </c>
      <c r="Q32" s="1813" t="str">
        <f t="shared" si="11"/>
        <v>车位类型</v>
      </c>
      <c r="R32" s="774" t="s">
        <v>17</v>
      </c>
      <c r="S32" s="775">
        <f t="shared" si="12"/>
        <v>100</v>
      </c>
      <c r="T32" s="774" t="s">
        <v>17</v>
      </c>
      <c r="U32" s="775">
        <f t="shared" si="13"/>
        <v>100</v>
      </c>
      <c r="V32" s="774" t="s">
        <v>17</v>
      </c>
      <c r="W32" s="775">
        <f t="shared" si="14"/>
        <v>100</v>
      </c>
      <c r="X32" s="1816"/>
      <c r="Y32" s="3162" t="s">
        <v>2551</v>
      </c>
      <c r="Z32" s="1817" t="str">
        <f t="shared" si="15"/>
        <v>车位类型</v>
      </c>
      <c r="AA32" s="1814">
        <f t="shared" si="3"/>
        <v>1</v>
      </c>
      <c r="AB32" s="1814">
        <f t="shared" si="4"/>
        <v>1</v>
      </c>
      <c r="AC32" s="1814">
        <f t="shared" si="5"/>
        <v>1</v>
      </c>
    </row>
    <row r="33" spans="1:29" ht="15.75" thickBot="1">
      <c r="A33" s="656"/>
      <c r="B33" s="654" t="s">
        <v>2705</v>
      </c>
      <c r="C33" s="460" t="s">
        <v>3240</v>
      </c>
      <c r="D33" s="435">
        <v>100</v>
      </c>
      <c r="E33" s="460" t="s">
        <v>3240</v>
      </c>
      <c r="F33" s="461">
        <f>SUMIF(95:95,E33,96:96)-SUMIF(95:95,C33,96:96)+100</f>
        <v>100</v>
      </c>
      <c r="G33" s="460" t="s">
        <v>3240</v>
      </c>
      <c r="H33" s="435">
        <f>SUMIF(95:95,G33,96:96)-SUMIF(95:95,C33,96:96)+100</f>
        <v>100</v>
      </c>
      <c r="I33" s="460" t="s">
        <v>3240</v>
      </c>
      <c r="J33" s="435">
        <f>SUMIF(95:95,I33,96:96)-SUMIF(95:95,C33,96:96)+100</f>
        <v>100</v>
      </c>
      <c r="K33" s="612"/>
      <c r="L33" s="1143"/>
      <c r="M33" s="1134"/>
      <c r="N33" s="1134"/>
      <c r="O33" s="1134"/>
      <c r="P33" s="3162"/>
      <c r="Q33" s="1813" t="str">
        <f t="shared" si="11"/>
        <v>是否直接入户</v>
      </c>
      <c r="R33" s="774" t="s">
        <v>17</v>
      </c>
      <c r="S33" s="775">
        <f t="shared" si="12"/>
        <v>100</v>
      </c>
      <c r="T33" s="774" t="s">
        <v>17</v>
      </c>
      <c r="U33" s="775">
        <f t="shared" si="13"/>
        <v>100</v>
      </c>
      <c r="V33" s="774" t="s">
        <v>17</v>
      </c>
      <c r="W33" s="775">
        <f t="shared" si="14"/>
        <v>100</v>
      </c>
      <c r="X33" s="1816"/>
      <c r="Y33" s="3162"/>
      <c r="Z33" s="1817" t="str">
        <f t="shared" si="15"/>
        <v>是否直接入户</v>
      </c>
      <c r="AA33" s="1814">
        <f t="shared" si="3"/>
        <v>1</v>
      </c>
      <c r="AB33" s="1814">
        <f t="shared" si="4"/>
        <v>1</v>
      </c>
      <c r="AC33" s="1814">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2"/>
      <c r="Q34" s="1813">
        <f t="shared" si="11"/>
        <v>111</v>
      </c>
      <c r="R34" s="774" t="s">
        <v>17</v>
      </c>
      <c r="S34" s="775">
        <f t="shared" si="12"/>
        <v>100</v>
      </c>
      <c r="T34" s="774" t="s">
        <v>17</v>
      </c>
      <c r="U34" s="775">
        <f t="shared" si="13"/>
        <v>100</v>
      </c>
      <c r="V34" s="774" t="s">
        <v>17</v>
      </c>
      <c r="W34" s="775">
        <f t="shared" si="14"/>
        <v>100</v>
      </c>
      <c r="X34" s="1816"/>
      <c r="Y34" s="3162"/>
      <c r="Z34" s="1817">
        <f t="shared" si="15"/>
        <v>111</v>
      </c>
      <c r="AA34" s="1814">
        <f t="shared" si="3"/>
        <v>1</v>
      </c>
      <c r="AB34" s="1814">
        <f t="shared" si="4"/>
        <v>1</v>
      </c>
      <c r="AC34" s="1814">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2"/>
      <c r="Q35" s="776">
        <f t="shared" si="11"/>
        <v>111</v>
      </c>
      <c r="R35" s="777" t="s">
        <v>17</v>
      </c>
      <c r="S35" s="778">
        <f t="shared" si="12"/>
        <v>100</v>
      </c>
      <c r="T35" s="777" t="s">
        <v>17</v>
      </c>
      <c r="U35" s="778">
        <f t="shared" si="13"/>
        <v>100</v>
      </c>
      <c r="V35" s="777" t="s">
        <v>17</v>
      </c>
      <c r="W35" s="778">
        <f t="shared" si="14"/>
        <v>100</v>
      </c>
      <c r="X35" s="779"/>
      <c r="Y35" s="3162"/>
      <c r="Z35" s="780">
        <f t="shared" si="15"/>
        <v>111</v>
      </c>
      <c r="AA35" s="1814">
        <f t="shared" si="3"/>
        <v>1</v>
      </c>
      <c r="AB35" s="1814">
        <f t="shared" si="4"/>
        <v>1</v>
      </c>
      <c r="AC35" s="1814">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2"/>
      <c r="Q36" s="1813">
        <f t="shared" si="11"/>
        <v>111</v>
      </c>
      <c r="R36" s="774" t="s">
        <v>17</v>
      </c>
      <c r="S36" s="775">
        <f t="shared" si="12"/>
        <v>100</v>
      </c>
      <c r="T36" s="774" t="s">
        <v>17</v>
      </c>
      <c r="U36" s="775">
        <f t="shared" si="13"/>
        <v>100</v>
      </c>
      <c r="V36" s="774" t="s">
        <v>17</v>
      </c>
      <c r="W36" s="775">
        <f t="shared" si="14"/>
        <v>100</v>
      </c>
      <c r="X36" s="1816"/>
      <c r="Y36" s="3162"/>
      <c r="Z36" s="1817">
        <f t="shared" si="15"/>
        <v>111</v>
      </c>
      <c r="AA36" s="1814">
        <f t="shared" si="3"/>
        <v>1</v>
      </c>
      <c r="AB36" s="1814">
        <f t="shared" si="4"/>
        <v>1</v>
      </c>
      <c r="AC36" s="1814">
        <f t="shared" si="5"/>
        <v>1</v>
      </c>
    </row>
    <row r="37" spans="1:29" ht="15">
      <c r="A37" s="479" t="s">
        <v>2706</v>
      </c>
      <c r="B37" s="2695" t="s">
        <v>3324</v>
      </c>
      <c r="C37" s="1410" t="s">
        <v>1</v>
      </c>
      <c r="D37" s="1411"/>
      <c r="E37" s="1412">
        <v>5945</v>
      </c>
      <c r="F37" s="1413"/>
      <c r="G37" s="1414">
        <v>5933</v>
      </c>
      <c r="H37" s="1415"/>
      <c r="I37" s="1412">
        <v>5784</v>
      </c>
      <c r="J37" s="1415"/>
      <c r="K37" s="619"/>
      <c r="L37" s="1146"/>
      <c r="M37" s="1147"/>
      <c r="N37" s="1134"/>
      <c r="O37" s="1147"/>
      <c r="P37" s="3157" t="str">
        <f>A37</f>
        <v>成交单价</v>
      </c>
      <c r="Q37" s="3157"/>
      <c r="R37" s="3225">
        <f>E37</f>
        <v>5945</v>
      </c>
      <c r="S37" s="3225"/>
      <c r="T37" s="3225">
        <f>G37</f>
        <v>5933</v>
      </c>
      <c r="U37" s="3225"/>
      <c r="V37" s="3225">
        <f>I37</f>
        <v>5784</v>
      </c>
      <c r="W37" s="3225"/>
      <c r="X37" s="759"/>
      <c r="Y37" s="781"/>
      <c r="Z37" s="759"/>
      <c r="AA37" s="759"/>
      <c r="AB37" s="759"/>
      <c r="AC37" s="759"/>
    </row>
    <row r="38" spans="1:29" ht="15.75" thickBot="1">
      <c r="A38" s="486" t="s">
        <v>2707</v>
      </c>
      <c r="B38" s="487" t="str">
        <f>B37</f>
        <v>元/平方米</v>
      </c>
      <c r="C38" s="1416">
        <f>R39</f>
        <v>5929</v>
      </c>
      <c r="D38" s="1417"/>
      <c r="E38" s="1418">
        <f>R38</f>
        <v>5947</v>
      </c>
      <c r="F38" s="1418"/>
      <c r="G38" s="1416">
        <f>T38</f>
        <v>5935</v>
      </c>
      <c r="H38" s="1417"/>
      <c r="I38" s="1418">
        <f>V38</f>
        <v>5904</v>
      </c>
      <c r="J38" s="1417"/>
      <c r="K38" s="620"/>
      <c r="L38" s="1146"/>
      <c r="M38" s="1147"/>
      <c r="N38" s="1147"/>
      <c r="O38" s="1147"/>
      <c r="P38" s="3157" t="str">
        <f>A38</f>
        <v>比较价值（元/平方米）</v>
      </c>
      <c r="Q38" s="3157"/>
      <c r="R38" s="3225">
        <f>IF(F1="售价",ROUND(PRODUCT(R37,AA7:AA36),0),ROUND(PRODUCT(R37,AA7:AA36),1))</f>
        <v>5947</v>
      </c>
      <c r="S38" s="3225"/>
      <c r="T38" s="3225">
        <f>IF(F1="售价",ROUND(PRODUCT(T37,AB7:AB36),0),ROUND(PRODUCT(T37,AB7:AB36),1))</f>
        <v>5935</v>
      </c>
      <c r="U38" s="3225"/>
      <c r="V38" s="3225">
        <f>IF(F1="售价",ROUND(PRODUCT(V37,AC7:AC36),0),ROUND(PRODUCT(V37,AC7:AC36),1))</f>
        <v>5904</v>
      </c>
      <c r="W38" s="3225"/>
      <c r="X38" s="759"/>
      <c r="Y38" s="759"/>
      <c r="Z38" s="759"/>
      <c r="AA38" s="759"/>
      <c r="AB38" s="759"/>
      <c r="AC38" s="759"/>
    </row>
    <row r="39" spans="1:29" ht="15.75" thickBot="1">
      <c r="A39" s="492" t="s">
        <v>2708</v>
      </c>
      <c r="B39" s="493"/>
      <c r="C39" s="1420">
        <f>R39</f>
        <v>5929</v>
      </c>
      <c r="D39" s="1420"/>
      <c r="E39" s="1420"/>
      <c r="F39" s="1420"/>
      <c r="G39" s="1420"/>
      <c r="H39" s="1420"/>
      <c r="I39" s="1420"/>
      <c r="J39" s="1420"/>
      <c r="K39" s="621"/>
      <c r="L39" s="1146"/>
      <c r="M39" s="1147"/>
      <c r="N39" s="1147"/>
      <c r="O39" s="1147"/>
      <c r="P39" s="3151" t="str">
        <f>A39</f>
        <v>估价对象XX用房的比较价值（楼面单价，元/平方米）</v>
      </c>
      <c r="Q39" s="3152"/>
      <c r="R39" s="3224">
        <f>IF(F1="售价",ROUND(AVERAGE(R38:V38),0),ROUND(AVERAGE(R38:V38),1))</f>
        <v>5929</v>
      </c>
      <c r="S39" s="3224"/>
      <c r="T39" s="3224"/>
      <c r="U39" s="3224"/>
      <c r="V39" s="3224"/>
      <c r="W39" s="322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2709</v>
      </c>
      <c r="D42" s="498"/>
      <c r="E42" s="499">
        <f>IF(E37&lt;E38,E38/E37-1,E37/E38-1)</f>
        <v>3.3641715727505961E-4</v>
      </c>
      <c r="F42" s="500" t="str">
        <f>IF(OR(E42&gt;=0.3,E42&lt;=-0.3),"超过30%","")</f>
        <v/>
      </c>
      <c r="G42" s="499">
        <f>IF(G37&lt;G38,G38/G37-1,G37/G38-1)</f>
        <v>3.3709758975231097E-4</v>
      </c>
      <c r="H42" s="500" t="str">
        <f>IF(OR(G42&gt;=0.3,G42&lt;=-0.3),"超过30%","")</f>
        <v/>
      </c>
      <c r="I42" s="499">
        <f>IF(I37&lt;I38,I38/I37-1,I37/I38-1)</f>
        <v>2.0746887966804906E-2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2710</v>
      </c>
      <c r="D43" s="501"/>
      <c r="E43" s="499">
        <f>IF(E38&lt;G38,G38/E38-1,E38/G38-1)</f>
        <v>2.0219039595619215E-3</v>
      </c>
      <c r="F43" s="500" t="str">
        <f>IF(OR(E43&gt;=0.2,E43&lt;=-0.2),"超过20%","")</f>
        <v/>
      </c>
      <c r="G43" s="499">
        <f>IF(G38&lt;I38,I38/G38-1,G38/I38-1)</f>
        <v>5.2506775067751033E-3</v>
      </c>
      <c r="H43" s="500" t="str">
        <f>IF(OR(G43&gt;=0.2,G43&lt;=-0.2),"超过20%","")</f>
        <v/>
      </c>
      <c r="I43" s="499">
        <f>IF(I38&lt;E38,E38/I38-1,I38/E38-1)</f>
        <v>7.2831978319782831E-3</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2711</v>
      </c>
      <c r="D44" s="501"/>
      <c r="E44" s="499">
        <f>IF(E37&lt;G37,G37/E37-1,E37/G37-1)</f>
        <v>2.0225855385134217E-3</v>
      </c>
      <c r="F44" s="500" t="str">
        <f>IF(OR(E44&gt;=0.3,E44&lt;=-0.3),"超过30%","")</f>
        <v/>
      </c>
      <c r="G44" s="499">
        <f>IF(G37&lt;I37,I37/G37-1,G37/I37-1)</f>
        <v>2.5760719225449424E-2</v>
      </c>
      <c r="H44" s="500" t="str">
        <f>IF(OR(G44&gt;=0.3,G44&lt;=-0.3),"超过30%","")</f>
        <v/>
      </c>
      <c r="I44" s="499">
        <f>IF(I37&lt;E37,E37/I37-1,I37/E37-1)</f>
        <v>2.7835408022129915E-2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2713</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f>'比较法-住宅'!D59</f>
        <v>99.5</v>
      </c>
      <c r="E49" s="512">
        <f>'比较法-住宅'!E59</f>
        <v>99.5</v>
      </c>
      <c r="F49" s="512">
        <f>'比较法-住宅'!F59</f>
        <v>99.5</v>
      </c>
      <c r="G49" s="512">
        <f>'比较法-住宅'!G59</f>
        <v>99</v>
      </c>
      <c r="H49" s="512">
        <f>'比较法-住宅'!H59</f>
        <v>99</v>
      </c>
      <c r="I49" s="512">
        <f>'比较法-住宅'!I59</f>
        <v>99</v>
      </c>
      <c r="J49" s="512">
        <f>'比较法-住宅'!J59</f>
        <v>0</v>
      </c>
      <c r="K49" s="512">
        <f>'比较法-住宅'!K59</f>
        <v>0</v>
      </c>
      <c r="L49" s="512">
        <f>'比较法-住宅'!L59</f>
        <v>0</v>
      </c>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2536</v>
      </c>
      <c r="B51" s="510"/>
      <c r="C51" s="522" t="s">
        <v>2638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2574</v>
      </c>
      <c r="B53" s="528" t="s">
        <v>2540</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2589</v>
      </c>
      <c r="C65" s="578" t="s">
        <v>2583</v>
      </c>
      <c r="D65" s="578" t="s">
        <v>2584</v>
      </c>
      <c r="E65" s="578" t="s">
        <v>2585</v>
      </c>
      <c r="F65" s="578" t="s">
        <v>2586</v>
      </c>
      <c r="G65" s="578" t="s">
        <v>2587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2675</v>
      </c>
      <c r="C67" s="660" t="s">
        <v>2661</v>
      </c>
      <c r="D67" s="660" t="s">
        <v>2662</v>
      </c>
      <c r="E67" s="660" t="s">
        <v>2663</v>
      </c>
      <c r="F67" s="660" t="s">
        <v>2664</v>
      </c>
      <c r="G67" s="660" t="s">
        <v>2665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99</v>
      </c>
      <c r="E68" s="544">
        <f>D68-$K18</f>
        <v>98</v>
      </c>
      <c r="F68" s="544">
        <f>E68-$K18</f>
        <v>97</v>
      </c>
      <c r="G68" s="544">
        <f>F68-$K18</f>
        <v>96</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2595</v>
      </c>
      <c r="C69" s="578" t="s">
        <v>2583</v>
      </c>
      <c r="D69" s="578" t="s">
        <v>2584</v>
      </c>
      <c r="E69" s="578" t="s">
        <v>2585</v>
      </c>
      <c r="F69" s="578" t="s">
        <v>2586</v>
      </c>
      <c r="G69" s="578" t="s">
        <v>2587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2549</v>
      </c>
      <c r="B79" s="528" t="s">
        <v>2715</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2718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2719</v>
      </c>
      <c r="C90" s="578" t="str">
        <f>C91&amp;"(含)"&amp;"-"&amp;D91</f>
        <v>20(含)-30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20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f>C92+1</f>
        <v>101</v>
      </c>
      <c r="E92" s="536">
        <f>D92+1</f>
        <v>102</v>
      </c>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2693</v>
      </c>
      <c r="B1" s="1622"/>
      <c r="C1" s="1623" t="s">
        <v>2516</v>
      </c>
      <c r="D1" s="1624"/>
      <c r="E1" s="1633"/>
      <c r="F1" s="2587"/>
      <c r="G1" s="1634" t="s">
        <v>2629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89"/>
      <c r="D2" s="1127" t="e">
        <f ca="1">SUMIF(INDIRECT("'"&amp;F2&amp;"'"&amp;"!A:A"),"承租人权益价值",INDIRECT("'"&amp;F2&amp;"'"&amp;"!c:c"))</f>
        <v>#REF!</v>
      </c>
      <c r="E2" s="2590" t="s">
        <v>2317</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2631</v>
      </c>
      <c r="B4" s="402"/>
      <c r="C4" s="3154" t="s">
        <v>2632</v>
      </c>
      <c r="D4" s="3167"/>
      <c r="E4" s="3168" t="s">
        <v>2633</v>
      </c>
      <c r="F4" s="3169"/>
      <c r="G4" s="3154" t="s">
        <v>2634</v>
      </c>
      <c r="H4" s="3167"/>
      <c r="I4" s="3154" t="s">
        <v>2635</v>
      </c>
      <c r="J4" s="3167"/>
      <c r="K4" s="610" t="s">
        <v>2636</v>
      </c>
      <c r="L4" s="1133"/>
      <c r="M4" s="1134"/>
      <c r="N4" s="1134"/>
      <c r="O4" s="1134"/>
      <c r="P4" s="3170" t="s">
        <v>2637</v>
      </c>
      <c r="Q4" s="3171"/>
      <c r="R4" s="3176" t="s">
        <v>2633</v>
      </c>
      <c r="S4" s="3177"/>
      <c r="T4" s="3176" t="s">
        <v>2634</v>
      </c>
      <c r="U4" s="3177"/>
      <c r="V4" s="3163" t="s">
        <v>2635</v>
      </c>
      <c r="W4" s="3163"/>
      <c r="X4" s="1816"/>
      <c r="Y4" s="3176" t="s">
        <v>2637</v>
      </c>
      <c r="Z4" s="3177"/>
      <c r="AA4" s="3164" t="s">
        <v>2633</v>
      </c>
      <c r="AB4" s="3165" t="s">
        <v>2634</v>
      </c>
      <c r="AC4" s="3164" t="s">
        <v>2635</v>
      </c>
    </row>
    <row r="5" spans="1:29" ht="15">
      <c r="A5" s="404"/>
      <c r="B5" s="405"/>
      <c r="C5" s="3184" t="s">
        <v>2528</v>
      </c>
      <c r="D5" s="3185"/>
      <c r="E5" s="3192" t="s">
        <v>2529</v>
      </c>
      <c r="F5" s="3193"/>
      <c r="G5" s="3184" t="s">
        <v>2530</v>
      </c>
      <c r="H5" s="3185"/>
      <c r="I5" s="3184" t="s">
        <v>2531</v>
      </c>
      <c r="J5" s="3185"/>
      <c r="K5" s="610"/>
      <c r="L5" s="1133"/>
      <c r="M5" s="1134"/>
      <c r="N5" s="1134"/>
      <c r="O5" s="1134"/>
      <c r="P5" s="3172"/>
      <c r="Q5" s="3173"/>
      <c r="R5" s="3178"/>
      <c r="S5" s="3179"/>
      <c r="T5" s="3178"/>
      <c r="U5" s="3179"/>
      <c r="V5" s="3163"/>
      <c r="W5" s="3163"/>
      <c r="X5" s="1816"/>
      <c r="Y5" s="3178"/>
      <c r="Z5" s="3179"/>
      <c r="AA5" s="3165"/>
      <c r="AB5" s="3165"/>
      <c r="AC5" s="3165"/>
    </row>
    <row r="6" spans="1:29" ht="15.75" thickBot="1">
      <c r="A6" s="406"/>
      <c r="B6" s="407"/>
      <c r="C6" s="3182" t="s">
        <v>2532</v>
      </c>
      <c r="D6" s="3183"/>
      <c r="E6" s="3190" t="s">
        <v>2532</v>
      </c>
      <c r="F6" s="3191"/>
      <c r="G6" s="3182" t="s">
        <v>2532</v>
      </c>
      <c r="H6" s="3183"/>
      <c r="I6" s="3182" t="s">
        <v>2532</v>
      </c>
      <c r="J6" s="3183"/>
      <c r="K6" s="610" t="s">
        <v>2533</v>
      </c>
      <c r="L6" s="1133"/>
      <c r="M6" s="1134"/>
      <c r="N6" s="1134"/>
      <c r="O6" s="1134"/>
      <c r="P6" s="3174"/>
      <c r="Q6" s="3175"/>
      <c r="R6" s="3178"/>
      <c r="S6" s="3179"/>
      <c r="T6" s="3180"/>
      <c r="U6" s="3181"/>
      <c r="V6" s="3163"/>
      <c r="W6" s="3163"/>
      <c r="X6" s="1816"/>
      <c r="Y6" s="3180"/>
      <c r="Z6" s="3181"/>
      <c r="AA6" s="3166"/>
      <c r="AB6" s="3166"/>
      <c r="AC6" s="3166"/>
    </row>
    <row r="7" spans="1:29" s="117" customFormat="1" ht="15.75" thickBot="1">
      <c r="A7" s="408" t="s">
        <v>2534</v>
      </c>
      <c r="B7" s="409"/>
      <c r="C7" s="410">
        <f>'数据-取费表'!B2</f>
        <v>43381</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86" t="s">
        <v>2535</v>
      </c>
      <c r="Q7" s="3188"/>
      <c r="R7" s="770" t="s">
        <v>17</v>
      </c>
      <c r="S7" s="771">
        <f t="shared" ref="S7:S14" si="0">F7</f>
        <v>0</v>
      </c>
      <c r="T7" s="770" t="s">
        <v>17</v>
      </c>
      <c r="U7" s="771">
        <f t="shared" ref="U7:U14" si="1">H7</f>
        <v>0</v>
      </c>
      <c r="V7" s="770" t="s">
        <v>17</v>
      </c>
      <c r="W7" s="771">
        <f t="shared" ref="W7:W14" si="2">J7</f>
        <v>0</v>
      </c>
      <c r="X7" s="772"/>
      <c r="Y7" s="3186" t="s">
        <v>2535</v>
      </c>
      <c r="Z7" s="3187"/>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6" t="s">
        <v>2538</v>
      </c>
      <c r="Q8" s="3187"/>
      <c r="R8" s="770" t="s">
        <v>17</v>
      </c>
      <c r="S8" s="771">
        <f t="shared" si="0"/>
        <v>0</v>
      </c>
      <c r="T8" s="770" t="s">
        <v>17</v>
      </c>
      <c r="U8" s="771">
        <f t="shared" si="1"/>
        <v>0</v>
      </c>
      <c r="V8" s="770" t="s">
        <v>17</v>
      </c>
      <c r="W8" s="771">
        <f t="shared" si="2"/>
        <v>0</v>
      </c>
      <c r="X8" s="772"/>
      <c r="Y8" s="3186" t="s">
        <v>2538</v>
      </c>
      <c r="Z8" s="3187"/>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7" t="s">
        <v>2541</v>
      </c>
      <c r="Q9" s="1798" t="str">
        <f t="shared" ref="Q9:Q14" si="6">B9</f>
        <v>用途</v>
      </c>
      <c r="R9" s="770" t="s">
        <v>17</v>
      </c>
      <c r="S9" s="771">
        <f t="shared" si="0"/>
        <v>100</v>
      </c>
      <c r="T9" s="770" t="s">
        <v>17</v>
      </c>
      <c r="U9" s="771">
        <f t="shared" si="1"/>
        <v>100</v>
      </c>
      <c r="V9" s="770" t="s">
        <v>17</v>
      </c>
      <c r="W9" s="771">
        <f t="shared" si="2"/>
        <v>100</v>
      </c>
      <c r="X9" s="772"/>
      <c r="Y9" s="3008"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7"/>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
      <c r="A14" s="440" t="s">
        <v>2545</v>
      </c>
      <c r="B14" s="69" t="s">
        <v>2695</v>
      </c>
      <c r="C14" s="2693"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9" t="s">
        <v>2546</v>
      </c>
      <c r="Q14" s="1813" t="str">
        <f t="shared" si="6"/>
        <v>交通便捷度</v>
      </c>
      <c r="R14" s="774" t="s">
        <v>17</v>
      </c>
      <c r="S14" s="775">
        <f t="shared" si="0"/>
        <v>100</v>
      </c>
      <c r="T14" s="774" t="s">
        <v>17</v>
      </c>
      <c r="U14" s="775">
        <f t="shared" si="1"/>
        <v>100</v>
      </c>
      <c r="V14" s="774" t="s">
        <v>17</v>
      </c>
      <c r="W14" s="775">
        <f t="shared" si="2"/>
        <v>100</v>
      </c>
      <c r="X14" s="1816"/>
      <c r="Y14" s="3159" t="s">
        <v>2546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0"/>
      <c r="Q15" s="1813"/>
      <c r="R15" s="774"/>
      <c r="S15" s="775"/>
      <c r="T15" s="774"/>
      <c r="U15" s="775"/>
      <c r="V15" s="774"/>
      <c r="W15" s="775"/>
      <c r="X15" s="1816"/>
      <c r="Y15" s="3160"/>
      <c r="Z15" s="1817"/>
      <c r="AA15" s="1814">
        <v>1</v>
      </c>
      <c r="AB15" s="1814">
        <v>1</v>
      </c>
      <c r="AC15" s="1814">
        <v>1</v>
      </c>
    </row>
    <row r="16" spans="1:29" ht="15">
      <c r="A16" s="428"/>
      <c r="B16" s="451" t="s">
        <v>2674</v>
      </c>
      <c r="C16" s="2609"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60"/>
      <c r="Q17" s="1813"/>
      <c r="R17" s="774"/>
      <c r="S17" s="775"/>
      <c r="T17" s="774"/>
      <c r="U17" s="775"/>
      <c r="V17" s="774"/>
      <c r="W17" s="775"/>
      <c r="X17" s="1816"/>
      <c r="Y17" s="3160"/>
      <c r="Z17" s="1817"/>
      <c r="AA17" s="1814">
        <v>1</v>
      </c>
      <c r="AB17" s="1814">
        <v>1</v>
      </c>
      <c r="AC17" s="1814">
        <v>1</v>
      </c>
    </row>
    <row r="18" spans="1:29" ht="15">
      <c r="A18" s="428"/>
      <c r="B18" s="1387" t="s">
        <v>2675</v>
      </c>
      <c r="C18" s="260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60"/>
      <c r="Q19" s="1813"/>
      <c r="R19" s="774"/>
      <c r="S19" s="775"/>
      <c r="T19" s="774"/>
      <c r="U19" s="775"/>
      <c r="V19" s="774"/>
      <c r="W19" s="775"/>
      <c r="X19" s="1816"/>
      <c r="Y19" s="3160"/>
      <c r="Z19" s="1817"/>
      <c r="AA19" s="1814">
        <v>1</v>
      </c>
      <c r="AB19" s="1814">
        <v>1</v>
      </c>
      <c r="AC19" s="1814">
        <v>1</v>
      </c>
    </row>
    <row r="20" spans="1:29" ht="15">
      <c r="A20" s="428"/>
      <c r="B20" s="451" t="s">
        <v>2696</v>
      </c>
      <c r="C20" s="2609"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0"/>
      <c r="Q21" s="1813"/>
      <c r="R21" s="774"/>
      <c r="S21" s="775"/>
      <c r="T21" s="774"/>
      <c r="U21" s="775"/>
      <c r="V21" s="774"/>
      <c r="W21" s="775"/>
      <c r="X21" s="1816"/>
      <c r="Y21" s="3160"/>
      <c r="Z21" s="1817"/>
      <c r="AA21" s="1814">
        <v>1</v>
      </c>
      <c r="AB21" s="1814">
        <v>1</v>
      </c>
      <c r="AC21" s="1814">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0"/>
      <c r="Q24" s="1813">
        <f t="shared" ref="Q24:Q34"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15">
      <c r="A26" s="466" t="s">
        <v>2549</v>
      </c>
      <c r="B26" s="71" t="s">
        <v>2700</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61" t="s">
        <v>2551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2" t="s">
        <v>2551</v>
      </c>
      <c r="Z26" s="1817" t="str">
        <f t="shared" ref="Z26:Z34" si="15">Q26</f>
        <v>公共部分装修</v>
      </c>
      <c r="AA26" s="1814">
        <f t="shared" si="3"/>
        <v>1</v>
      </c>
      <c r="AB26" s="1814">
        <f t="shared" si="4"/>
        <v>1</v>
      </c>
      <c r="AC26" s="1814">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2"/>
      <c r="Q27" s="776" t="str">
        <f t="shared" si="11"/>
        <v>成新率</v>
      </c>
      <c r="R27" s="777" t="s">
        <v>17</v>
      </c>
      <c r="S27" s="778" t="e">
        <f t="shared" si="12"/>
        <v>#N/A</v>
      </c>
      <c r="T27" s="777" t="s">
        <v>17</v>
      </c>
      <c r="U27" s="778" t="e">
        <f t="shared" si="13"/>
        <v>#N/A</v>
      </c>
      <c r="V27" s="777" t="s">
        <v>17</v>
      </c>
      <c r="W27" s="778" t="e">
        <f t="shared" si="14"/>
        <v>#N/A</v>
      </c>
      <c r="X27" s="779"/>
      <c r="Y27" s="3162"/>
      <c r="Z27" s="780" t="str">
        <f t="shared" si="15"/>
        <v>成新率</v>
      </c>
      <c r="AA27" s="1814" t="e">
        <f t="shared" si="3"/>
        <v>#N/A</v>
      </c>
      <c r="AB27" s="1814" t="e">
        <f t="shared" si="4"/>
        <v>#N/A</v>
      </c>
      <c r="AC27" s="1814"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2"/>
      <c r="Q28" s="1813" t="str">
        <f t="shared" si="11"/>
        <v>物业等级</v>
      </c>
      <c r="R28" s="774" t="s">
        <v>17</v>
      </c>
      <c r="S28" s="775">
        <f t="shared" si="12"/>
        <v>100</v>
      </c>
      <c r="T28" s="774" t="s">
        <v>17</v>
      </c>
      <c r="U28" s="775">
        <f t="shared" si="13"/>
        <v>100</v>
      </c>
      <c r="V28" s="774" t="s">
        <v>17</v>
      </c>
      <c r="W28" s="775">
        <f t="shared" si="14"/>
        <v>100</v>
      </c>
      <c r="X28" s="1816"/>
      <c r="Y28" s="3162"/>
      <c r="Z28" s="1817" t="str">
        <f t="shared" si="15"/>
        <v>物业等级</v>
      </c>
      <c r="AA28" s="1814">
        <f t="shared" si="3"/>
        <v>1</v>
      </c>
      <c r="AB28" s="1814">
        <f t="shared" si="4"/>
        <v>1</v>
      </c>
      <c r="AC28" s="1814">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2"/>
      <c r="Q29" s="1813" t="str">
        <f t="shared" si="11"/>
        <v>有无电梯</v>
      </c>
      <c r="R29" s="774" t="s">
        <v>17</v>
      </c>
      <c r="S29" s="775">
        <f t="shared" si="12"/>
        <v>100</v>
      </c>
      <c r="T29" s="774" t="s">
        <v>17</v>
      </c>
      <c r="U29" s="775">
        <f t="shared" si="13"/>
        <v>100</v>
      </c>
      <c r="V29" s="774" t="s">
        <v>17</v>
      </c>
      <c r="W29" s="775">
        <f t="shared" si="14"/>
        <v>100</v>
      </c>
      <c r="X29" s="1816"/>
      <c r="Y29" s="3162"/>
      <c r="Z29" s="1817" t="str">
        <f t="shared" si="15"/>
        <v>有无电梯</v>
      </c>
      <c r="AA29" s="1814">
        <f t="shared" si="3"/>
        <v>1</v>
      </c>
      <c r="AB29" s="1814">
        <f t="shared" si="4"/>
        <v>1</v>
      </c>
      <c r="AC29" s="1814">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2"/>
      <c r="Q30" s="1813" t="str">
        <f t="shared" si="11"/>
        <v>建筑面积</v>
      </c>
      <c r="R30" s="774" t="s">
        <v>17</v>
      </c>
      <c r="S30" s="775" t="e">
        <f t="shared" si="12"/>
        <v>#N/A</v>
      </c>
      <c r="T30" s="774" t="s">
        <v>17</v>
      </c>
      <c r="U30" s="775" t="e">
        <f t="shared" si="13"/>
        <v>#N/A</v>
      </c>
      <c r="V30" s="774" t="s">
        <v>17</v>
      </c>
      <c r="W30" s="775" t="e">
        <f t="shared" si="14"/>
        <v>#N/A</v>
      </c>
      <c r="X30" s="1816"/>
      <c r="Y30" s="3162"/>
      <c r="Z30" s="1817" t="str">
        <f t="shared" si="15"/>
        <v>建筑面积</v>
      </c>
      <c r="AA30" s="1814" t="e">
        <f t="shared" si="3"/>
        <v>#N/A</v>
      </c>
      <c r="AB30" s="1814" t="e">
        <f t="shared" si="4"/>
        <v>#N/A</v>
      </c>
      <c r="AC30" s="1814"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2"/>
      <c r="Q31" s="1798" t="str">
        <f t="shared" si="11"/>
        <v>是否封闭</v>
      </c>
      <c r="R31" s="770" t="s">
        <v>17</v>
      </c>
      <c r="S31" s="771">
        <f t="shared" si="12"/>
        <v>100</v>
      </c>
      <c r="T31" s="770" t="s">
        <v>17</v>
      </c>
      <c r="U31" s="771">
        <f t="shared" si="13"/>
        <v>100</v>
      </c>
      <c r="V31" s="770" t="s">
        <v>17</v>
      </c>
      <c r="W31" s="771">
        <f t="shared" si="14"/>
        <v>100</v>
      </c>
      <c r="X31" s="772"/>
      <c r="Y31" s="316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2" t="s">
        <v>2551</v>
      </c>
      <c r="Q32" s="1813">
        <f t="shared" si="11"/>
        <v>111</v>
      </c>
      <c r="R32" s="774" t="s">
        <v>17</v>
      </c>
      <c r="S32" s="775">
        <f t="shared" si="12"/>
        <v>100</v>
      </c>
      <c r="T32" s="774" t="s">
        <v>17</v>
      </c>
      <c r="U32" s="775">
        <f t="shared" si="13"/>
        <v>100</v>
      </c>
      <c r="V32" s="774" t="s">
        <v>17</v>
      </c>
      <c r="W32" s="775">
        <f t="shared" si="14"/>
        <v>100</v>
      </c>
      <c r="X32" s="1816"/>
      <c r="Y32" s="3162" t="s">
        <v>2551</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2"/>
      <c r="Q33" s="1813">
        <f t="shared" si="11"/>
        <v>111</v>
      </c>
      <c r="R33" s="774" t="s">
        <v>17</v>
      </c>
      <c r="S33" s="775">
        <f t="shared" si="12"/>
        <v>100</v>
      </c>
      <c r="T33" s="774" t="s">
        <v>17</v>
      </c>
      <c r="U33" s="775">
        <f t="shared" si="13"/>
        <v>100</v>
      </c>
      <c r="V33" s="774" t="s">
        <v>17</v>
      </c>
      <c r="W33" s="775">
        <f t="shared" si="14"/>
        <v>100</v>
      </c>
      <c r="X33" s="1816"/>
      <c r="Y33" s="3162"/>
      <c r="Z33" s="1817">
        <f t="shared" si="15"/>
        <v>111</v>
      </c>
      <c r="AA33" s="1814">
        <f t="shared" si="3"/>
        <v>1</v>
      </c>
      <c r="AB33" s="1814">
        <f t="shared" si="4"/>
        <v>1</v>
      </c>
      <c r="AC33" s="1814">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62"/>
      <c r="Q34" s="1813">
        <f t="shared" si="11"/>
        <v>111</v>
      </c>
      <c r="R34" s="774" t="s">
        <v>17</v>
      </c>
      <c r="S34" s="775">
        <f t="shared" si="12"/>
        <v>100</v>
      </c>
      <c r="T34" s="774" t="s">
        <v>17</v>
      </c>
      <c r="U34" s="775">
        <f t="shared" si="13"/>
        <v>100</v>
      </c>
      <c r="V34" s="774" t="s">
        <v>17</v>
      </c>
      <c r="W34" s="775">
        <f t="shared" si="14"/>
        <v>100</v>
      </c>
      <c r="X34" s="1816"/>
      <c r="Y34" s="3162"/>
      <c r="Z34" s="1817">
        <f t="shared" si="15"/>
        <v>111</v>
      </c>
      <c r="AA34" s="1814">
        <f t="shared" si="3"/>
        <v>1</v>
      </c>
      <c r="AB34" s="1814">
        <f t="shared" si="4"/>
        <v>1</v>
      </c>
      <c r="AC34" s="1814">
        <f t="shared" si="5"/>
        <v>1</v>
      </c>
    </row>
    <row r="35" spans="1:29" ht="15">
      <c r="A35" s="479" t="s">
        <v>2563</v>
      </c>
      <c r="B35" s="480"/>
      <c r="C35" s="1410" t="s">
        <v>1</v>
      </c>
      <c r="D35" s="1411"/>
      <c r="E35" s="1412"/>
      <c r="F35" s="1413"/>
      <c r="G35" s="1414"/>
      <c r="H35" s="1415"/>
      <c r="I35" s="1412"/>
      <c r="J35" s="1415"/>
      <c r="K35" s="783"/>
      <c r="L35" s="1146"/>
      <c r="M35" s="1147"/>
      <c r="N35" s="1134"/>
      <c r="O35" s="1147"/>
      <c r="P35" s="3157" t="str">
        <f>A35</f>
        <v>成交单价（元/平方米）</v>
      </c>
      <c r="Q35" s="3157"/>
      <c r="R35" s="3225">
        <f>E35</f>
        <v>0</v>
      </c>
      <c r="S35" s="3225"/>
      <c r="T35" s="3225">
        <f>G35</f>
        <v>0</v>
      </c>
      <c r="U35" s="3225"/>
      <c r="V35" s="3225">
        <f>I35</f>
        <v>0</v>
      </c>
      <c r="W35" s="3225"/>
      <c r="X35" s="759"/>
      <c r="Y35" s="781"/>
      <c r="Z35" s="759"/>
      <c r="AA35" s="759"/>
      <c r="AB35" s="759"/>
      <c r="AC35" s="759"/>
    </row>
    <row r="36" spans="1:29" ht="15.75" thickBot="1">
      <c r="A36" s="486" t="s">
        <v>2655</v>
      </c>
      <c r="B36" s="487"/>
      <c r="C36" s="1416" t="e">
        <f>R37</f>
        <v>#DIV/0!</v>
      </c>
      <c r="D36" s="1417"/>
      <c r="E36" s="1418" t="e">
        <f>R36</f>
        <v>#DIV/0!</v>
      </c>
      <c r="F36" s="1418"/>
      <c r="G36" s="1416" t="e">
        <f>T36</f>
        <v>#DIV/0!</v>
      </c>
      <c r="H36" s="1417"/>
      <c r="I36" s="1418" t="e">
        <f>V36</f>
        <v>#DIV/0!</v>
      </c>
      <c r="J36" s="1417"/>
      <c r="K36" s="784"/>
      <c r="L36" s="1146"/>
      <c r="M36" s="1147"/>
      <c r="N36" s="1134"/>
      <c r="O36" s="1147"/>
      <c r="P36" s="3157" t="str">
        <f>A36</f>
        <v>比较价值（元/平方米）</v>
      </c>
      <c r="Q36" s="3157"/>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2656</v>
      </c>
      <c r="B37" s="493"/>
      <c r="C37" s="1420" t="e">
        <f>R37</f>
        <v>#DIV/0!</v>
      </c>
      <c r="D37" s="1420"/>
      <c r="E37" s="1420"/>
      <c r="F37" s="1420"/>
      <c r="G37" s="1420"/>
      <c r="H37" s="1420"/>
      <c r="I37" s="1420"/>
      <c r="J37" s="1420"/>
      <c r="K37" s="785"/>
      <c r="L37" s="1146"/>
      <c r="M37" s="1147"/>
      <c r="N37" s="1147"/>
      <c r="O37" s="1147"/>
      <c r="P37" s="3151" t="str">
        <f>A37</f>
        <v>估价对象XX用房的比较价值（楼面单价，元/平方米）</v>
      </c>
      <c r="Q37" s="3152"/>
      <c r="R37" s="3224" t="e">
        <f>IF(F1="售价",ROUND(AVERAGE(R36:V36),0),ROUND(AVERAGE(R36:V36),1))</f>
        <v>#DIV/0!</v>
      </c>
      <c r="S37" s="3224"/>
      <c r="T37" s="3224"/>
      <c r="U37" s="3224"/>
      <c r="V37" s="3224"/>
      <c r="W37" s="322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2574</v>
      </c>
      <c r="B51" s="528" t="s">
        <v>2540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2725</v>
      </c>
      <c r="C63" s="578" t="s">
        <v>2583</v>
      </c>
      <c r="D63" s="578" t="s">
        <v>2584</v>
      </c>
      <c r="E63" s="578" t="s">
        <v>2585</v>
      </c>
      <c r="F63" s="578" t="s">
        <v>2586</v>
      </c>
      <c r="G63" s="578" t="s">
        <v>2587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2549</v>
      </c>
      <c r="B77" s="528" t="s">
        <v>2602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2718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2728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2631</v>
      </c>
      <c r="B4" s="402"/>
      <c r="C4" s="3154" t="s">
        <v>2632</v>
      </c>
      <c r="D4" s="3167"/>
      <c r="E4" s="3168" t="s">
        <v>2633</v>
      </c>
      <c r="F4" s="3169"/>
      <c r="G4" s="3154" t="s">
        <v>2634</v>
      </c>
      <c r="H4" s="3167"/>
      <c r="I4" s="3154" t="s">
        <v>2635</v>
      </c>
      <c r="J4" s="3167"/>
      <c r="K4" s="610" t="s">
        <v>2636</v>
      </c>
      <c r="L4" s="1133"/>
      <c r="M4" s="1134"/>
      <c r="N4" s="1134"/>
      <c r="O4" s="1134"/>
      <c r="P4" s="3170" t="s">
        <v>2637</v>
      </c>
      <c r="Q4" s="3171"/>
      <c r="R4" s="3176" t="s">
        <v>2633</v>
      </c>
      <c r="S4" s="3177"/>
      <c r="T4" s="3176" t="s">
        <v>2634</v>
      </c>
      <c r="U4" s="3177"/>
      <c r="V4" s="3163" t="s">
        <v>2635</v>
      </c>
      <c r="W4" s="3163"/>
      <c r="X4" s="1816"/>
      <c r="Y4" s="3176" t="s">
        <v>2637</v>
      </c>
      <c r="Z4" s="3177"/>
      <c r="AA4" s="3164" t="s">
        <v>2633</v>
      </c>
      <c r="AB4" s="3165" t="s">
        <v>2634</v>
      </c>
      <c r="AC4" s="3164" t="s">
        <v>2635</v>
      </c>
    </row>
    <row r="5" spans="1:29" ht="15">
      <c r="A5" s="404"/>
      <c r="B5" s="405"/>
      <c r="C5" s="3184" t="s">
        <v>2528</v>
      </c>
      <c r="D5" s="3185"/>
      <c r="E5" s="3192" t="s">
        <v>2529</v>
      </c>
      <c r="F5" s="3193"/>
      <c r="G5" s="3184" t="s">
        <v>2530</v>
      </c>
      <c r="H5" s="3185"/>
      <c r="I5" s="3184" t="s">
        <v>2531</v>
      </c>
      <c r="J5" s="3185"/>
      <c r="K5" s="610"/>
      <c r="L5" s="1133"/>
      <c r="M5" s="1134"/>
      <c r="N5" s="1134"/>
      <c r="O5" s="1134"/>
      <c r="P5" s="3172"/>
      <c r="Q5" s="3173"/>
      <c r="R5" s="3178"/>
      <c r="S5" s="3179"/>
      <c r="T5" s="3178"/>
      <c r="U5" s="3179"/>
      <c r="V5" s="3163"/>
      <c r="W5" s="3163"/>
      <c r="X5" s="1816"/>
      <c r="Y5" s="3178"/>
      <c r="Z5" s="3179"/>
      <c r="AA5" s="3165"/>
      <c r="AB5" s="3165"/>
      <c r="AC5" s="3165"/>
    </row>
    <row r="6" spans="1:29" ht="15.75" thickBot="1">
      <c r="A6" s="406"/>
      <c r="B6" s="407"/>
      <c r="C6" s="3250" t="s">
        <v>2782</v>
      </c>
      <c r="D6" s="3251"/>
      <c r="E6" s="3252" t="s">
        <v>2782</v>
      </c>
      <c r="F6" s="3253"/>
      <c r="G6" s="3250" t="s">
        <v>2782</v>
      </c>
      <c r="H6" s="3251"/>
      <c r="I6" s="3250" t="s">
        <v>2782</v>
      </c>
      <c r="J6" s="3251"/>
      <c r="K6" s="610" t="s">
        <v>2533</v>
      </c>
      <c r="L6" s="1133"/>
      <c r="M6" s="1134"/>
      <c r="N6" s="1134"/>
      <c r="O6" s="1134"/>
      <c r="P6" s="3174"/>
      <c r="Q6" s="3175"/>
      <c r="R6" s="3178"/>
      <c r="S6" s="3179"/>
      <c r="T6" s="3180"/>
      <c r="U6" s="3181"/>
      <c r="V6" s="3163"/>
      <c r="W6" s="3163"/>
      <c r="X6" s="1816"/>
      <c r="Y6" s="3180"/>
      <c r="Z6" s="3181"/>
      <c r="AA6" s="3166"/>
      <c r="AB6" s="3166"/>
      <c r="AC6" s="3166"/>
    </row>
    <row r="7" spans="1:29" s="117" customFormat="1" ht="15.75" thickBot="1">
      <c r="A7" s="408" t="s">
        <v>2534</v>
      </c>
      <c r="B7" s="409"/>
      <c r="C7" s="410">
        <f>'数据-取费表'!B2</f>
        <v>43381</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86" t="s">
        <v>2535</v>
      </c>
      <c r="Q7" s="3188"/>
      <c r="R7" s="770" t="s">
        <v>17</v>
      </c>
      <c r="S7" s="771">
        <f t="shared" ref="S7:S15" si="0">F7</f>
        <v>0</v>
      </c>
      <c r="T7" s="770" t="s">
        <v>17</v>
      </c>
      <c r="U7" s="771">
        <f t="shared" ref="U7:U15" si="1">H7</f>
        <v>0</v>
      </c>
      <c r="V7" s="770" t="s">
        <v>17</v>
      </c>
      <c r="W7" s="771">
        <f t="shared" ref="W7:W15" si="2">J7</f>
        <v>0</v>
      </c>
      <c r="X7" s="772"/>
      <c r="Y7" s="3186" t="s">
        <v>2535</v>
      </c>
      <c r="Z7" s="3187"/>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6" t="s">
        <v>2538</v>
      </c>
      <c r="Q8" s="3187"/>
      <c r="R8" s="770" t="s">
        <v>17</v>
      </c>
      <c r="S8" s="771">
        <f t="shared" si="0"/>
        <v>0</v>
      </c>
      <c r="T8" s="770" t="s">
        <v>17</v>
      </c>
      <c r="U8" s="771">
        <f t="shared" si="1"/>
        <v>0</v>
      </c>
      <c r="V8" s="770" t="s">
        <v>17</v>
      </c>
      <c r="W8" s="771">
        <f t="shared" si="2"/>
        <v>0</v>
      </c>
      <c r="X8" s="772"/>
      <c r="Y8" s="3186" t="s">
        <v>2538</v>
      </c>
      <c r="Z8" s="3187"/>
      <c r="AA8" s="773" t="e">
        <f t="shared" ref="AA8:AA40" si="3">D8/F8</f>
        <v>#DIV/0!</v>
      </c>
      <c r="AB8" s="773" t="e">
        <f t="shared" ref="AB8:AB40" si="4">D8/H8</f>
        <v>#DIV/0!</v>
      </c>
      <c r="AC8" s="773" t="e">
        <f t="shared" ref="AC8:AC40" si="5">D8/J8</f>
        <v>#DIV/0!</v>
      </c>
    </row>
    <row r="9" spans="1:29" s="117" customFormat="1">
      <c r="A9" s="415" t="s">
        <v>2539</v>
      </c>
      <c r="B9" s="71" t="s">
        <v>2540</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57" t="s">
        <v>2541</v>
      </c>
      <c r="Q9" s="1798" t="str">
        <f t="shared" ref="Q9:Q15" si="6">B9</f>
        <v>用途</v>
      </c>
      <c r="R9" s="770" t="s">
        <v>17</v>
      </c>
      <c r="S9" s="771">
        <f t="shared" si="0"/>
        <v>100</v>
      </c>
      <c r="T9" s="770" t="s">
        <v>17</v>
      </c>
      <c r="U9" s="771">
        <f t="shared" si="1"/>
        <v>100</v>
      </c>
      <c r="V9" s="770" t="s">
        <v>17</v>
      </c>
      <c r="W9" s="771">
        <f t="shared" si="2"/>
        <v>100</v>
      </c>
      <c r="X9" s="772"/>
      <c r="Y9" s="3008"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57"/>
      <c r="Q10" s="1798" t="str">
        <f t="shared" si="6"/>
        <v>土地使用年限（年）</v>
      </c>
      <c r="R10" s="770" t="s">
        <v>17</v>
      </c>
      <c r="S10" s="771">
        <f t="shared" si="0"/>
        <v>101</v>
      </c>
      <c r="T10" s="770" t="s">
        <v>17</v>
      </c>
      <c r="U10" s="771">
        <f t="shared" si="1"/>
        <v>101</v>
      </c>
      <c r="V10" s="770" t="s">
        <v>17</v>
      </c>
      <c r="W10" s="771">
        <f t="shared" si="2"/>
        <v>101</v>
      </c>
      <c r="X10" s="772"/>
      <c r="Y10" s="3008"/>
      <c r="Z10" s="55" t="str">
        <f t="shared" si="7"/>
        <v>土地使用年限（年）</v>
      </c>
      <c r="AA10" s="773">
        <f t="shared" si="3"/>
        <v>0.99009900990099009</v>
      </c>
      <c r="AB10" s="773">
        <f t="shared" si="4"/>
        <v>0.99009900990099009</v>
      </c>
      <c r="AC10" s="773">
        <f t="shared" si="5"/>
        <v>0.99009900990099009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15">
      <c r="A15" s="440" t="s">
        <v>2545</v>
      </c>
      <c r="B15" s="629" t="s">
        <v>2783</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9" t="s">
        <v>2546</v>
      </c>
      <c r="Q15" s="1813" t="str">
        <f t="shared" si="6"/>
        <v>产业集聚程度</v>
      </c>
      <c r="R15" s="774" t="s">
        <v>17</v>
      </c>
      <c r="S15" s="775">
        <f t="shared" si="0"/>
        <v>100</v>
      </c>
      <c r="T15" s="774" t="s">
        <v>17</v>
      </c>
      <c r="U15" s="775">
        <f t="shared" si="1"/>
        <v>100</v>
      </c>
      <c r="V15" s="774" t="s">
        <v>17</v>
      </c>
      <c r="W15" s="775">
        <f t="shared" si="2"/>
        <v>100</v>
      </c>
      <c r="X15" s="1816"/>
      <c r="Y15" s="3159" t="s">
        <v>2546</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15">
      <c r="A17" s="428"/>
      <c r="B17" s="631" t="s">
        <v>2695</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15">
      <c r="A19" s="428"/>
      <c r="B19" s="631" t="s">
        <v>2733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0"/>
      <c r="Q19" s="1813" t="str">
        <f t="shared" ref="Q19:Q33" si="8">B19</f>
        <v>区域土地利用方向</v>
      </c>
      <c r="R19" s="774" t="s">
        <v>17</v>
      </c>
      <c r="S19" s="775">
        <f>F19</f>
        <v>100</v>
      </c>
      <c r="T19" s="774" t="s">
        <v>17</v>
      </c>
      <c r="U19" s="775">
        <f>H19</f>
        <v>100</v>
      </c>
      <c r="V19" s="774" t="s">
        <v>17</v>
      </c>
      <c r="W19" s="775">
        <f>J19</f>
        <v>100</v>
      </c>
      <c r="X19" s="1816"/>
      <c r="Y19" s="3160"/>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60"/>
      <c r="Q20" s="1813"/>
      <c r="R20" s="774"/>
      <c r="S20" s="775"/>
      <c r="T20" s="774"/>
      <c r="U20" s="775"/>
      <c r="V20" s="774"/>
      <c r="W20" s="775"/>
      <c r="X20" s="1816"/>
      <c r="Y20" s="3160"/>
      <c r="Z20" s="1817"/>
      <c r="AA20" s="1814"/>
      <c r="AB20" s="1814"/>
      <c r="AC20" s="1814"/>
    </row>
    <row r="21" spans="1:29" ht="15">
      <c r="A21" s="404"/>
      <c r="B21" s="631" t="s">
        <v>2784</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0"/>
      <c r="Q21" s="1813" t="str">
        <f t="shared" si="8"/>
        <v>环境状况</v>
      </c>
      <c r="R21" s="774" t="s">
        <v>17</v>
      </c>
      <c r="S21" s="775">
        <f>F21</f>
        <v>100</v>
      </c>
      <c r="T21" s="774" t="s">
        <v>17</v>
      </c>
      <c r="U21" s="775">
        <f>H21</f>
        <v>100</v>
      </c>
      <c r="V21" s="774" t="s">
        <v>17</v>
      </c>
      <c r="W21" s="775">
        <f>J21</f>
        <v>100</v>
      </c>
      <c r="X21" s="1816"/>
      <c r="Y21" s="3160"/>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s="117" customFormat="1" ht="15">
      <c r="A23" s="649"/>
      <c r="B23" s="633" t="s">
        <v>2640</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0"/>
      <c r="Q23" s="1798" t="str">
        <f t="shared" si="8"/>
        <v>公共配套设施</v>
      </c>
      <c r="R23" s="770" t="s">
        <v>17</v>
      </c>
      <c r="S23" s="771">
        <f>F23</f>
        <v>100</v>
      </c>
      <c r="T23" s="770" t="s">
        <v>17</v>
      </c>
      <c r="U23" s="771">
        <f>H23</f>
        <v>100</v>
      </c>
      <c r="V23" s="770" t="s">
        <v>17</v>
      </c>
      <c r="W23" s="771">
        <f>J23</f>
        <v>100</v>
      </c>
      <c r="X23" s="772"/>
      <c r="Y23" s="3160"/>
      <c r="Z23" s="55" t="str">
        <f>Q23</f>
        <v>公共配套设施</v>
      </c>
      <c r="AA23" s="1814">
        <f>D23/F23</f>
        <v>1</v>
      </c>
      <c r="AB23" s="1814">
        <f>D23/H23</f>
        <v>1</v>
      </c>
      <c r="AC23" s="1814">
        <f>D23/J23</f>
        <v>1</v>
      </c>
    </row>
    <row r="24" spans="1:29" s="117" customFormat="1" ht="15">
      <c r="A24" s="649"/>
      <c r="B24" s="632"/>
      <c r="C24" s="2700"/>
      <c r="D24" s="448"/>
      <c r="E24" s="2613"/>
      <c r="F24" s="448"/>
      <c r="G24" s="2613"/>
      <c r="H24" s="448"/>
      <c r="I24" s="447"/>
      <c r="J24" s="448"/>
      <c r="K24" s="672"/>
      <c r="L24" s="1135"/>
      <c r="M24" s="1136"/>
      <c r="N24" s="1136"/>
      <c r="O24" s="1137"/>
      <c r="P24" s="3160"/>
      <c r="Q24" s="1798"/>
      <c r="R24" s="770"/>
      <c r="S24" s="771"/>
      <c r="T24" s="770"/>
      <c r="U24" s="771"/>
      <c r="V24" s="770"/>
      <c r="W24" s="771"/>
      <c r="X24" s="772"/>
      <c r="Y24" s="3160"/>
      <c r="Z24" s="55"/>
      <c r="AA24" s="773">
        <v>1</v>
      </c>
      <c r="AB24" s="773">
        <v>1</v>
      </c>
      <c r="AC24" s="773">
        <v>1</v>
      </c>
    </row>
    <row r="25" spans="1:29" s="117" customFormat="1" ht="15">
      <c r="A25" s="649"/>
      <c r="B25" s="633" t="s">
        <v>2641</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0"/>
      <c r="Q25" s="1798" t="str">
        <f t="shared" ref="Q25" si="9">B25</f>
        <v>基础设施水平</v>
      </c>
      <c r="R25" s="770" t="s">
        <v>17</v>
      </c>
      <c r="S25" s="771">
        <f>F25</f>
        <v>100</v>
      </c>
      <c r="T25" s="770" t="s">
        <v>17</v>
      </c>
      <c r="U25" s="771">
        <f>H25</f>
        <v>100</v>
      </c>
      <c r="V25" s="770" t="s">
        <v>17</v>
      </c>
      <c r="W25" s="771">
        <f>J25</f>
        <v>100</v>
      </c>
      <c r="X25" s="772"/>
      <c r="Y25" s="3160"/>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160"/>
      <c r="Q26" s="1798"/>
      <c r="R26" s="770"/>
      <c r="S26" s="771"/>
      <c r="T26" s="770"/>
      <c r="U26" s="771"/>
      <c r="V26" s="770"/>
      <c r="W26" s="771"/>
      <c r="X26" s="772"/>
      <c r="Y26" s="3160"/>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0"/>
      <c r="Z27" s="1817" t="str">
        <f t="shared" ref="Z27:Z40" si="13">Q27</f>
        <v>临街状况</v>
      </c>
      <c r="AA27" s="1814">
        <f t="shared" si="3"/>
        <v>1</v>
      </c>
      <c r="AB27" s="1814">
        <f t="shared" si="4"/>
        <v>1</v>
      </c>
      <c r="AC27" s="1814">
        <f t="shared" si="5"/>
        <v>1</v>
      </c>
    </row>
    <row r="28" spans="1:29" ht="27">
      <c r="A28" s="428"/>
      <c r="B28" s="633" t="s">
        <v>2677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0"/>
      <c r="Q28" s="1813" t="str">
        <f t="shared" si="8"/>
        <v>毗邻道路的类型与等级</v>
      </c>
      <c r="R28" s="774" t="s">
        <v>17</v>
      </c>
      <c r="S28" s="775">
        <f t="shared" si="10"/>
        <v>100</v>
      </c>
      <c r="T28" s="774" t="s">
        <v>17</v>
      </c>
      <c r="U28" s="775">
        <f t="shared" si="11"/>
        <v>100</v>
      </c>
      <c r="V28" s="774" t="s">
        <v>17</v>
      </c>
      <c r="W28" s="775">
        <f t="shared" si="12"/>
        <v>100</v>
      </c>
      <c r="X28" s="1816"/>
      <c r="Y28" s="3160"/>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60"/>
      <c r="Q29" s="1813"/>
      <c r="R29" s="774"/>
      <c r="S29" s="775"/>
      <c r="T29" s="774"/>
      <c r="U29" s="775"/>
      <c r="V29" s="774"/>
      <c r="W29" s="775"/>
      <c r="X29" s="1816"/>
      <c r="Y29" s="3160"/>
      <c r="Z29" s="1817"/>
      <c r="AA29" s="1814">
        <v>1</v>
      </c>
      <c r="AB29" s="1814">
        <v>1</v>
      </c>
      <c r="AC29" s="1814">
        <v>1</v>
      </c>
    </row>
    <row r="30" spans="1:29" ht="15">
      <c r="A30" s="428"/>
      <c r="B30" s="654" t="s">
        <v>2735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0"/>
      <c r="Q30" s="1813" t="str">
        <f t="shared" si="8"/>
        <v>土地级别</v>
      </c>
      <c r="R30" s="774" t="s">
        <v>17</v>
      </c>
      <c r="S30" s="775">
        <f t="shared" si="10"/>
        <v>100</v>
      </c>
      <c r="T30" s="774" t="s">
        <v>17</v>
      </c>
      <c r="U30" s="775">
        <f t="shared" si="11"/>
        <v>100</v>
      </c>
      <c r="V30" s="774" t="s">
        <v>17</v>
      </c>
      <c r="W30" s="775">
        <f t="shared" si="12"/>
        <v>100</v>
      </c>
      <c r="X30" s="1816"/>
      <c r="Y30" s="3160"/>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0"/>
      <c r="Q31" s="1813">
        <f t="shared" si="8"/>
        <v>111</v>
      </c>
      <c r="R31" s="774" t="s">
        <v>17</v>
      </c>
      <c r="S31" s="775">
        <f t="shared" si="10"/>
        <v>100</v>
      </c>
      <c r="T31" s="774" t="s">
        <v>17</v>
      </c>
      <c r="U31" s="775">
        <f t="shared" si="11"/>
        <v>100</v>
      </c>
      <c r="V31" s="774" t="s">
        <v>17</v>
      </c>
      <c r="W31" s="775">
        <f t="shared" si="12"/>
        <v>100</v>
      </c>
      <c r="X31" s="1816"/>
      <c r="Y31" s="3160"/>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1" t="s">
        <v>2551</v>
      </c>
      <c r="Q32" s="1813">
        <f t="shared" si="8"/>
        <v>111</v>
      </c>
      <c r="R32" s="774" t="s">
        <v>17</v>
      </c>
      <c r="S32" s="775">
        <f t="shared" si="10"/>
        <v>100</v>
      </c>
      <c r="T32" s="774" t="s">
        <v>17</v>
      </c>
      <c r="U32" s="775">
        <f t="shared" si="11"/>
        <v>100</v>
      </c>
      <c r="V32" s="774" t="s">
        <v>17</v>
      </c>
      <c r="W32" s="775">
        <f t="shared" si="12"/>
        <v>100</v>
      </c>
      <c r="X32" s="1816"/>
      <c r="Y32" s="3162" t="s">
        <v>2551</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2"/>
      <c r="Q33" s="1813">
        <f t="shared" si="8"/>
        <v>111</v>
      </c>
      <c r="R33" s="777" t="s">
        <v>17</v>
      </c>
      <c r="S33" s="778">
        <f t="shared" si="10"/>
        <v>100</v>
      </c>
      <c r="T33" s="777" t="s">
        <v>17</v>
      </c>
      <c r="U33" s="778">
        <f t="shared" si="11"/>
        <v>100</v>
      </c>
      <c r="V33" s="777" t="s">
        <v>17</v>
      </c>
      <c r="W33" s="778">
        <f t="shared" si="12"/>
        <v>100</v>
      </c>
      <c r="X33" s="779"/>
      <c r="Y33" s="3162"/>
      <c r="Z33" s="780">
        <f t="shared" si="13"/>
        <v>111</v>
      </c>
      <c r="AA33" s="1814">
        <f t="shared" si="3"/>
        <v>1</v>
      </c>
      <c r="AB33" s="1814">
        <f t="shared" si="4"/>
        <v>1</v>
      </c>
      <c r="AC33" s="1814">
        <f t="shared" si="5"/>
        <v>1</v>
      </c>
    </row>
    <row r="34" spans="1:29" ht="15">
      <c r="A34" s="440" t="s">
        <v>2549</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2"/>
      <c r="Q34" s="1813" t="str">
        <f>B34</f>
        <v>宗地面积</v>
      </c>
      <c r="R34" s="774" t="s">
        <v>17</v>
      </c>
      <c r="S34" s="775" t="e">
        <f t="shared" si="10"/>
        <v>#N/A</v>
      </c>
      <c r="T34" s="774" t="s">
        <v>17</v>
      </c>
      <c r="U34" s="775" t="e">
        <f t="shared" si="11"/>
        <v>#N/A</v>
      </c>
      <c r="V34" s="774" t="s">
        <v>17</v>
      </c>
      <c r="W34" s="775" t="e">
        <f t="shared" si="12"/>
        <v>#N/A</v>
      </c>
      <c r="X34" s="1816"/>
      <c r="Y34" s="3162"/>
      <c r="Z34" s="1817" t="str">
        <f t="shared" si="13"/>
        <v>宗地面积</v>
      </c>
      <c r="AA34" s="1814" t="e">
        <f t="shared" si="3"/>
        <v>#N/A</v>
      </c>
      <c r="AB34" s="1814" t="e">
        <f t="shared" si="4"/>
        <v>#N/A</v>
      </c>
      <c r="AC34" s="1814" t="e">
        <f t="shared" si="5"/>
        <v>#N/A</v>
      </c>
    </row>
    <row r="35" spans="1:29" ht="15">
      <c r="A35" s="472"/>
      <c r="B35" s="422" t="s">
        <v>2737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62"/>
      <c r="Q35" s="1813" t="str">
        <f t="shared" ref="Q35:Q40" si="14">B35</f>
        <v>宗地形状</v>
      </c>
      <c r="R35" s="774" t="s">
        <v>17</v>
      </c>
      <c r="S35" s="775">
        <f t="shared" si="10"/>
        <v>100</v>
      </c>
      <c r="T35" s="774" t="s">
        <v>17</v>
      </c>
      <c r="U35" s="775">
        <f t="shared" si="11"/>
        <v>100</v>
      </c>
      <c r="V35" s="774" t="s">
        <v>17</v>
      </c>
      <c r="W35" s="775">
        <f t="shared" si="12"/>
        <v>100</v>
      </c>
      <c r="X35" s="1816"/>
      <c r="Y35" s="3162"/>
      <c r="Z35" s="1817" t="str">
        <f t="shared" si="13"/>
        <v>宗地形状</v>
      </c>
      <c r="AA35" s="1814">
        <f t="shared" si="3"/>
        <v>1</v>
      </c>
      <c r="AB35" s="1814">
        <f t="shared" si="4"/>
        <v>1</v>
      </c>
      <c r="AC35" s="1814">
        <f t="shared" si="5"/>
        <v>1</v>
      </c>
    </row>
    <row r="36" spans="1:29" s="117" customFormat="1" ht="15">
      <c r="A36" s="473"/>
      <c r="B36" s="422" t="s">
        <v>2739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62"/>
      <c r="Q36" s="1813" t="str">
        <f t="shared" si="14"/>
        <v>宗地开发程度</v>
      </c>
      <c r="R36" s="770" t="s">
        <v>17</v>
      </c>
      <c r="S36" s="771">
        <f t="shared" si="10"/>
        <v>100</v>
      </c>
      <c r="T36" s="770" t="s">
        <v>17</v>
      </c>
      <c r="U36" s="771">
        <f t="shared" si="11"/>
        <v>100</v>
      </c>
      <c r="V36" s="770" t="s">
        <v>17</v>
      </c>
      <c r="W36" s="771">
        <f t="shared" si="12"/>
        <v>100</v>
      </c>
      <c r="X36" s="772"/>
      <c r="Y36" s="3162"/>
      <c r="Z36" s="55" t="str">
        <f t="shared" si="13"/>
        <v>宗地开发程度</v>
      </c>
      <c r="AA36" s="773">
        <f t="shared" si="3"/>
        <v>1</v>
      </c>
      <c r="AB36" s="773">
        <f t="shared" si="4"/>
        <v>1</v>
      </c>
      <c r="AC36" s="773">
        <f t="shared" si="5"/>
        <v>1</v>
      </c>
    </row>
    <row r="37" spans="1:29" ht="15">
      <c r="A37" s="472"/>
      <c r="B37" s="422" t="s">
        <v>2740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62" t="s">
        <v>2551</v>
      </c>
      <c r="Q37" s="1813" t="str">
        <f t="shared" si="14"/>
        <v>工程地质条件</v>
      </c>
      <c r="R37" s="774" t="s">
        <v>17</v>
      </c>
      <c r="S37" s="775">
        <f t="shared" si="10"/>
        <v>100</v>
      </c>
      <c r="T37" s="774" t="s">
        <v>17</v>
      </c>
      <c r="U37" s="775">
        <f t="shared" si="11"/>
        <v>100</v>
      </c>
      <c r="V37" s="774" t="s">
        <v>17</v>
      </c>
      <c r="W37" s="775">
        <f t="shared" si="12"/>
        <v>100</v>
      </c>
      <c r="X37" s="1816"/>
      <c r="Y37" s="3162" t="s">
        <v>2551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2"/>
      <c r="Q38" s="1813">
        <f t="shared" si="14"/>
        <v>111</v>
      </c>
      <c r="R38" s="774" t="s">
        <v>17</v>
      </c>
      <c r="S38" s="775">
        <f t="shared" si="10"/>
        <v>100</v>
      </c>
      <c r="T38" s="774" t="s">
        <v>17</v>
      </c>
      <c r="U38" s="775">
        <f t="shared" si="11"/>
        <v>100</v>
      </c>
      <c r="V38" s="774" t="s">
        <v>17</v>
      </c>
      <c r="W38" s="775">
        <f t="shared" si="12"/>
        <v>100</v>
      </c>
      <c r="X38" s="1816"/>
      <c r="Y38" s="316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2"/>
      <c r="Q39" s="1813">
        <f t="shared" si="14"/>
        <v>111</v>
      </c>
      <c r="R39" s="774" t="s">
        <v>17</v>
      </c>
      <c r="S39" s="775">
        <f t="shared" si="10"/>
        <v>100</v>
      </c>
      <c r="T39" s="774" t="s">
        <v>17</v>
      </c>
      <c r="U39" s="775">
        <f t="shared" si="11"/>
        <v>100</v>
      </c>
      <c r="V39" s="774" t="s">
        <v>17</v>
      </c>
      <c r="W39" s="775">
        <f t="shared" si="12"/>
        <v>100</v>
      </c>
      <c r="X39" s="1816"/>
      <c r="Y39" s="3162"/>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2"/>
      <c r="Q40" s="1813">
        <f t="shared" si="14"/>
        <v>111</v>
      </c>
      <c r="R40" s="777" t="s">
        <v>17</v>
      </c>
      <c r="S40" s="778">
        <f t="shared" si="10"/>
        <v>100</v>
      </c>
      <c r="T40" s="777" t="s">
        <v>17</v>
      </c>
      <c r="U40" s="778">
        <f t="shared" si="11"/>
        <v>100</v>
      </c>
      <c r="V40" s="777" t="s">
        <v>17</v>
      </c>
      <c r="W40" s="778">
        <f t="shared" si="12"/>
        <v>100</v>
      </c>
      <c r="X40" s="779"/>
      <c r="Y40" s="3162"/>
      <c r="Z40" s="780">
        <f t="shared" si="13"/>
        <v>111</v>
      </c>
      <c r="AA40" s="1814">
        <f t="shared" si="3"/>
        <v>1</v>
      </c>
      <c r="AB40" s="1814">
        <f t="shared" si="4"/>
        <v>1</v>
      </c>
      <c r="AC40" s="1814">
        <f t="shared" si="5"/>
        <v>1</v>
      </c>
    </row>
    <row r="41" spans="1:29" ht="15">
      <c r="A41" s="479" t="s">
        <v>2706</v>
      </c>
      <c r="B41" s="2704" t="s">
        <v>2785</v>
      </c>
      <c r="C41" s="682" t="s">
        <v>1</v>
      </c>
      <c r="D41" s="481"/>
      <c r="E41" s="482"/>
      <c r="F41" s="483"/>
      <c r="G41" s="484"/>
      <c r="H41" s="485"/>
      <c r="I41" s="482"/>
      <c r="J41" s="485"/>
      <c r="K41" s="783"/>
      <c r="L41" s="1146"/>
      <c r="M41" s="1134"/>
      <c r="N41" s="1134"/>
      <c r="O41" s="1147"/>
      <c r="P41" s="3157" t="str">
        <f>A41</f>
        <v>成交单价</v>
      </c>
      <c r="Q41" s="3157"/>
      <c r="R41" s="3163">
        <f>E41</f>
        <v>0</v>
      </c>
      <c r="S41" s="3163"/>
      <c r="T41" s="3163">
        <f>G41</f>
        <v>0</v>
      </c>
      <c r="U41" s="3163"/>
      <c r="V41" s="3163">
        <f>I41</f>
        <v>0</v>
      </c>
      <c r="W41" s="316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6"/>
      <c r="M42" s="1134"/>
      <c r="N42" s="1134"/>
      <c r="O42" s="1147"/>
      <c r="P42" s="3157" t="str">
        <f>A42</f>
        <v>比较价值（元/平方米）</v>
      </c>
      <c r="Q42" s="3157"/>
      <c r="R42" s="3150" t="e">
        <f>ROUND(PRODUCT(R41,AA7:AA40),0)</f>
        <v>#DIV/0!</v>
      </c>
      <c r="S42" s="3150"/>
      <c r="T42" s="3150" t="e">
        <f>ROUND(PRODUCT(T41,AB7:AB40),0)</f>
        <v>#DIV/0!</v>
      </c>
      <c r="U42" s="3150"/>
      <c r="V42" s="3150" t="e">
        <f>ROUND(PRODUCT(V41,AC7:AC40),0)</f>
        <v>#DIV/0!</v>
      </c>
      <c r="W42" s="3150"/>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6"/>
      <c r="M43" s="1134"/>
      <c r="N43" s="1134"/>
      <c r="O43" s="1147"/>
      <c r="P43" s="3151" t="str">
        <f>A43</f>
        <v>估价对象XX用房的比较价值（楼面单价，元/平方米）</v>
      </c>
      <c r="Q43" s="3152"/>
      <c r="R43" s="3153" t="e">
        <f>ROUND(AVERAGE(R42:V42),0)</f>
        <v>#DIV/0!</v>
      </c>
      <c r="S43" s="3153"/>
      <c r="T43" s="3153"/>
      <c r="U43" s="3153"/>
      <c r="V43" s="3153"/>
      <c r="W43" s="31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2743</v>
      </c>
      <c r="B50" s="685" t="s">
        <v>2744</v>
      </c>
      <c r="C50" s="2705" t="s">
        <v>2745</v>
      </c>
      <c r="D50" s="2706" t="s">
        <v>2746</v>
      </c>
      <c r="E50" s="686" t="s">
        <v>2747</v>
      </c>
      <c r="F50" s="687" t="s">
        <v>2748</v>
      </c>
      <c r="G50" s="3154" t="s">
        <v>2749</v>
      </c>
      <c r="H50" s="3155"/>
      <c r="I50" s="1817" t="s">
        <v>2786</v>
      </c>
      <c r="J50" s="1817">
        <f>项目基本情况!F35</f>
        <v>0</v>
      </c>
      <c r="K50" s="2708" t="s">
        <v>2751</v>
      </c>
      <c r="L50" s="1109"/>
      <c r="M50" s="1147"/>
      <c r="N50" s="1147"/>
      <c r="O50" s="1147"/>
    </row>
    <row r="51" spans="1:17" s="692" customFormat="1">
      <c r="A51" s="688" t="s">
        <v>2752</v>
      </c>
      <c r="B51" s="689" t="e">
        <f>C43</f>
        <v>#DIV/0!</v>
      </c>
      <c r="C51" s="690">
        <v>1</v>
      </c>
      <c r="D51" s="1166">
        <v>1</v>
      </c>
      <c r="E51" s="690">
        <f>'数据-汇总表'!E8+'数据-汇总表'!E9</f>
        <v>52468</v>
      </c>
      <c r="F51" s="691" t="e">
        <f t="shared" ref="F51:F60" si="15">ROUND(B51*E51/10000,0)</f>
        <v>#DIV/0!</v>
      </c>
      <c r="G51" s="3156"/>
      <c r="H51" s="3157"/>
      <c r="I51" s="945">
        <v>1</v>
      </c>
      <c r="J51" s="945">
        <v>1</v>
      </c>
      <c r="K51" s="1148"/>
      <c r="L51" s="944"/>
      <c r="M51" s="944"/>
      <c r="N51" s="944"/>
      <c r="O51" s="944"/>
    </row>
    <row r="52" spans="1:17" s="692" customFormat="1">
      <c r="A52" s="693" t="s">
        <v>2753</v>
      </c>
      <c r="B52" s="262" t="e">
        <f>ROUND($C$43*C52*D52,0)</f>
        <v>#DIV/0!</v>
      </c>
      <c r="C52" s="200">
        <f t="shared" ref="C52:C60" si="16">IF($C$50="北京市系数",I52,J52)</f>
        <v>0</v>
      </c>
      <c r="D52" s="1167">
        <v>0.25</v>
      </c>
      <c r="E52" s="694"/>
      <c r="F52" s="691" t="e">
        <f t="shared" si="15"/>
        <v>#DIV/0!</v>
      </c>
      <c r="G52" s="3158" t="s">
        <v>2754</v>
      </c>
      <c r="H52" s="1107">
        <f>项目基本情况!B37</f>
        <v>0</v>
      </c>
      <c r="I52" s="945">
        <f>SUMIF(修正!A45:A56,H52,修正!B45:B56)</f>
        <v>0</v>
      </c>
      <c r="J52" s="946"/>
      <c r="K52" s="1147"/>
      <c r="L52" s="944"/>
      <c r="M52" s="944"/>
      <c r="N52" s="944"/>
      <c r="O52" s="944"/>
    </row>
    <row r="53" spans="1:17" s="692" customFormat="1">
      <c r="A53" s="693" t="s">
        <v>2755</v>
      </c>
      <c r="B53" s="262" t="e">
        <f t="shared" ref="B53:B60" si="17">ROUND($C$43*C53*D53,0)</f>
        <v>#DIV/0!</v>
      </c>
      <c r="C53" s="200">
        <f t="shared" si="16"/>
        <v>0</v>
      </c>
      <c r="D53" s="1167">
        <v>0.25</v>
      </c>
      <c r="E53" s="694"/>
      <c r="F53" s="691" t="e">
        <f t="shared" si="15"/>
        <v>#DIV/0!</v>
      </c>
      <c r="G53" s="3158"/>
      <c r="H53" s="1107">
        <f>项目基本情况!B37</f>
        <v>0</v>
      </c>
      <c r="I53" s="945">
        <f>SUMIF(修正!A45:A56,H53,修正!C45:C56)</f>
        <v>0</v>
      </c>
      <c r="J53" s="946"/>
      <c r="K53" s="1148"/>
      <c r="L53" s="944"/>
      <c r="M53" s="944"/>
      <c r="N53" s="944"/>
      <c r="O53" s="944"/>
    </row>
    <row r="54" spans="1:17" s="692" customFormat="1">
      <c r="A54" s="693" t="s">
        <v>2756</v>
      </c>
      <c r="B54" s="262" t="e">
        <f t="shared" si="17"/>
        <v>#DIV/0!</v>
      </c>
      <c r="C54" s="200">
        <f t="shared" si="16"/>
        <v>0</v>
      </c>
      <c r="D54" s="1167">
        <v>0.25</v>
      </c>
      <c r="E54" s="694"/>
      <c r="F54" s="691" t="e">
        <f t="shared" si="15"/>
        <v>#DIV/0!</v>
      </c>
      <c r="G54" s="3158"/>
      <c r="H54" s="1107">
        <f>项目基本情况!B37</f>
        <v>0</v>
      </c>
      <c r="I54" s="945">
        <f>SUMIF(修正!A45:A56,H54,修正!D45:D56)</f>
        <v>0</v>
      </c>
      <c r="J54" s="946"/>
      <c r="K54" s="1147"/>
      <c r="L54" s="944"/>
      <c r="M54" s="944"/>
      <c r="N54" s="944"/>
      <c r="O54" s="944"/>
    </row>
    <row r="55" spans="1:17" s="692" customFormat="1">
      <c r="A55" s="693" t="s">
        <v>2757</v>
      </c>
      <c r="B55" s="262" t="e">
        <f t="shared" si="17"/>
        <v>#DIV/0!</v>
      </c>
      <c r="C55" s="200">
        <f t="shared" si="16"/>
        <v>0</v>
      </c>
      <c r="D55" s="1167">
        <v>0.25</v>
      </c>
      <c r="E55" s="694"/>
      <c r="F55" s="691" t="e">
        <f t="shared" si="15"/>
        <v>#DIV/0!</v>
      </c>
      <c r="G55" s="3158"/>
      <c r="H55" s="1107">
        <f>项目基本情况!B37</f>
        <v>0</v>
      </c>
      <c r="I55" s="945">
        <f>SUMIF(修正!A45:A56,H55,修正!E45:E56)</f>
        <v>0</v>
      </c>
      <c r="J55" s="946"/>
      <c r="K55" s="1148"/>
      <c r="L55" s="944"/>
      <c r="M55" s="944"/>
      <c r="N55" s="944"/>
      <c r="O55" s="944"/>
    </row>
    <row r="56" spans="1:17" s="692" customFormat="1">
      <c r="A56" s="693" t="s">
        <v>2758</v>
      </c>
      <c r="B56" s="262" t="e">
        <f t="shared" si="17"/>
        <v>#DIV/0!</v>
      </c>
      <c r="C56" s="200">
        <f t="shared" si="16"/>
        <v>0</v>
      </c>
      <c r="D56" s="1167">
        <v>0.25</v>
      </c>
      <c r="E56" s="261">
        <f>'数据-汇总表'!E11</f>
        <v>0</v>
      </c>
      <c r="F56" s="691" t="e">
        <f t="shared" si="15"/>
        <v>#DIV/0!</v>
      </c>
      <c r="G56" s="2709" t="s">
        <v>2759</v>
      </c>
      <c r="H56" s="1107">
        <f>项目基本情况!C37</f>
        <v>0</v>
      </c>
      <c r="I56" s="945">
        <f>SUMIF(修正!A45:A56,H56,修正!F45:F56)</f>
        <v>0</v>
      </c>
      <c r="J56" s="946"/>
      <c r="K56" s="1147"/>
      <c r="L56" s="944"/>
      <c r="M56" s="944"/>
      <c r="N56" s="944"/>
      <c r="O56" s="944"/>
    </row>
    <row r="57" spans="1:17" s="692" customFormat="1">
      <c r="A57" s="693" t="s">
        <v>2760</v>
      </c>
      <c r="B57" s="262" t="e">
        <f t="shared" si="17"/>
        <v>#DIV/0!</v>
      </c>
      <c r="C57" s="200">
        <f t="shared" si="16"/>
        <v>0</v>
      </c>
      <c r="D57" s="1167">
        <v>0.25</v>
      </c>
      <c r="E57" s="261">
        <f>'数据-汇总表'!E12</f>
        <v>0</v>
      </c>
      <c r="F57" s="691" t="e">
        <f t="shared" si="15"/>
        <v>#DIV/0!</v>
      </c>
      <c r="G57" s="1112" t="s">
        <v>2761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2762</v>
      </c>
      <c r="B58" s="262" t="e">
        <f t="shared" si="17"/>
        <v>#DIV/0!</v>
      </c>
      <c r="C58" s="200">
        <f t="shared" si="16"/>
        <v>0.2</v>
      </c>
      <c r="D58" s="1167">
        <v>0.25</v>
      </c>
      <c r="E58" s="261">
        <f>'数据-汇总表'!E13</f>
        <v>17440</v>
      </c>
      <c r="F58" s="691" t="e">
        <f t="shared" si="15"/>
        <v>#DIV/0!</v>
      </c>
      <c r="G58" s="1112" t="s">
        <v>2763</v>
      </c>
      <c r="H58" s="1107" t="str">
        <f>IF(G58="商业",项目基本情况!B37,IF(G58="办公",项目基本情况!C37,IF(G58="住宅",项目基本情况!D37,项目基本情况!E37)))</f>
        <v>七级</v>
      </c>
      <c r="I58" s="945">
        <f>SUMIF(修正!A45:A56,H58,修正!H45:H56)</f>
        <v>0.2</v>
      </c>
      <c r="J58" s="946"/>
      <c r="K58" s="1147"/>
      <c r="L58" s="944"/>
      <c r="M58" s="944"/>
      <c r="N58" s="944"/>
      <c r="O58" s="944"/>
    </row>
    <row r="59" spans="1:17" s="692" customFormat="1">
      <c r="A59" s="693" t="s">
        <v>2764</v>
      </c>
      <c r="B59" s="262" t="e">
        <f t="shared" si="17"/>
        <v>#DIV/0!</v>
      </c>
      <c r="C59" s="200">
        <f t="shared" si="16"/>
        <v>0</v>
      </c>
      <c r="D59" s="1167">
        <v>0.25</v>
      </c>
      <c r="E59" s="261">
        <f>'数据-汇总表'!E14</f>
        <v>0</v>
      </c>
      <c r="F59" s="691" t="e">
        <f t="shared" si="15"/>
        <v>#DIV/0!</v>
      </c>
      <c r="G59" s="2709" t="s">
        <v>2754</v>
      </c>
      <c r="H59" s="1107">
        <f>项目基本情况!B37</f>
        <v>0</v>
      </c>
      <c r="I59" s="945">
        <f>SUMIF(修正!A45:A56,H59,修正!H45:H56)</f>
        <v>0</v>
      </c>
      <c r="J59" s="946"/>
      <c r="K59" s="1148"/>
      <c r="L59" s="944"/>
      <c r="M59" s="944"/>
      <c r="N59" s="944"/>
      <c r="O59" s="944"/>
    </row>
    <row r="60" spans="1:17" s="692" customFormat="1" ht="15" thickBot="1">
      <c r="A60" s="693" t="s">
        <v>2765</v>
      </c>
      <c r="B60" s="262" t="e">
        <f t="shared" si="17"/>
        <v>#DIV/0!</v>
      </c>
      <c r="C60" s="200">
        <f t="shared" si="16"/>
        <v>0</v>
      </c>
      <c r="D60" s="1167">
        <v>0.25</v>
      </c>
      <c r="E60" s="261">
        <f>'数据-汇总表'!E15</f>
        <v>0</v>
      </c>
      <c r="F60" s="691" t="e">
        <f t="shared" si="15"/>
        <v>#DIV/0!</v>
      </c>
      <c r="G60" s="2710" t="s">
        <v>2759</v>
      </c>
      <c r="H60" s="1117">
        <f>项目基本情况!C37</f>
        <v>0</v>
      </c>
      <c r="I60" s="945">
        <f>SUMIF(修正!A45:A56,H60,修正!H45:H56)</f>
        <v>0</v>
      </c>
      <c r="J60" s="946"/>
      <c r="K60" s="1147"/>
      <c r="L60" s="944"/>
      <c r="M60" s="944"/>
      <c r="N60" s="944"/>
      <c r="O60" s="944"/>
    </row>
    <row r="61" spans="1:17" s="692" customFormat="1" ht="15" thickBot="1">
      <c r="A61" s="695" t="s">
        <v>2766</v>
      </c>
      <c r="B61" s="696" t="s">
        <v>28</v>
      </c>
      <c r="C61" s="696" t="s">
        <v>29</v>
      </c>
      <c r="D61" s="696" t="s">
        <v>1029</v>
      </c>
      <c r="E61" s="696">
        <f>IF(B41="楼面地价",SUM(E51:E60),'数据-汇总表'!D3)</f>
        <v>44764.76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2660</v>
      </c>
      <c r="B64" s="759"/>
      <c r="C64" s="764"/>
      <c r="D64" s="764"/>
      <c r="E64" s="764"/>
      <c r="F64" s="765"/>
      <c r="G64" s="765"/>
      <c r="H64" s="764"/>
      <c r="I64" s="764"/>
      <c r="J64" s="764"/>
      <c r="K64" s="766"/>
      <c r="L64" s="767"/>
      <c r="M64" s="764"/>
      <c r="N64" s="764"/>
      <c r="O64" s="1162"/>
      <c r="P64" s="503"/>
      <c r="Q64" s="504"/>
    </row>
    <row r="65" spans="1:17" s="508" customFormat="1" ht="15">
      <c r="A65" s="2711" t="s">
        <v>2767</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6" t="s">
        <v>2787</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2574</v>
      </c>
      <c r="B70" s="528" t="s">
        <v>2540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2770</v>
      </c>
      <c r="C87" s="573" t="s">
        <v>2583</v>
      </c>
      <c r="D87" s="573" t="s">
        <v>2584</v>
      </c>
      <c r="E87" s="573" t="s">
        <v>2585</v>
      </c>
      <c r="F87" s="573" t="s">
        <v>2586</v>
      </c>
      <c r="G87" s="573" t="s">
        <v>2587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2771</v>
      </c>
      <c r="C89" s="573" t="s">
        <v>2583</v>
      </c>
      <c r="D89" s="573" t="s">
        <v>2584</v>
      </c>
      <c r="E89" s="573" t="s">
        <v>2585</v>
      </c>
      <c r="F89" s="573" t="s">
        <v>2586</v>
      </c>
      <c r="G89" s="573" t="s">
        <v>2587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2788</v>
      </c>
      <c r="C93" s="660" t="s">
        <v>2661</v>
      </c>
      <c r="D93" s="660" t="s">
        <v>2662</v>
      </c>
      <c r="E93" s="660" t="s">
        <v>2663</v>
      </c>
      <c r="F93" s="660" t="s">
        <v>2664</v>
      </c>
      <c r="G93" s="660" t="s">
        <v>2665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2549</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2779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2789</v>
      </c>
      <c r="B1" s="241"/>
      <c r="C1" s="245" t="s">
        <v>2790</v>
      </c>
      <c r="D1" s="388">
        <f>SUM(D29:D30,D33:D39)</f>
        <v>0</v>
      </c>
      <c r="E1" s="2717"/>
      <c r="F1" s="2717"/>
      <c r="G1" s="2717"/>
      <c r="H1" s="2717"/>
      <c r="I1" s="2717"/>
      <c r="J1" s="2717"/>
      <c r="K1" s="1373"/>
      <c r="L1" s="2718" t="s">
        <v>2791</v>
      </c>
      <c r="M1" s="1083">
        <f>SUMPRODUCT((区片价!B5:B9=I2)*(区片价!C3:F3=E2)*(区片价!C5:F9))</f>
        <v>0</v>
      </c>
      <c r="N1" s="1086">
        <f>SUMPRODUCT((因素修正幅度!B5:B9=I2)*(因素修正幅度!C3:F3=E2)*(因素修正幅度!C5:F9))</f>
        <v>0</v>
      </c>
      <c r="O1" s="2719"/>
      <c r="P1" s="2719"/>
      <c r="Q1" s="1373"/>
      <c r="R1" s="1605" t="s">
        <v>2792</v>
      </c>
      <c r="S1" s="1605" t="s">
        <v>2793</v>
      </c>
      <c r="T1" s="1605" t="s">
        <v>2794</v>
      </c>
      <c r="U1" s="1605" t="s">
        <v>2795</v>
      </c>
      <c r="V1" s="1605" t="s">
        <v>2796</v>
      </c>
      <c r="W1" s="1609"/>
      <c r="X1" s="1609"/>
      <c r="Y1" s="1609"/>
      <c r="Z1" s="1609"/>
      <c r="AA1" s="1609"/>
      <c r="AB1" s="1609"/>
      <c r="AC1" s="1610"/>
      <c r="AD1" s="1611"/>
      <c r="AE1" s="1611"/>
      <c r="AF1" s="1611"/>
      <c r="AG1" s="1611"/>
      <c r="AH1" s="1611"/>
      <c r="AI1" s="1611"/>
      <c r="AJ1" s="1612"/>
    </row>
    <row r="2" spans="1:36" ht="15.75">
      <c r="A2" s="245" t="s">
        <v>2797</v>
      </c>
      <c r="B2" s="248" t="e">
        <f>C26</f>
        <v>#DIV/0!</v>
      </c>
      <c r="C2" s="2721" t="s">
        <v>2798</v>
      </c>
      <c r="D2" s="2722" t="s">
        <v>2799</v>
      </c>
      <c r="E2" s="2723"/>
      <c r="F2" s="2722" t="s">
        <v>2800</v>
      </c>
      <c r="G2" s="2724">
        <f>IF(E2="商业",项目基本情况!B37,IF(E2="办公",项目基本情况!C37,IF(E2="住宅",项目基本情况!D37,项目基本情况!E37)))</f>
        <v>0</v>
      </c>
      <c r="H2" s="2722" t="s">
        <v>2801</v>
      </c>
      <c r="I2" s="2724">
        <f>IF(E2="商业",项目基本情况!B38,IF(E2="办公",项目基本情况!C38,IF(E2="住宅",项目基本情况!D38,项目基本情况!E38)))</f>
        <v>0</v>
      </c>
      <c r="J2" s="2725"/>
      <c r="K2" s="1373"/>
      <c r="L2" s="2726" t="s">
        <v>2802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2803</v>
      </c>
      <c r="B3" s="248" t="e">
        <f>ROUND(B2*10000/D1,0)</f>
        <v>#DIV/0!</v>
      </c>
      <c r="C3" s="2721" t="s">
        <v>2804</v>
      </c>
      <c r="D3" s="2722" t="s">
        <v>2805</v>
      </c>
      <c r="E3" s="2727"/>
      <c r="F3" s="2728" t="s">
        <v>2806</v>
      </c>
      <c r="G3" s="916">
        <f>IF(F3="宗地容积率",'数据-汇总表'!I4,IF(F3="估价对象容积率",'数据-汇总表'!I6,'数据-汇总表'!I7))</f>
        <v>1.2</v>
      </c>
      <c r="H3" s="198" t="s">
        <v>2807</v>
      </c>
      <c r="I3" s="947"/>
      <c r="J3" s="2725" t="s">
        <v>2808</v>
      </c>
      <c r="K3" s="1373"/>
      <c r="L3" s="2726" t="s">
        <v>2809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7"/>
      <c r="B4" s="3258"/>
      <c r="C4" s="3258"/>
      <c r="D4" s="3259"/>
      <c r="E4" s="3259"/>
      <c r="F4" s="3259"/>
      <c r="G4" s="3259"/>
      <c r="H4" s="3259"/>
      <c r="I4" s="3259"/>
      <c r="J4" s="3260"/>
      <c r="K4" s="1373"/>
      <c r="L4" s="2726" t="s">
        <v>2810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2811</v>
      </c>
      <c r="C5" s="917" t="e">
        <f>ROUND(IF(E2="商业",IF(F16="增加",C6*C7+C16,C6*C7-C16),IF(E2="住宅",IF(F16="增加",C6*C12+C16,C6*C12-C16),IF(F16="增加",C6+C16,C6-C16))),0)</f>
        <v>#DIV/0!</v>
      </c>
      <c r="D5" s="1790">
        <f>ROUND(IF(E2="商业",IF(F16="增加",C6+C16,C6-C16)),0)</f>
        <v>0</v>
      </c>
      <c r="E5" s="2731"/>
      <c r="F5" s="2731"/>
      <c r="G5" s="2732"/>
      <c r="H5" s="2732"/>
      <c r="I5" s="2732"/>
      <c r="J5" s="2733"/>
      <c r="K5" s="2734"/>
      <c r="L5" s="2726" t="s">
        <v>2812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2813</v>
      </c>
      <c r="B6" s="2740" t="s">
        <v>2814</v>
      </c>
      <c r="C6" s="918">
        <f>SUMIF(L1:L12,G2,M1:M12)</f>
        <v>0</v>
      </c>
      <c r="D6" s="2741" t="s">
        <v>2815</v>
      </c>
      <c r="E6" s="2742"/>
      <c r="F6" s="2742"/>
      <c r="G6" s="2743"/>
      <c r="H6" s="2743"/>
      <c r="I6" s="2743"/>
      <c r="J6" s="2744"/>
      <c r="K6" s="1845"/>
      <c r="L6" s="2726" t="s">
        <v>2816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61" t="str">
        <f>IF(E2="商业",IF(C8="不临58条商业街","",2),"")</f>
        <v/>
      </c>
      <c r="B7" s="2745" t="s">
        <v>2817</v>
      </c>
      <c r="C7" s="919" t="e">
        <f>IF(C8="不临58条商业街",1,ROUND(1+(1.6*E8+1.2*E9+0.8*E10+0.4*E11)*C9,4))</f>
        <v>#DIV/0!</v>
      </c>
      <c r="D7" s="2746" t="s">
        <v>2818</v>
      </c>
      <c r="E7" s="948"/>
      <c r="F7" s="2747"/>
      <c r="G7" s="2748"/>
      <c r="H7" s="2748"/>
      <c r="I7" s="2748"/>
      <c r="J7" s="2749"/>
      <c r="K7" s="1845"/>
      <c r="L7" s="2726" t="s">
        <v>2819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2820</v>
      </c>
      <c r="X7" s="1607">
        <f>G2</f>
        <v>0</v>
      </c>
      <c r="Y7" s="1607" t="s">
        <v>2821</v>
      </c>
      <c r="Z7" s="1608">
        <f>G3</f>
        <v>1.2</v>
      </c>
      <c r="AA7" s="1609"/>
      <c r="AB7" s="1609"/>
      <c r="AC7" s="1610"/>
      <c r="AD7" s="1611"/>
      <c r="AE7" s="1611"/>
      <c r="AF7" s="1611"/>
      <c r="AG7" s="1611"/>
      <c r="AH7" s="1611"/>
      <c r="AI7" s="1611"/>
      <c r="AJ7" s="1612"/>
    </row>
    <row r="8" spans="1:36" ht="15">
      <c r="A8" s="3262"/>
      <c r="B8" s="198" t="s">
        <v>2822</v>
      </c>
      <c r="C8" s="2750"/>
      <c r="D8" s="920" t="s">
        <v>139</v>
      </c>
      <c r="E8" s="921" t="e">
        <f>ROUND(C11/E7,4)</f>
        <v>#DIV/0!</v>
      </c>
      <c r="F8" s="2751" t="s">
        <v>2823</v>
      </c>
      <c r="G8" s="2752"/>
      <c r="H8" s="2752"/>
      <c r="I8" s="2752"/>
      <c r="J8" s="2753"/>
      <c r="K8" s="1373"/>
      <c r="L8" s="2726" t="s">
        <v>2824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4" t="s">
        <v>2825</v>
      </c>
      <c r="X8" s="3255"/>
      <c r="Y8" s="1613" t="s">
        <v>2826</v>
      </c>
      <c r="Z8" s="1613" t="s">
        <v>2827</v>
      </c>
      <c r="AA8" s="1613" t="s">
        <v>2828</v>
      </c>
      <c r="AB8" s="1613" t="s">
        <v>2829</v>
      </c>
      <c r="AC8" s="1613" t="s">
        <v>2830</v>
      </c>
      <c r="AD8" s="1613" t="s">
        <v>2831</v>
      </c>
      <c r="AE8" s="1613" t="s">
        <v>2832</v>
      </c>
      <c r="AF8" s="1613" t="s">
        <v>2833</v>
      </c>
      <c r="AG8" s="1613" t="s">
        <v>2834</v>
      </c>
      <c r="AH8" s="1613" t="s">
        <v>2835</v>
      </c>
      <c r="AI8" s="1613" t="s">
        <v>2836</v>
      </c>
      <c r="AJ8" s="1613" t="s">
        <v>2837</v>
      </c>
    </row>
    <row r="9" spans="1:36" ht="15">
      <c r="A9" s="3262"/>
      <c r="B9" s="198" t="s">
        <v>2838</v>
      </c>
      <c r="C9" s="922">
        <f>SUMIF(修正!C59:C119,C8,修正!E59:E119)</f>
        <v>0</v>
      </c>
      <c r="D9" s="200" t="s">
        <v>140</v>
      </c>
      <c r="E9" s="200" t="e">
        <f>ROUND(C11/E7,4)</f>
        <v>#DIV/0!</v>
      </c>
      <c r="F9" s="2751" t="s">
        <v>2839</v>
      </c>
      <c r="G9" s="2752"/>
      <c r="H9" s="2752"/>
      <c r="I9" s="2752"/>
      <c r="J9" s="2753"/>
      <c r="K9" s="1373"/>
      <c r="L9" s="2726" t="s">
        <v>2840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6" t="s">
        <v>2841</v>
      </c>
      <c r="X9" s="1614" t="s">
        <v>2842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2"/>
      <c r="B10" s="198" t="s">
        <v>2843</v>
      </c>
      <c r="C10" s="200">
        <f>SUMIF(修正!C59:C119,C8,修正!F59:F119)</f>
        <v>0</v>
      </c>
      <c r="D10" s="200" t="s">
        <v>141</v>
      </c>
      <c r="E10" s="200" t="e">
        <f>ROUND(C11/E7,4)</f>
        <v>#DIV/0!</v>
      </c>
      <c r="F10" s="2751" t="s">
        <v>2844</v>
      </c>
      <c r="G10" s="2752"/>
      <c r="H10" s="2752"/>
      <c r="I10" s="2752"/>
      <c r="J10" s="2753"/>
      <c r="K10" s="1373"/>
      <c r="L10" s="2726" t="s">
        <v>2845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2"/>
      <c r="B11" s="2754" t="s">
        <v>2846</v>
      </c>
      <c r="C11" s="923">
        <f>C10/4</f>
        <v>0</v>
      </c>
      <c r="D11" s="923" t="s">
        <v>142</v>
      </c>
      <c r="E11" s="923" t="e">
        <f>ROUND(C11/E7,4)</f>
        <v>#DIV/0!</v>
      </c>
      <c r="F11" s="2755" t="s">
        <v>2847</v>
      </c>
      <c r="G11" s="2756"/>
      <c r="H11" s="2756"/>
      <c r="I11" s="2756"/>
      <c r="J11" s="2757"/>
      <c r="K11" s="1373"/>
      <c r="L11" s="2726" t="s">
        <v>2848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6" t="s">
        <v>2849</v>
      </c>
      <c r="X11" s="1617" t="s">
        <v>2850</v>
      </c>
      <c r="Y11" s="1618">
        <f>$G$3</f>
        <v>1.2</v>
      </c>
      <c r="Z11" s="1618">
        <f t="shared" ref="Z11:AJ11" si="3">$G$3</f>
        <v>1.2</v>
      </c>
      <c r="AA11" s="1618">
        <f t="shared" si="3"/>
        <v>1.2</v>
      </c>
      <c r="AB11" s="1618">
        <f t="shared" si="3"/>
        <v>1.2</v>
      </c>
      <c r="AC11" s="1618">
        <f t="shared" si="3"/>
        <v>1.2</v>
      </c>
      <c r="AD11" s="1618">
        <f t="shared" si="3"/>
        <v>1.2</v>
      </c>
      <c r="AE11" s="1618">
        <f t="shared" si="3"/>
        <v>1.2</v>
      </c>
      <c r="AF11" s="1618">
        <f t="shared" si="3"/>
        <v>1.2</v>
      </c>
      <c r="AG11" s="1618">
        <f t="shared" si="3"/>
        <v>1.2</v>
      </c>
      <c r="AH11" s="1618">
        <f t="shared" si="3"/>
        <v>1.2</v>
      </c>
      <c r="AI11" s="1618">
        <f t="shared" si="3"/>
        <v>1.2</v>
      </c>
      <c r="AJ11" s="1618">
        <f t="shared" si="3"/>
        <v>1.2</v>
      </c>
    </row>
    <row r="12" spans="1:36" ht="25.5" thickBot="1">
      <c r="A12" s="3261" t="s">
        <v>2851</v>
      </c>
      <c r="B12" s="2758" t="s">
        <v>2852</v>
      </c>
      <c r="C12" s="919">
        <f>ROUND(C15*D15*E15*F15*G15*H15*I15*J15,4)</f>
        <v>1</v>
      </c>
      <c r="D12" s="2759" t="s">
        <v>2853</v>
      </c>
      <c r="E12" s="2760"/>
      <c r="F12" s="2760"/>
      <c r="G12" s="2761"/>
      <c r="H12" s="2761"/>
      <c r="I12" s="2761"/>
      <c r="J12" s="2762"/>
      <c r="K12" s="1373"/>
      <c r="L12" s="2763" t="s">
        <v>2854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6"/>
      <c r="X12" s="1619" t="s">
        <v>2855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3"/>
      <c r="B13" s="2764" t="s">
        <v>2856</v>
      </c>
      <c r="C13" s="2765" t="s">
        <v>2857</v>
      </c>
      <c r="D13" s="1811" t="s">
        <v>2858</v>
      </c>
      <c r="E13" s="1811" t="s">
        <v>2859</v>
      </c>
      <c r="F13" s="30" t="s">
        <v>2860</v>
      </c>
      <c r="G13" s="2766" t="s">
        <v>2861</v>
      </c>
      <c r="H13" s="2766" t="s">
        <v>2861</v>
      </c>
      <c r="I13" s="2766" t="s">
        <v>2861</v>
      </c>
      <c r="J13" s="2767" t="s">
        <v>2861</v>
      </c>
      <c r="K13" s="1373"/>
      <c r="L13" s="1373"/>
      <c r="M13" s="1373"/>
      <c r="N13" s="1373"/>
      <c r="O13" s="1373"/>
      <c r="P13" s="1373"/>
      <c r="Q13" s="1373"/>
      <c r="R13" s="1605">
        <v>12</v>
      </c>
      <c r="S13" s="1606"/>
      <c r="T13" s="1605" t="e">
        <f t="shared" si="0"/>
        <v>#DIV/0!</v>
      </c>
      <c r="U13" s="1606"/>
      <c r="V13" s="1605" t="e">
        <f t="shared" si="1"/>
        <v>#DIV/0!</v>
      </c>
      <c r="W13" s="3256"/>
      <c r="X13" s="1619"/>
      <c r="Y13" s="1616">
        <f>(-0.163*(Y12^2)-0.59*Y12+7617)*(10^(-4))/Y11</f>
        <v>0.63475000000000004</v>
      </c>
      <c r="Z13" s="1616">
        <f t="shared" ref="Z13:AJ13" si="5">(-0.163*(Z12^2)-0.59*Z12+7617)*(10^(-4))/Z11</f>
        <v>0.63475000000000004</v>
      </c>
      <c r="AA13" s="1616">
        <f t="shared" si="5"/>
        <v>0.63475000000000004</v>
      </c>
      <c r="AB13" s="1616">
        <f t="shared" si="5"/>
        <v>0.63475000000000004</v>
      </c>
      <c r="AC13" s="1616">
        <f t="shared" si="5"/>
        <v>0.63475000000000004</v>
      </c>
      <c r="AD13" s="1616">
        <f t="shared" si="5"/>
        <v>0.63475000000000004</v>
      </c>
      <c r="AE13" s="1616">
        <f t="shared" si="5"/>
        <v>0.63475000000000004</v>
      </c>
      <c r="AF13" s="1616">
        <f t="shared" si="5"/>
        <v>0.63475000000000004</v>
      </c>
      <c r="AG13" s="1616">
        <f t="shared" si="5"/>
        <v>0.63475000000000004</v>
      </c>
      <c r="AH13" s="1616">
        <f t="shared" si="5"/>
        <v>0.63475000000000004</v>
      </c>
      <c r="AI13" s="1616">
        <f t="shared" si="5"/>
        <v>0.63475000000000004</v>
      </c>
      <c r="AJ13" s="1616">
        <f t="shared" si="5"/>
        <v>0.63475000000000004</v>
      </c>
    </row>
    <row r="14" spans="1:36" ht="15">
      <c r="A14" s="3263"/>
      <c r="B14" s="2768"/>
      <c r="C14" s="2769"/>
      <c r="D14" s="2770"/>
      <c r="E14" s="2770"/>
      <c r="F14" s="2771"/>
      <c r="G14" s="2772" t="s">
        <v>2862</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4"/>
      <c r="B15" s="2776" t="s">
        <v>2863</v>
      </c>
      <c r="C15" s="229">
        <f>IF(C14="有",1.1,1)</f>
        <v>1</v>
      </c>
      <c r="D15" s="229">
        <f>IF(D14="有",1.1,1)</f>
        <v>1</v>
      </c>
      <c r="E15" s="229">
        <f>IF(E14="有",1.1,1)</f>
        <v>1</v>
      </c>
      <c r="F15" s="229">
        <f>IF(F14="500米范围内",1.2,IF(F14="500-1000米",1.1,1))</f>
        <v>1</v>
      </c>
      <c r="G15" s="949">
        <v>1</v>
      </c>
      <c r="H15" s="949">
        <v>1</v>
      </c>
      <c r="I15" s="949">
        <v>1</v>
      </c>
      <c r="J15" s="950">
        <v>1</v>
      </c>
      <c r="K15" s="1373"/>
      <c r="L15" s="2777" t="s">
        <v>2799</v>
      </c>
      <c r="M15" s="920" t="s">
        <v>2864</v>
      </c>
      <c r="N15" s="920" t="s">
        <v>2865</v>
      </c>
      <c r="O15" s="920" t="s">
        <v>2866</v>
      </c>
      <c r="P15" s="2778" t="s">
        <v>2867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1" t="s">
        <v>2868</v>
      </c>
      <c r="B16" s="2745" t="s">
        <v>2869</v>
      </c>
      <c r="C16" s="1804" t="e">
        <f>ROUND(SUM(G17:J17)/C17,0)</f>
        <v>#DIV/0!</v>
      </c>
      <c r="D16" s="2779" t="s">
        <v>2870</v>
      </c>
      <c r="E16" s="2780"/>
      <c r="F16" s="2781"/>
      <c r="G16" s="2782"/>
      <c r="H16" s="2782"/>
      <c r="I16" s="2782"/>
      <c r="J16" s="2783"/>
      <c r="K16" s="1373"/>
      <c r="L16" s="2784" t="s">
        <v>2871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2"/>
      <c r="B17" s="2785" t="s">
        <v>2872</v>
      </c>
      <c r="C17" s="924">
        <f>SUMPRODUCT((修正!A2:A5=E2)*(修正!B1:M1=G2)*(修正!B2:M5))</f>
        <v>0</v>
      </c>
      <c r="D17" s="2786" t="s">
        <v>2873</v>
      </c>
      <c r="E17" s="923" t="str">
        <f>IF(OR(G2="八级",G2="九级",G2="十级",G2="十一级",G2="十二级"),"五通一平","七通一平")</f>
        <v>七通一平</v>
      </c>
      <c r="F17" s="924" t="s">
        <v>2874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2875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2876</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2877</v>
      </c>
      <c r="C19" s="927" t="e">
        <f>ROUND(IF(H19="按公示增长率计算",SUMPRODUCT((地价!A3:A23=YEAR(G19)&amp;"-"&amp;ROUNDUP(MONTH(G19)/3,0))*(地价!X2:AB2=E2)*(地价!X3:AB23)),IF(H19="地价指数",M20/M19,(1+I19)^O19)),4)</f>
        <v>#DIV/0!</v>
      </c>
      <c r="D19" s="2797" t="s">
        <v>2878</v>
      </c>
      <c r="E19" s="928">
        <v>41640</v>
      </c>
      <c r="F19" s="2797" t="s">
        <v>2879</v>
      </c>
      <c r="G19" s="929">
        <f>'数据-取费表'!B2</f>
        <v>43381</v>
      </c>
      <c r="H19" s="2798" t="s">
        <v>2880</v>
      </c>
      <c r="I19" s="930" t="str">
        <f>IF(H19="季度增幅（自定义）",SUMIF(N21:N24,E2,O21:O24),"")</f>
        <v/>
      </c>
      <c r="J19" s="2795"/>
      <c r="K19" s="1380"/>
      <c r="L19" s="2799" t="s">
        <v>2881</v>
      </c>
      <c r="M19" s="1737">
        <f>ROUND(SUMIF(地价!B2:F2,E2,地价!B23:F23),0)</f>
        <v>0</v>
      </c>
      <c r="N19" s="2800" t="s">
        <v>2882</v>
      </c>
      <c r="O19" s="931">
        <f>ROUNDDOWN(DATEDIF(E19,G19,"M")/3,0)</f>
        <v>19</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2883</v>
      </c>
      <c r="C20" s="932" t="e">
        <f>ROUND(POWER(1+G20,J20-I20)*(POWER(1+G20,I20)-1)/(POWER(1+G20,J20)-1),4)</f>
        <v>#DIV/0!</v>
      </c>
      <c r="D20" s="2806" t="s">
        <v>2884</v>
      </c>
      <c r="E20" s="1771">
        <f ca="1">存贷款利率!D4/100</f>
        <v>4.3499999999999997E-2</v>
      </c>
      <c r="F20" s="2806" t="s">
        <v>2875</v>
      </c>
      <c r="G20" s="937">
        <f>SUMIF(M15:P15,E2,M17:P17)</f>
        <v>0</v>
      </c>
      <c r="H20" s="2806" t="s">
        <v>2885</v>
      </c>
      <c r="I20" s="938" t="e">
        <f>SUMIF('数据-取费表'!C6:C15,E2,'数据-取费表'!F6:F15)/COUNTIF('数据-取费表'!C6:C15,E2)</f>
        <v>#DIV/0!</v>
      </c>
      <c r="J20" s="939">
        <f>IF(E2="住宅",70,IF(E2="商业",40,50))</f>
        <v>50</v>
      </c>
      <c r="K20" s="1380"/>
      <c r="L20" s="2807" t="s">
        <v>2886</v>
      </c>
      <c r="M20" s="1738">
        <f>ROUND(SUMPRODUCT((地价!A4:A23=YEAR(G19)&amp;"-"&amp;ROUNDUP(MONTH(G19)/3,0))*(地价!B2:F2=E2)*(地价!B4:F23)),0)</f>
        <v>0</v>
      </c>
      <c r="N20" s="2808" t="s">
        <v>2887</v>
      </c>
      <c r="O20" s="2809" t="s">
        <v>2888</v>
      </c>
      <c r="P20" s="2810" t="s">
        <v>2889</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2890</v>
      </c>
      <c r="C21" s="940">
        <f>IF(B21="容积率修正",IF(G3&lt;=10,D22,J22),C23)</f>
        <v>0</v>
      </c>
      <c r="D21" s="2813"/>
      <c r="E21" s="2813"/>
      <c r="F21" s="2813"/>
      <c r="G21" s="2813"/>
      <c r="H21" s="2813"/>
      <c r="I21" s="2813"/>
      <c r="J21" s="2814"/>
      <c r="K21" s="1380"/>
      <c r="N21" s="2815" t="s">
        <v>2891</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38" customFormat="1" ht="14.25">
      <c r="A22" s="2664" t="s">
        <v>2892</v>
      </c>
      <c r="B22" s="2816" t="s">
        <v>2893</v>
      </c>
      <c r="C22" s="1813" t="s">
        <v>2894</v>
      </c>
      <c r="D22" s="1813" t="b">
        <f>IF(E22=G22,F22,IF(G3&lt;=10,ROUND(F22+(H22-F22)*(G3-E22)/(G22-E22),4),"——"))</f>
        <v>0</v>
      </c>
      <c r="E22" s="916">
        <f>ROUNDDOWN(G3,1)</f>
        <v>1.2</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5" t="s">
        <v>2895</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4" t="s">
        <v>2896</v>
      </c>
      <c r="B23" s="2817" t="s">
        <v>2897</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2898</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2899</v>
      </c>
      <c r="C24" s="927">
        <f>SUMIF(A45:A88,E2,B45:B88)</f>
        <v>0</v>
      </c>
      <c r="D24" s="2793"/>
      <c r="E24" s="2823"/>
      <c r="F24" s="2823"/>
      <c r="G24" s="2823"/>
      <c r="H24" s="2823"/>
      <c r="I24" s="2823"/>
      <c r="J24" s="2824"/>
      <c r="K24" s="1380"/>
      <c r="N24" s="2825" t="s">
        <v>2900</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2901</v>
      </c>
      <c r="C25" s="933"/>
      <c r="D25" s="2748"/>
      <c r="E25" s="2748"/>
      <c r="F25" s="2827"/>
      <c r="G25" s="2748"/>
      <c r="H25" s="2748"/>
      <c r="I25" s="2748"/>
      <c r="J25" s="2749"/>
      <c r="K25" s="1373"/>
      <c r="N25" s="2828" t="s">
        <v>2902</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29"/>
      <c r="B26" s="2816" t="s">
        <v>2903</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2904</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2905</v>
      </c>
      <c r="C28" s="2840" t="s">
        <v>2906</v>
      </c>
      <c r="D28" s="2840" t="s">
        <v>2907</v>
      </c>
      <c r="E28" s="2841" t="s">
        <v>2908</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2909</v>
      </c>
      <c r="C29" s="206" t="e">
        <f>ROUND(C5*C18*C19*C20*C21*C24,0)</f>
        <v>#DIV/0!</v>
      </c>
      <c r="D29" s="2845"/>
      <c r="E29" s="945" t="e">
        <f>ROUND(C29*D29/10000,0)</f>
        <v>#DIV/0!</v>
      </c>
      <c r="F29" s="2846" t="s">
        <v>2910</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2911</v>
      </c>
      <c r="C30" s="229" t="e">
        <f>ROUND(IF(E2="工业",C29*M39,C29*M38),0)</f>
        <v>#DIV/0!</v>
      </c>
      <c r="D30" s="2851"/>
      <c r="E30" s="945" t="e">
        <f>ROUND(C30*D30/10000,0)</f>
        <v>#DIV/0!</v>
      </c>
      <c r="F30" s="2852" t="s">
        <v>2912</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2913</v>
      </c>
      <c r="C31" s="2857" t="s">
        <v>2914</v>
      </c>
      <c r="D31" s="2761"/>
      <c r="E31" s="2857"/>
      <c r="F31" s="2857"/>
      <c r="G31" s="2759" t="s">
        <v>2915</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2906</v>
      </c>
      <c r="D32" s="498" t="s">
        <v>2907</v>
      </c>
      <c r="E32" s="498" t="s">
        <v>2908</v>
      </c>
      <c r="F32" s="388" t="s">
        <v>2916</v>
      </c>
      <c r="G32" s="2860" t="s">
        <v>2906</v>
      </c>
      <c r="H32" s="2860" t="s">
        <v>2907</v>
      </c>
      <c r="I32" s="2860" t="s">
        <v>2908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71" t="s">
        <v>2917</v>
      </c>
      <c r="B33" s="2861" t="s">
        <v>2918</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2"/>
      <c r="B34" s="2765" t="s">
        <v>2919</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2"/>
      <c r="B35" s="2765" t="s">
        <v>2920</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73"/>
      <c r="B36" s="2765" t="s">
        <v>2921</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2922</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2923</v>
      </c>
      <c r="M37" s="2865"/>
      <c r="N37" s="1373"/>
      <c r="O37" s="1373"/>
      <c r="P37" s="1373"/>
      <c r="Q37" s="1373"/>
      <c r="R37" s="1373"/>
      <c r="S37" s="1373"/>
      <c r="T37" s="1373"/>
      <c r="U37" s="1373"/>
      <c r="V37" s="1373"/>
      <c r="W37" s="1373"/>
      <c r="X37" s="1373"/>
      <c r="Y37" s="1373"/>
      <c r="Z37" s="1374"/>
    </row>
    <row r="38" spans="1:37">
      <c r="A38" s="2863"/>
      <c r="B38" s="2765" t="s">
        <v>2924</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90" t="s">
        <v>2925</v>
      </c>
      <c r="M38" s="2866">
        <v>0.25</v>
      </c>
      <c r="N38" s="1373"/>
      <c r="O38" s="1373"/>
      <c r="P38" s="1373"/>
      <c r="Q38" s="1373"/>
      <c r="R38" s="1373"/>
      <c r="S38" s="1373"/>
      <c r="T38" s="1373"/>
      <c r="U38" s="1373"/>
      <c r="V38" s="1373"/>
      <c r="W38" s="1373"/>
      <c r="X38" s="1373"/>
      <c r="Y38" s="1373"/>
      <c r="Z38" s="1374"/>
    </row>
    <row r="39" spans="1:37" ht="13.5" thickBot="1">
      <c r="A39" s="2849"/>
      <c r="B39" s="2867" t="s">
        <v>2926</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2867</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2927</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2928</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2929</v>
      </c>
      <c r="B47" s="1812" t="s">
        <v>2930</v>
      </c>
      <c r="C47" s="1812" t="s">
        <v>2931</v>
      </c>
      <c r="D47" s="1812" t="s">
        <v>2932</v>
      </c>
      <c r="E47" s="819" t="s">
        <v>2933</v>
      </c>
      <c r="F47" s="2879" t="s">
        <v>2934</v>
      </c>
      <c r="G47" s="1812" t="s">
        <v>754</v>
      </c>
      <c r="H47" s="2880" t="s">
        <v>2935</v>
      </c>
      <c r="I47" s="1812" t="s">
        <v>2936</v>
      </c>
      <c r="J47" s="603" t="s">
        <v>2583</v>
      </c>
      <c r="K47" s="603" t="s">
        <v>2584</v>
      </c>
      <c r="L47" s="603" t="s">
        <v>2585</v>
      </c>
      <c r="M47" s="603" t="s">
        <v>2586</v>
      </c>
      <c r="N47" s="603" t="s">
        <v>2587</v>
      </c>
      <c r="AA47" s="1374"/>
      <c r="AB47" s="1374"/>
      <c r="AC47" s="1374"/>
      <c r="AD47" s="1374"/>
      <c r="AE47" s="1374"/>
      <c r="AF47" s="1374"/>
      <c r="AG47" s="1374"/>
      <c r="AH47" s="1374"/>
      <c r="AI47" s="1374"/>
      <c r="AJ47" s="1374"/>
      <c r="AK47" s="1374"/>
    </row>
    <row r="48" spans="1:37" s="1373" customFormat="1" ht="24.75">
      <c r="A48" s="2878" t="s">
        <v>2937</v>
      </c>
      <c r="B48" s="2881">
        <f>估价对象房地状况!C4</f>
        <v>0</v>
      </c>
      <c r="C48" s="2770"/>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8" t="s">
        <v>2938</v>
      </c>
      <c r="B49" s="2882" t="str">
        <f>估价对象房地状况!C18</f>
        <v>一般</v>
      </c>
      <c r="C49" s="2770"/>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2939</v>
      </c>
      <c r="B50" s="2882" t="str">
        <f>估价对象房地状况!C19</f>
        <v>较好</v>
      </c>
      <c r="C50" s="2770"/>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2940</v>
      </c>
      <c r="B51" s="2883" t="s">
        <v>2941</v>
      </c>
      <c r="C51" s="2770"/>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2942</v>
      </c>
      <c r="B52" s="2882">
        <f>估价对象房地状况!C24</f>
        <v>0</v>
      </c>
      <c r="C52" s="2770"/>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2943</v>
      </c>
      <c r="B53" s="2884" t="s">
        <v>2944</v>
      </c>
      <c r="C53" s="2770"/>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5" t="s">
        <v>2945</v>
      </c>
      <c r="B54" s="1728" t="str">
        <f>估价对象房地状况!C21</f>
        <v>较好</v>
      </c>
      <c r="C54" s="2770"/>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5" t="s">
        <v>2946</v>
      </c>
      <c r="B55" s="2882" t="str">
        <f>估价对象房地状况!C22</f>
        <v>七通</v>
      </c>
      <c r="C55" s="2770"/>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6" t="s">
        <v>2947</v>
      </c>
      <c r="B56" s="2887" t="str">
        <f>估价对象房地状况!C20</f>
        <v>较好</v>
      </c>
      <c r="C56" s="2770"/>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2948</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2929</v>
      </c>
      <c r="B58" s="1812"/>
      <c r="C58" s="1812" t="s">
        <v>2931</v>
      </c>
      <c r="D58" s="1812" t="s">
        <v>2932</v>
      </c>
      <c r="E58" s="819" t="s">
        <v>2933</v>
      </c>
      <c r="F58" s="2879" t="s">
        <v>2949</v>
      </c>
      <c r="G58" s="1812" t="s">
        <v>754</v>
      </c>
      <c r="H58" s="2880" t="s">
        <v>2935</v>
      </c>
      <c r="I58" s="1812" t="s">
        <v>2936</v>
      </c>
      <c r="J58" s="603" t="s">
        <v>2583</v>
      </c>
      <c r="K58" s="603" t="s">
        <v>2584</v>
      </c>
      <c r="L58" s="603" t="s">
        <v>2585</v>
      </c>
      <c r="M58" s="603" t="s">
        <v>2586</v>
      </c>
      <c r="N58" s="603" t="s">
        <v>2587</v>
      </c>
      <c r="AA58" s="1374"/>
      <c r="AB58" s="1374"/>
      <c r="AC58" s="1374"/>
      <c r="AD58" s="1374"/>
      <c r="AE58" s="1374"/>
      <c r="AF58" s="1374"/>
      <c r="AG58" s="1374"/>
      <c r="AH58" s="1374"/>
      <c r="AI58" s="1374"/>
      <c r="AJ58" s="1374"/>
      <c r="AK58" s="1374"/>
    </row>
    <row r="59" spans="1:37" s="1373" customFormat="1" ht="24">
      <c r="A59" s="2878" t="s">
        <v>2950</v>
      </c>
      <c r="B59" s="2881">
        <f>估价对象房地状况!C17</f>
        <v>0</v>
      </c>
      <c r="C59" s="2770"/>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8" t="s">
        <v>2938</v>
      </c>
      <c r="B60" s="2882" t="str">
        <f>估价对象房地状况!C18</f>
        <v>一般</v>
      </c>
      <c r="C60" s="2770"/>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2939</v>
      </c>
      <c r="B61" s="2882" t="str">
        <f>估价对象房地状况!C19</f>
        <v>较好</v>
      </c>
      <c r="C61" s="2770"/>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2940</v>
      </c>
      <c r="B62" s="2883" t="s">
        <v>2941</v>
      </c>
      <c r="C62" s="2770"/>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2942</v>
      </c>
      <c r="B63" s="2882">
        <f>估价对象房地状况!C24</f>
        <v>0</v>
      </c>
      <c r="C63" s="2770"/>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2943</v>
      </c>
      <c r="B64" s="2884" t="s">
        <v>2944</v>
      </c>
      <c r="C64" s="2770"/>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8" t="s">
        <v>2945</v>
      </c>
      <c r="B65" s="1728" t="str">
        <f>估价对象房地状况!C21</f>
        <v>较好</v>
      </c>
      <c r="C65" s="2770"/>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2946</v>
      </c>
      <c r="B66" s="1728" t="str">
        <f>估价对象房地状况!C22</f>
        <v>七通</v>
      </c>
      <c r="C66" s="2770"/>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6" t="s">
        <v>2947</v>
      </c>
      <c r="B67" s="2888" t="str">
        <f>估价对象房地状况!C20</f>
        <v>较好</v>
      </c>
      <c r="C67" s="2770"/>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2951</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2929</v>
      </c>
      <c r="B69" s="1812"/>
      <c r="C69" s="1812" t="s">
        <v>2931</v>
      </c>
      <c r="D69" s="1812" t="s">
        <v>2932</v>
      </c>
      <c r="E69" s="819" t="s">
        <v>2933</v>
      </c>
      <c r="F69" s="2879" t="s">
        <v>2949</v>
      </c>
      <c r="G69" s="1812" t="s">
        <v>754</v>
      </c>
      <c r="H69" s="2880" t="s">
        <v>2935</v>
      </c>
      <c r="I69" s="1812" t="s">
        <v>2936</v>
      </c>
      <c r="J69" s="603" t="s">
        <v>2583</v>
      </c>
      <c r="K69" s="603" t="s">
        <v>2584</v>
      </c>
      <c r="L69" s="603" t="s">
        <v>2585</v>
      </c>
      <c r="M69" s="603" t="s">
        <v>2586</v>
      </c>
      <c r="N69" s="603" t="s">
        <v>2587</v>
      </c>
      <c r="AA69" s="1374"/>
      <c r="AB69" s="1374"/>
      <c r="AC69" s="1374"/>
      <c r="AD69" s="1374"/>
      <c r="AE69" s="1374"/>
      <c r="AF69" s="1374"/>
      <c r="AG69" s="1374"/>
      <c r="AH69" s="1374"/>
      <c r="AI69" s="1374"/>
      <c r="AJ69" s="1374"/>
      <c r="AK69" s="1374"/>
    </row>
    <row r="70" spans="1:37" s="1373" customFormat="1" ht="24">
      <c r="A70" s="2878" t="s">
        <v>2952</v>
      </c>
      <c r="B70" s="2881" t="str">
        <f>估价对象房地状况!C15</f>
        <v>较好</v>
      </c>
      <c r="C70" s="2770"/>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8" t="s">
        <v>2938</v>
      </c>
      <c r="B71" s="2882" t="str">
        <f>估价对象房地状况!C18</f>
        <v>一般</v>
      </c>
      <c r="C71" s="2770"/>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2939</v>
      </c>
      <c r="B72" s="2882" t="str">
        <f>估价对象房地状况!C19</f>
        <v>较好</v>
      </c>
      <c r="C72" s="2770"/>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2953</v>
      </c>
      <c r="B73" s="2882">
        <f>估价对象房地状况!C24</f>
        <v>0</v>
      </c>
      <c r="C73" s="2770"/>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8" t="s">
        <v>2945</v>
      </c>
      <c r="B74" s="1728" t="str">
        <f>估价对象房地状况!C21</f>
        <v>较好</v>
      </c>
      <c r="C74" s="2770"/>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2946</v>
      </c>
      <c r="B75" s="1728" t="str">
        <f>估价对象房地状况!C22</f>
        <v>七通</v>
      </c>
      <c r="C75" s="2770"/>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2943</v>
      </c>
      <c r="B76" s="2884" t="s">
        <v>2944</v>
      </c>
      <c r="C76" s="2770"/>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c r="A77" s="2878" t="s">
        <v>2947</v>
      </c>
      <c r="B77" s="2881" t="str">
        <f>估价对象房地状况!C20</f>
        <v>较好</v>
      </c>
      <c r="C77" s="2770"/>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2954</v>
      </c>
      <c r="B78" s="2890"/>
      <c r="C78" s="2770"/>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2955</v>
      </c>
      <c r="B79" s="2875">
        <f>1+E81</f>
        <v>1</v>
      </c>
      <c r="C79" s="814"/>
      <c r="D79" s="814"/>
      <c r="E79" s="815"/>
      <c r="F79" s="2877"/>
      <c r="G79" s="6"/>
      <c r="H79" s="6"/>
      <c r="I79" s="6"/>
      <c r="J79" s="7"/>
      <c r="K79" s="7"/>
      <c r="L79" s="7"/>
      <c r="M79" s="7"/>
      <c r="N79" s="7"/>
      <c r="Z79" s="2720"/>
      <c r="AA79" s="2796"/>
      <c r="AG79" s="1375"/>
      <c r="AK79" s="2796"/>
    </row>
    <row r="80" spans="1:37" ht="24.75">
      <c r="A80" s="2878" t="s">
        <v>2929</v>
      </c>
      <c r="B80" s="1812"/>
      <c r="C80" s="1812" t="s">
        <v>2931</v>
      </c>
      <c r="D80" s="1812" t="s">
        <v>2932</v>
      </c>
      <c r="E80" s="819" t="s">
        <v>2933</v>
      </c>
      <c r="F80" s="2879" t="s">
        <v>2949</v>
      </c>
      <c r="G80" s="1812" t="s">
        <v>754</v>
      </c>
      <c r="H80" s="2880" t="s">
        <v>2935</v>
      </c>
      <c r="I80" s="1812" t="s">
        <v>2936</v>
      </c>
      <c r="J80" s="603" t="s">
        <v>2583</v>
      </c>
      <c r="K80" s="603" t="s">
        <v>2584</v>
      </c>
      <c r="L80" s="603" t="s">
        <v>2585</v>
      </c>
      <c r="M80" s="603" t="s">
        <v>2586</v>
      </c>
      <c r="N80" s="603" t="s">
        <v>2587</v>
      </c>
      <c r="Z80" s="2720"/>
      <c r="AA80" s="2796"/>
      <c r="AG80" s="1375"/>
      <c r="AK80" s="2796"/>
    </row>
    <row r="81" spans="1:37" ht="24">
      <c r="A81" s="2878" t="s">
        <v>2956</v>
      </c>
      <c r="B81" s="2882">
        <f>估价对象房地状况!G15</f>
        <v>0</v>
      </c>
      <c r="C81" s="2770"/>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2938</v>
      </c>
      <c r="B82" s="2882">
        <f>估价对象房地状况!G16</f>
        <v>0</v>
      </c>
      <c r="C82" s="2770"/>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2939</v>
      </c>
      <c r="B83" s="2882">
        <f>估价对象房地状况!G17</f>
        <v>0</v>
      </c>
      <c r="C83" s="2770"/>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2953</v>
      </c>
      <c r="B84" s="2882">
        <f>估价对象房地状况!G22</f>
        <v>0</v>
      </c>
      <c r="C84" s="2770"/>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2945</v>
      </c>
      <c r="B85" s="1728">
        <f>估价对象房地状况!G19</f>
        <v>0</v>
      </c>
      <c r="C85" s="2770"/>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2946</v>
      </c>
      <c r="B86" s="1728">
        <f>估价对象房地状况!G20</f>
        <v>0</v>
      </c>
      <c r="C86" s="2770"/>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2943</v>
      </c>
      <c r="B87" s="2884" t="s">
        <v>2957</v>
      </c>
      <c r="C87" s="2770"/>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2958</v>
      </c>
      <c r="B88" s="2891">
        <f>估价对象房地状况!G18</f>
        <v>0</v>
      </c>
      <c r="C88" s="2770"/>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65" t="s">
        <v>2959</v>
      </c>
      <c r="B90" s="3265"/>
      <c r="C90" s="3265"/>
      <c r="D90" s="3265"/>
      <c r="E90" s="3265"/>
      <c r="F90" s="3265"/>
      <c r="G90" s="3265"/>
      <c r="H90" s="3265"/>
      <c r="I90" s="3265"/>
      <c r="J90" s="3265"/>
      <c r="K90" s="2892"/>
      <c r="L90" s="2892"/>
      <c r="M90" s="2892"/>
      <c r="N90" s="2892"/>
    </row>
    <row r="91" spans="1:37">
      <c r="A91" s="3267" t="s">
        <v>2960</v>
      </c>
      <c r="B91" s="3267" t="s">
        <v>2961</v>
      </c>
      <c r="C91" s="2846" t="s">
        <v>2962</v>
      </c>
      <c r="D91" s="2847"/>
      <c r="E91" s="2847"/>
      <c r="F91" s="2847"/>
      <c r="G91" s="2847"/>
      <c r="H91" s="2847"/>
      <c r="I91" s="2847"/>
      <c r="J91" s="2893"/>
      <c r="K91" s="2894"/>
      <c r="L91" s="2894"/>
      <c r="M91" s="2894"/>
      <c r="N91" s="2894"/>
    </row>
    <row r="92" spans="1:37">
      <c r="A92" s="3267"/>
      <c r="B92" s="3267"/>
      <c r="C92" s="945" t="s">
        <v>2826</v>
      </c>
      <c r="D92" s="945" t="s">
        <v>2827</v>
      </c>
      <c r="E92" s="945" t="s">
        <v>2828</v>
      </c>
      <c r="F92" s="945" t="s">
        <v>2829</v>
      </c>
      <c r="G92" s="945" t="s">
        <v>2830</v>
      </c>
      <c r="H92" s="945" t="s">
        <v>2831</v>
      </c>
      <c r="I92" s="945" t="s">
        <v>2832</v>
      </c>
      <c r="J92" s="945" t="s">
        <v>2833</v>
      </c>
      <c r="K92" s="945" t="s">
        <v>2834</v>
      </c>
      <c r="L92" s="945" t="s">
        <v>2835</v>
      </c>
      <c r="M92" s="945" t="s">
        <v>2836</v>
      </c>
      <c r="N92" s="945" t="s">
        <v>2837</v>
      </c>
    </row>
    <row r="93" spans="1:37">
      <c r="A93" s="3268" t="s">
        <v>2963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9"/>
      <c r="B99" s="2895" t="s">
        <v>2842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8" t="s">
        <v>2964</v>
      </c>
      <c r="B101" s="2899" t="s">
        <v>2965</v>
      </c>
      <c r="C101" s="2900">
        <f>$G$3</f>
        <v>1.2</v>
      </c>
      <c r="D101" s="2900">
        <f t="shared" ref="D101:N101" si="31">$G$3</f>
        <v>1.2</v>
      </c>
      <c r="E101" s="2900">
        <f t="shared" si="31"/>
        <v>1.2</v>
      </c>
      <c r="F101" s="2900">
        <f t="shared" si="31"/>
        <v>1.2</v>
      </c>
      <c r="G101" s="2900">
        <f t="shared" si="31"/>
        <v>1.2</v>
      </c>
      <c r="H101" s="2900">
        <f t="shared" si="31"/>
        <v>1.2</v>
      </c>
      <c r="I101" s="2900">
        <f t="shared" si="31"/>
        <v>1.2</v>
      </c>
      <c r="J101" s="2900">
        <f t="shared" si="31"/>
        <v>1.2</v>
      </c>
      <c r="K101" s="2900">
        <f t="shared" si="31"/>
        <v>1.2</v>
      </c>
      <c r="L101" s="2900">
        <f t="shared" si="31"/>
        <v>1.2</v>
      </c>
      <c r="M101" s="2900">
        <f t="shared" si="31"/>
        <v>1.2</v>
      </c>
      <c r="N101" s="2900">
        <f t="shared" si="31"/>
        <v>1.2</v>
      </c>
    </row>
    <row r="102" spans="1:14">
      <c r="A102" s="3269"/>
      <c r="B102" s="2895">
        <v>1</v>
      </c>
      <c r="C102" s="2896">
        <f>1.9362/C101</f>
        <v>1.6134999999999999</v>
      </c>
      <c r="D102" s="2896">
        <f>1.9362/D101</f>
        <v>1.6134999999999999</v>
      </c>
      <c r="E102" s="2896">
        <f>1.8629/E101</f>
        <v>1.5524166666666668</v>
      </c>
      <c r="F102" s="2896">
        <f>1.8629/F101</f>
        <v>1.5524166666666668</v>
      </c>
      <c r="G102" s="2896">
        <f>1.8629/G101</f>
        <v>1.5524166666666668</v>
      </c>
      <c r="H102" s="2896">
        <f>1.8629/H101</f>
        <v>1.5524166666666668</v>
      </c>
      <c r="I102" s="2896">
        <f>1.8629/I101</f>
        <v>1.5524166666666668</v>
      </c>
      <c r="J102" s="2896">
        <f>1.942/J101</f>
        <v>1.6183333333333334</v>
      </c>
      <c r="K102" s="2896">
        <f>1.942/K101</f>
        <v>1.6183333333333334</v>
      </c>
      <c r="L102" s="2896">
        <f>1.942/L101</f>
        <v>1.6183333333333334</v>
      </c>
      <c r="M102" s="2896">
        <f>1.942/M101</f>
        <v>1.6183333333333334</v>
      </c>
      <c r="N102" s="2896">
        <f>1.942/N101</f>
        <v>1.6183333333333334</v>
      </c>
    </row>
    <row r="103" spans="1:14">
      <c r="A103" s="3269"/>
      <c r="B103" s="2895">
        <v>2</v>
      </c>
      <c r="C103" s="2896">
        <f>1.4198/C101</f>
        <v>1.1831666666666667</v>
      </c>
      <c r="D103" s="2896">
        <f>1.4198/D101</f>
        <v>1.1831666666666667</v>
      </c>
      <c r="E103" s="2896">
        <f>1.3372/E101</f>
        <v>1.1143333333333334</v>
      </c>
      <c r="F103" s="2896">
        <f>1.3372/F101</f>
        <v>1.1143333333333334</v>
      </c>
      <c r="G103" s="2896">
        <f>1.3372/G101</f>
        <v>1.1143333333333334</v>
      </c>
      <c r="H103" s="2896">
        <f>1.3372/H101</f>
        <v>1.1143333333333334</v>
      </c>
      <c r="I103" s="2896">
        <f>1.3372/I101</f>
        <v>1.1143333333333334</v>
      </c>
      <c r="J103" s="2896">
        <f>1.2799/J101</f>
        <v>1.0665833333333334</v>
      </c>
      <c r="K103" s="2896">
        <f>1.2799/K101</f>
        <v>1.0665833333333334</v>
      </c>
      <c r="L103" s="2896">
        <f>1.2799/L101</f>
        <v>1.0665833333333334</v>
      </c>
      <c r="M103" s="2896">
        <f>1.2799/M101</f>
        <v>1.0665833333333334</v>
      </c>
      <c r="N103" s="2896">
        <f>1.2799/N101</f>
        <v>1.0665833333333334</v>
      </c>
    </row>
    <row r="104" spans="1:14">
      <c r="A104" s="3269"/>
      <c r="B104" s="2895">
        <v>3</v>
      </c>
      <c r="C104" s="2896">
        <f>1.1594/C101</f>
        <v>0.96616666666666673</v>
      </c>
      <c r="D104" s="2896">
        <f>1.1594/D101</f>
        <v>0.96616666666666673</v>
      </c>
      <c r="E104" s="2896">
        <f>1.0788/E101</f>
        <v>0.89900000000000002</v>
      </c>
      <c r="F104" s="2896">
        <f>1.0788/F101</f>
        <v>0.89900000000000002</v>
      </c>
      <c r="G104" s="2896">
        <f>1.0788/G101</f>
        <v>0.89900000000000002</v>
      </c>
      <c r="H104" s="2896">
        <f>1.0788/H101</f>
        <v>0.89900000000000002</v>
      </c>
      <c r="I104" s="2896">
        <f>1.0788/I101</f>
        <v>0.89900000000000002</v>
      </c>
      <c r="J104" s="2896">
        <f>1.0072/J101</f>
        <v>0.83933333333333349</v>
      </c>
      <c r="K104" s="2896">
        <f>1.0072/K101</f>
        <v>0.83933333333333349</v>
      </c>
      <c r="L104" s="2896">
        <f>1.0072/L101</f>
        <v>0.83933333333333349</v>
      </c>
      <c r="M104" s="2896">
        <f>1.0072/M101</f>
        <v>0.83933333333333349</v>
      </c>
      <c r="N104" s="2896">
        <f>1.0072/N101</f>
        <v>0.83933333333333349</v>
      </c>
    </row>
    <row r="105" spans="1:14">
      <c r="A105" s="3269"/>
      <c r="B105" s="2895">
        <v>4</v>
      </c>
      <c r="C105" s="2896">
        <f>0.9622/C101</f>
        <v>0.8018333333333334</v>
      </c>
      <c r="D105" s="2896">
        <f>0.9622/D101</f>
        <v>0.8018333333333334</v>
      </c>
      <c r="E105" s="2896">
        <f>0.8656/E101</f>
        <v>0.72133333333333338</v>
      </c>
      <c r="F105" s="2896">
        <f>0.8656/F101</f>
        <v>0.72133333333333338</v>
      </c>
      <c r="G105" s="2896">
        <f>0.8656/G101</f>
        <v>0.72133333333333338</v>
      </c>
      <c r="H105" s="2896">
        <f>0.8656/H101</f>
        <v>0.72133333333333338</v>
      </c>
      <c r="I105" s="2896">
        <f>0.8656/I101</f>
        <v>0.72133333333333338</v>
      </c>
      <c r="J105" s="2896">
        <f>0.7525/J101</f>
        <v>0.62708333333333333</v>
      </c>
      <c r="K105" s="2896">
        <f>0.7525/K101</f>
        <v>0.62708333333333333</v>
      </c>
      <c r="L105" s="2896">
        <f>0.7525/L101</f>
        <v>0.62708333333333333</v>
      </c>
      <c r="M105" s="2896">
        <f>0.7525/M101</f>
        <v>0.62708333333333333</v>
      </c>
      <c r="N105" s="2896">
        <f>0.7525/N101</f>
        <v>0.62708333333333333</v>
      </c>
    </row>
    <row r="106" spans="1:14">
      <c r="A106" s="3269"/>
      <c r="B106" s="2895">
        <v>5</v>
      </c>
      <c r="C106" s="2896">
        <f>0.8417/C101</f>
        <v>0.70141666666666669</v>
      </c>
      <c r="D106" s="2896">
        <f>0.8417/D101</f>
        <v>0.70141666666666669</v>
      </c>
      <c r="E106" s="2896">
        <f>0.7371/E101</f>
        <v>0.61424999999999996</v>
      </c>
      <c r="F106" s="2896">
        <f>0.7371/F101</f>
        <v>0.61424999999999996</v>
      </c>
      <c r="G106" s="2896">
        <f>0.7371/G101</f>
        <v>0.61424999999999996</v>
      </c>
      <c r="H106" s="2896">
        <f>0.7371/H101</f>
        <v>0.61424999999999996</v>
      </c>
      <c r="I106" s="2896">
        <f>0.7371/I101</f>
        <v>0.61424999999999996</v>
      </c>
      <c r="J106" s="2896">
        <f>0.5659/J101</f>
        <v>0.4715833333333333</v>
      </c>
      <c r="K106" s="2896">
        <f>0.5659/K101</f>
        <v>0.4715833333333333</v>
      </c>
      <c r="L106" s="2896">
        <f>0.5659/L101</f>
        <v>0.4715833333333333</v>
      </c>
      <c r="M106" s="2896">
        <f>0.5659/M101</f>
        <v>0.4715833333333333</v>
      </c>
      <c r="N106" s="2896">
        <f>0.5659/N101</f>
        <v>0.4715833333333333</v>
      </c>
    </row>
    <row r="107" spans="1:14">
      <c r="A107" s="3269"/>
      <c r="B107" s="2895">
        <v>6</v>
      </c>
      <c r="C107" s="2896">
        <f>0.7608/C101</f>
        <v>0.63400000000000001</v>
      </c>
      <c r="D107" s="2896">
        <f>0.7608/D101</f>
        <v>0.63400000000000001</v>
      </c>
      <c r="E107" s="2896">
        <f>0.6482/E101</f>
        <v>0.54016666666666668</v>
      </c>
      <c r="F107" s="2896">
        <f>0.6482/F101</f>
        <v>0.54016666666666668</v>
      </c>
      <c r="G107" s="2896">
        <f>0.6482/G101</f>
        <v>0.54016666666666668</v>
      </c>
      <c r="H107" s="2896">
        <f>0.6482/H101</f>
        <v>0.54016666666666668</v>
      </c>
      <c r="I107" s="2896">
        <f>0.6482/I101</f>
        <v>0.54016666666666668</v>
      </c>
      <c r="J107" s="2896">
        <f>0.4525/J101</f>
        <v>0.37708333333333338</v>
      </c>
      <c r="K107" s="2896">
        <f>0.4525/K101</f>
        <v>0.37708333333333338</v>
      </c>
      <c r="L107" s="2896">
        <f>0.4525/L101</f>
        <v>0.37708333333333338</v>
      </c>
      <c r="M107" s="2896">
        <f>0.4525/M101</f>
        <v>0.37708333333333338</v>
      </c>
      <c r="N107" s="2896">
        <f>0.4525/N101</f>
        <v>0.37708333333333338</v>
      </c>
    </row>
    <row r="108" spans="1:14">
      <c r="A108" s="3269"/>
      <c r="B108" s="3123" t="s">
        <v>2966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0"/>
      <c r="B109" s="3124"/>
      <c r="C109" s="2898">
        <f>(-0.163*(C108^2)-0.59*C108+7617)*(10^(-4))/C101</f>
        <v>0.63475000000000004</v>
      </c>
      <c r="D109" s="2898">
        <f>(-0.163*(D108^2)-0.59*D108+7617)*(10^(-4))/D101</f>
        <v>0.63475000000000004</v>
      </c>
      <c r="E109" s="2898">
        <f>(-0.161*(E108^2)-7.509*E108+6533)*(10^(-4))/E101</f>
        <v>0.54441666666666666</v>
      </c>
      <c r="F109" s="2898">
        <f>(-0.161*(F108^2)-7.509*F108+6533)*(10^(-4))/F101</f>
        <v>0.54441666666666666</v>
      </c>
      <c r="G109" s="2898">
        <f>(-0.161*(G108^2)-7.509*G108+6533)*(10^(-4))/G101</f>
        <v>0.54441666666666666</v>
      </c>
      <c r="H109" s="2898">
        <f>(-0.161*(H108^2)-7.509*H108+6533)*(10^(-4))/H101</f>
        <v>0.54441666666666666</v>
      </c>
      <c r="I109" s="2898">
        <f>(-0.161*(I108^2)-7.509*I108+6533)*(10^(-4))/I101</f>
        <v>0.54441666666666666</v>
      </c>
      <c r="J109" s="2898">
        <f>(-0.214*(J108^2)-21.991*J108+4665)*(10^(-4))/J101</f>
        <v>0.38875000000000004</v>
      </c>
      <c r="K109" s="2898">
        <f>(-0.214*(K108^2)-21.991*K108+4665)*(10^(-4))/K101</f>
        <v>0.38875000000000004</v>
      </c>
      <c r="L109" s="2898">
        <f>(-0.214*(L108^2)-21.991*L108+4665)*(10^(-4))/L101</f>
        <v>0.38875000000000004</v>
      </c>
      <c r="M109" s="2898">
        <f>(-0.214*(M108^2)-21.991*M108+4665)*(10^(-4))/M101</f>
        <v>0.38875000000000004</v>
      </c>
      <c r="N109" s="2898">
        <f>(-0.214*(N108^2)-21.991*N108+4665)*(10^(-4))/N101</f>
        <v>0.38875000000000004</v>
      </c>
    </row>
    <row r="110" spans="1:14">
      <c r="A110" s="3266" t="s">
        <v>2967</v>
      </c>
      <c r="B110" s="3266"/>
      <c r="C110" s="3266"/>
      <c r="D110" s="3266"/>
      <c r="E110" s="3266"/>
      <c r="F110" s="3266"/>
      <c r="G110" s="3266"/>
      <c r="H110" s="3266"/>
      <c r="I110" s="3266"/>
      <c r="J110" s="3266"/>
      <c r="K110" s="2901"/>
      <c r="L110" s="2901"/>
      <c r="M110" s="2901"/>
      <c r="N110" s="2901"/>
    </row>
    <row r="112" spans="1:14" ht="13.5" thickBot="1"/>
    <row r="113" spans="1:13" ht="25.5" thickBot="1">
      <c r="A113" s="903" t="s">
        <v>2968</v>
      </c>
      <c r="B113" s="1290">
        <f>G3</f>
        <v>1.2</v>
      </c>
      <c r="C113" s="904" t="s">
        <v>2969</v>
      </c>
      <c r="D113" s="905">
        <f>SUMPRODUCT((A115:A118=F113)*(B114:M114=H113)*B115:M118)</f>
        <v>0</v>
      </c>
      <c r="E113" s="2724" t="s">
        <v>2799</v>
      </c>
      <c r="F113" s="2903">
        <f>E2</f>
        <v>0</v>
      </c>
      <c r="G113" s="2724" t="s">
        <v>2800</v>
      </c>
      <c r="H113" s="2903">
        <f>G2</f>
        <v>0</v>
      </c>
      <c r="I113" s="2724"/>
      <c r="J113" s="2904"/>
      <c r="K113" s="2904"/>
      <c r="L113" s="2904"/>
      <c r="M113" s="2904"/>
    </row>
    <row r="114" spans="1:13">
      <c r="A114" s="908"/>
      <c r="B114" s="2905" t="s">
        <v>2970</v>
      </c>
      <c r="C114" s="2905" t="s">
        <v>2971</v>
      </c>
      <c r="D114" s="2905" t="s">
        <v>2972</v>
      </c>
      <c r="E114" s="2906" t="s">
        <v>2973</v>
      </c>
      <c r="F114" s="2906" t="s">
        <v>2974</v>
      </c>
      <c r="G114" s="2906" t="s">
        <v>2975</v>
      </c>
      <c r="H114" s="2907" t="s">
        <v>2976</v>
      </c>
      <c r="I114" s="2907" t="s">
        <v>2977</v>
      </c>
      <c r="J114" s="2908" t="s">
        <v>2978</v>
      </c>
      <c r="K114" s="2908" t="s">
        <v>2979</v>
      </c>
      <c r="L114" s="2908" t="s">
        <v>2980</v>
      </c>
      <c r="M114" s="2909" t="s">
        <v>2981</v>
      </c>
    </row>
    <row r="115" spans="1:13">
      <c r="A115" s="909" t="s">
        <v>2864</v>
      </c>
      <c r="B115" s="910">
        <f>ROUND(0.9335-0.0094*B113,4)</f>
        <v>0.92220000000000002</v>
      </c>
      <c r="C115" s="910">
        <f>B115</f>
        <v>0.92220000000000002</v>
      </c>
      <c r="D115" s="910">
        <f>ROUND(0.8331-0.0109*B113,4)</f>
        <v>0.82</v>
      </c>
      <c r="E115" s="910">
        <f>D115</f>
        <v>0.82</v>
      </c>
      <c r="F115" s="910">
        <f>E115</f>
        <v>0.82</v>
      </c>
      <c r="G115" s="910">
        <f>F115</f>
        <v>0.82</v>
      </c>
      <c r="H115" s="910">
        <f>G115</f>
        <v>0.82</v>
      </c>
      <c r="I115" s="910">
        <f>ROUND(0.689-0.0155*B113,4)</f>
        <v>0.6704</v>
      </c>
      <c r="J115" s="910">
        <f t="shared" ref="J115:M118" si="33">I115</f>
        <v>0.6704</v>
      </c>
      <c r="K115" s="910">
        <f t="shared" si="33"/>
        <v>0.6704</v>
      </c>
      <c r="L115" s="910">
        <f t="shared" si="33"/>
        <v>0.6704</v>
      </c>
      <c r="M115" s="911">
        <f t="shared" si="33"/>
        <v>0.6704</v>
      </c>
    </row>
    <row r="116" spans="1:13">
      <c r="A116" s="909" t="s">
        <v>2865</v>
      </c>
      <c r="B116" s="910">
        <f>ROUND(0.949-0.012*B113,4)</f>
        <v>0.93459999999999999</v>
      </c>
      <c r="C116" s="910">
        <f>B116</f>
        <v>0.93459999999999999</v>
      </c>
      <c r="D116" s="910">
        <f>ROUND(0.8567-0.013*B113,4)</f>
        <v>0.84109999999999996</v>
      </c>
      <c r="E116" s="910">
        <f t="shared" ref="E116:H117" si="34">D116</f>
        <v>0.84109999999999996</v>
      </c>
      <c r="F116" s="910">
        <f t="shared" si="34"/>
        <v>0.84109999999999996</v>
      </c>
      <c r="G116" s="910">
        <f t="shared" si="34"/>
        <v>0.84109999999999996</v>
      </c>
      <c r="H116" s="910">
        <f t="shared" si="34"/>
        <v>0.84109999999999996</v>
      </c>
      <c r="I116" s="910">
        <f>ROUND(0.7694-0.014*B113,4)</f>
        <v>0.75260000000000005</v>
      </c>
      <c r="J116" s="910">
        <f t="shared" si="33"/>
        <v>0.75260000000000005</v>
      </c>
      <c r="K116" s="910">
        <f t="shared" si="33"/>
        <v>0.75260000000000005</v>
      </c>
      <c r="L116" s="910">
        <f t="shared" si="33"/>
        <v>0.75260000000000005</v>
      </c>
      <c r="M116" s="911">
        <f t="shared" si="33"/>
        <v>0.75260000000000005</v>
      </c>
    </row>
    <row r="117" spans="1:13">
      <c r="A117" s="909" t="s">
        <v>2866</v>
      </c>
      <c r="B117" s="910">
        <f>ROUND(0.8808-0.006*B113,4)</f>
        <v>0.87360000000000004</v>
      </c>
      <c r="C117" s="910">
        <f>B117</f>
        <v>0.87360000000000004</v>
      </c>
      <c r="D117" s="910">
        <f>ROUND(0.8748-0.008*B113,4)</f>
        <v>0.86519999999999997</v>
      </c>
      <c r="E117" s="910">
        <f t="shared" si="34"/>
        <v>0.86519999999999997</v>
      </c>
      <c r="F117" s="910">
        <f t="shared" si="34"/>
        <v>0.86519999999999997</v>
      </c>
      <c r="G117" s="910">
        <f t="shared" si="34"/>
        <v>0.86519999999999997</v>
      </c>
      <c r="H117" s="910">
        <f t="shared" si="34"/>
        <v>0.86519999999999997</v>
      </c>
      <c r="I117" s="910">
        <f>ROUND(0.7412-0.0095*B113,4)</f>
        <v>0.7298</v>
      </c>
      <c r="J117" s="910">
        <f t="shared" si="33"/>
        <v>0.7298</v>
      </c>
      <c r="K117" s="910">
        <f t="shared" si="33"/>
        <v>0.7298</v>
      </c>
      <c r="L117" s="910">
        <f t="shared" si="33"/>
        <v>0.7298</v>
      </c>
      <c r="M117" s="911">
        <f t="shared" si="33"/>
        <v>0.7298</v>
      </c>
    </row>
    <row r="118" spans="1:13" ht="13.5" thickBot="1">
      <c r="A118" s="714" t="s">
        <v>2867</v>
      </c>
      <c r="B118" s="912">
        <f>ROUND(0.7275-0.01*B113,4)</f>
        <v>0.71550000000000002</v>
      </c>
      <c r="C118" s="912">
        <f>B118</f>
        <v>0.71550000000000002</v>
      </c>
      <c r="D118" s="912">
        <f>ROUND(0.7043-0.012*B113,4)</f>
        <v>0.68989999999999996</v>
      </c>
      <c r="E118" s="912">
        <f>D118</f>
        <v>0.68989999999999996</v>
      </c>
      <c r="F118" s="912">
        <f>E118</f>
        <v>0.68989999999999996</v>
      </c>
      <c r="G118" s="912">
        <f>ROUND(0.6299-0.0122*B113,4)</f>
        <v>0.61529999999999996</v>
      </c>
      <c r="H118" s="912">
        <f>G118</f>
        <v>0.61529999999999996</v>
      </c>
      <c r="I118" s="912">
        <f>ROUND(0.5667-0.0136*B113,4)</f>
        <v>0.5504</v>
      </c>
      <c r="J118" s="912">
        <f t="shared" si="33"/>
        <v>0.5504</v>
      </c>
      <c r="K118" s="912">
        <f t="shared" si="33"/>
        <v>0.5504</v>
      </c>
      <c r="L118" s="912">
        <f t="shared" si="33"/>
        <v>0.5504</v>
      </c>
      <c r="M118" s="913">
        <f t="shared" si="33"/>
        <v>0.5504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2990</v>
      </c>
    </row>
    <row r="2" spans="1:5" ht="15.75">
      <c r="A2" s="2910" t="s">
        <v>2982</v>
      </c>
      <c r="B2" s="2911" t="e">
        <f ca="1">SUMIF(B6:B13,"&lt;&gt;#ref!",B6:B13)</f>
        <v>#DIV/0!</v>
      </c>
      <c r="C2" s="2910" t="s">
        <v>2983</v>
      </c>
      <c r="D2" s="2910" t="s">
        <v>2984</v>
      </c>
      <c r="E2" s="2911">
        <f ca="1">SUMIF(E6:E13,"&lt;&gt;#ref!",E6:E13)</f>
        <v>0</v>
      </c>
    </row>
    <row r="3" spans="1:5" ht="15.75">
      <c r="A3" s="2910" t="s">
        <v>2985</v>
      </c>
      <c r="B3" s="2911" t="e">
        <f ca="1">ROUND(B2*10000/E2,0)</f>
        <v>#DIV/0!</v>
      </c>
      <c r="C3" s="2910" t="s">
        <v>2991</v>
      </c>
      <c r="D3" s="2912"/>
      <c r="E3" s="2912"/>
    </row>
    <row r="4" spans="1:5" ht="15.75">
      <c r="A4" s="2913"/>
      <c r="B4" s="2912"/>
      <c r="C4" s="2912"/>
      <c r="D4" s="2912"/>
      <c r="E4" s="2912"/>
    </row>
    <row r="5" spans="1:5" ht="28.5">
      <c r="A5" s="2914" t="s">
        <v>2986</v>
      </c>
      <c r="B5" s="2910" t="s">
        <v>2987</v>
      </c>
      <c r="C5" s="2911"/>
      <c r="D5" s="2912"/>
      <c r="E5" s="2910" t="s">
        <v>2988</v>
      </c>
    </row>
    <row r="6" spans="1:5" ht="15.75">
      <c r="A6" s="2915" t="s">
        <v>2989</v>
      </c>
      <c r="B6" s="2911" t="e">
        <f ca="1">SUMIF(INDIRECT("'"&amp;A6&amp;"'"&amp;"!A:A"),"总价",INDIRECT("'"&amp;A6&amp;"'"&amp;"!B:B"))</f>
        <v>#DIV/0!</v>
      </c>
      <c r="C6" s="2910" t="s">
        <v>2983</v>
      </c>
      <c r="D6" s="2912"/>
      <c r="E6" s="2578">
        <f ca="1">SUMIF(INDIRECT("'"&amp;A6&amp;"'"&amp;"!C:C"),"建筑面积",INDIRECT("'"&amp;A6&amp;"'"&amp;"!D:D"))</f>
        <v>0</v>
      </c>
    </row>
    <row r="7" spans="1:5" ht="15.75">
      <c r="A7" s="2915"/>
      <c r="B7" s="2911" t="e">
        <f ca="1">SUMIF(INDIRECT("'"&amp;A7&amp;"'"&amp;"!A:A"),"总价",INDIRECT("'"&amp;A7&amp;"'"&amp;"!B:B"))</f>
        <v>#REF!</v>
      </c>
      <c r="C7" s="2910" t="s">
        <v>2983</v>
      </c>
      <c r="D7" s="2912"/>
      <c r="E7" s="2578" t="e">
        <f t="shared" ref="E7:E13" ca="1" si="0">SUMIF(INDIRECT("'"&amp;A7&amp;"'"&amp;"!C:C"),"建筑面积",INDIRECT("'"&amp;A7&amp;"'"&amp;"!D:D"))</f>
        <v>#REF!</v>
      </c>
    </row>
    <row r="8" spans="1:5" ht="15.75">
      <c r="A8" s="2915"/>
      <c r="B8" s="2911" t="e">
        <f t="shared" ref="B8:B13" ca="1" si="1">SUMIF(INDIRECT("'"&amp;A8&amp;"'"&amp;"!A:A"),"总价",INDIRECT("'"&amp;A8&amp;"'"&amp;"!B:B"))</f>
        <v>#REF!</v>
      </c>
      <c r="C8" s="2910" t="s">
        <v>2983</v>
      </c>
      <c r="D8" s="2912"/>
      <c r="E8" s="2578" t="e">
        <f t="shared" ca="1" si="0"/>
        <v>#REF!</v>
      </c>
    </row>
    <row r="9" spans="1:5" ht="15.75">
      <c r="A9" s="2915"/>
      <c r="B9" s="2911" t="e">
        <f t="shared" ca="1" si="1"/>
        <v>#REF!</v>
      </c>
      <c r="C9" s="2910" t="s">
        <v>2983</v>
      </c>
      <c r="D9" s="2912"/>
      <c r="E9" s="2578" t="e">
        <f t="shared" ca="1" si="0"/>
        <v>#REF!</v>
      </c>
    </row>
    <row r="10" spans="1:5" ht="15.75">
      <c r="A10" s="2915"/>
      <c r="B10" s="2911" t="e">
        <f t="shared" ca="1" si="1"/>
        <v>#REF!</v>
      </c>
      <c r="C10" s="2910" t="s">
        <v>2983</v>
      </c>
      <c r="D10" s="2912"/>
      <c r="E10" s="2578" t="e">
        <f t="shared" ca="1" si="0"/>
        <v>#REF!</v>
      </c>
    </row>
    <row r="11" spans="1:5" ht="15.75">
      <c r="A11" s="2915"/>
      <c r="B11" s="2911" t="e">
        <f t="shared" ca="1" si="1"/>
        <v>#REF!</v>
      </c>
      <c r="C11" s="2910" t="s">
        <v>2983</v>
      </c>
      <c r="D11" s="2912"/>
      <c r="E11" s="2578" t="e">
        <f t="shared" ca="1" si="0"/>
        <v>#REF!</v>
      </c>
    </row>
    <row r="12" spans="1:5" ht="15.75">
      <c r="A12" s="2915"/>
      <c r="B12" s="2911" t="e">
        <f t="shared" ca="1" si="1"/>
        <v>#REF!</v>
      </c>
      <c r="C12" s="2910" t="s">
        <v>2983</v>
      </c>
      <c r="D12" s="2912"/>
      <c r="E12" s="2578" t="e">
        <f t="shared" ca="1" si="0"/>
        <v>#REF!</v>
      </c>
    </row>
    <row r="13" spans="1:5" ht="15.75">
      <c r="A13" s="2915"/>
      <c r="B13" s="2911" t="e">
        <f t="shared" ca="1" si="1"/>
        <v>#REF!</v>
      </c>
      <c r="C13" s="2910" t="s">
        <v>2983</v>
      </c>
      <c r="D13" s="2912"/>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0" t="s">
        <v>1150</v>
      </c>
      <c r="C1" s="3280"/>
      <c r="D1" s="3280"/>
      <c r="E1" s="3280"/>
      <c r="F1" s="3280"/>
      <c r="G1" s="3279" t="s">
        <v>1151</v>
      </c>
      <c r="H1" s="3279"/>
      <c r="I1" s="3279"/>
      <c r="J1" s="3279"/>
      <c r="K1" s="3279"/>
      <c r="L1" s="3279"/>
      <c r="N1" s="3279" t="s">
        <v>1152</v>
      </c>
      <c r="O1" s="3279"/>
      <c r="P1" s="3279"/>
      <c r="Q1" s="3279"/>
      <c r="R1" s="1449"/>
      <c r="S1" s="3279" t="s">
        <v>1153</v>
      </c>
      <c r="T1" s="3279"/>
      <c r="U1" s="3279"/>
      <c r="V1" s="3279"/>
      <c r="X1" s="3278" t="s">
        <v>1154</v>
      </c>
      <c r="Y1" s="3279"/>
      <c r="Z1" s="3279"/>
      <c r="AA1" s="3279"/>
      <c r="AB1" s="3279"/>
      <c r="AD1" s="3278" t="s">
        <v>1155</v>
      </c>
      <c r="AE1" s="3279"/>
      <c r="AF1" s="3279"/>
      <c r="AG1" s="3279"/>
      <c r="AH1" s="327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3025</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3032</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1">
        <v>2018</v>
      </c>
      <c r="H5" s="1733">
        <v>3</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8" t="s">
        <v>3026</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3033</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9"/>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3024</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9"/>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3021</v>
      </c>
      <c r="B8" s="1472">
        <v>439</v>
      </c>
      <c r="C8" s="1472">
        <v>327</v>
      </c>
      <c r="D8" s="1472">
        <f>C8</f>
        <v>327</v>
      </c>
      <c r="E8" s="1472">
        <v>627</v>
      </c>
      <c r="F8" s="1473">
        <v>283</v>
      </c>
      <c r="G8" s="2926">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3022</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2"/>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1"/>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2"/>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2992</v>
      </c>
      <c r="C1" s="3286" t="s">
        <v>2993</v>
      </c>
      <c r="D1" s="3287"/>
      <c r="E1" s="3287"/>
      <c r="F1" s="3287"/>
      <c r="G1" s="3287"/>
      <c r="H1" s="3287"/>
      <c r="I1" s="3287"/>
      <c r="J1" s="3287"/>
      <c r="K1" s="3287"/>
      <c r="L1" s="3287"/>
      <c r="M1" s="3287"/>
      <c r="N1" s="3287"/>
      <c r="O1" s="3287"/>
      <c r="P1" s="3287"/>
      <c r="Q1" s="3287"/>
      <c r="R1" s="3287"/>
      <c r="S1" s="3288"/>
      <c r="T1" s="1207" t="s">
        <v>2994</v>
      </c>
    </row>
    <row r="2" spans="1:45" s="707" customFormat="1">
      <c r="A2" s="1208"/>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3002</v>
      </c>
      <c r="B17" s="2917" t="s">
        <v>3003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3004</v>
      </c>
      <c r="E19" s="1795"/>
      <c r="F19" s="1795"/>
      <c r="G19" s="1795"/>
      <c r="H19" s="1283"/>
      <c r="I19" s="168"/>
      <c r="J19" s="168"/>
      <c r="K19" s="168"/>
      <c r="L19" s="168"/>
      <c r="M19" s="168"/>
      <c r="N19" s="168"/>
      <c r="O19" s="168"/>
      <c r="P19" s="168"/>
      <c r="Q19" s="168"/>
      <c r="R19" s="788"/>
      <c r="S19" s="138"/>
    </row>
    <row r="20" spans="1:45" ht="16.5" thickBot="1">
      <c r="A20" s="715" t="s">
        <v>3005</v>
      </c>
      <c r="B20" s="338" t="e">
        <f ca="1">IF(D20="——",S22,S22-F20)</f>
        <v>#REF!</v>
      </c>
      <c r="C20" s="168"/>
      <c r="D20" s="2919" t="s">
        <v>3006</v>
      </c>
      <c r="E20" s="1796"/>
      <c r="F20" s="1207" t="e">
        <f ca="1">SUMIF(INDIRECT("'"&amp;H20&amp;"'"&amp;"!A:A"),"承租人权益价值",INDIRECT("'"&amp;H20&amp;"'"&amp;"!c:c"))</f>
        <v>#REF!</v>
      </c>
      <c r="G20" s="1207" t="s">
        <v>3007</v>
      </c>
      <c r="H20" s="2920"/>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45" t="s">
        <v>33</v>
      </c>
      <c r="D22" s="3146"/>
      <c r="E22" s="3146"/>
      <c r="F22" s="3146"/>
      <c r="G22" s="3146"/>
      <c r="H22" s="3146"/>
      <c r="I22" s="3146"/>
      <c r="J22" s="3146"/>
      <c r="K22" s="3146"/>
      <c r="L22" s="3146"/>
      <c r="M22" s="3146"/>
      <c r="N22" s="3146"/>
      <c r="O22" s="3146"/>
      <c r="P22" s="3146"/>
      <c r="Q22" s="3285"/>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4"/>
      <c r="B4" s="2968" t="s">
        <v>1630</v>
      </c>
      <c r="C4" s="2968"/>
      <c r="D4" s="2968"/>
      <c r="E4" s="1964"/>
    </row>
    <row r="5" spans="1:5" ht="16.5" thickTop="1">
      <c r="A5" s="1962"/>
      <c r="B5" s="2966" t="s">
        <v>1622</v>
      </c>
      <c r="C5" s="1965" t="s">
        <v>1623</v>
      </c>
      <c r="D5" s="1043">
        <f ca="1">结果表!H101</f>
        <v>201800</v>
      </c>
      <c r="E5" s="1962"/>
    </row>
    <row r="6" spans="1:5" ht="15.75">
      <c r="A6" s="1962"/>
      <c r="B6" s="2966"/>
      <c r="C6" s="1965" t="s">
        <v>1624</v>
      </c>
      <c r="D6" s="1043" t="str">
        <f ca="1">NUMBERSTRING(INT(D5*10000),2)&amp;"元整"</f>
        <v>贰拾亿壹仟捌佰万元整</v>
      </c>
      <c r="E6" s="1962"/>
    </row>
    <row r="7" spans="1:5" ht="15.75">
      <c r="A7" s="1962"/>
      <c r="B7" s="2971"/>
      <c r="C7" s="1966" t="s">
        <v>1625</v>
      </c>
      <c r="D7" s="1044">
        <f ca="1">结果表!H102</f>
        <v>21165</v>
      </c>
      <c r="E7" s="1962"/>
    </row>
    <row r="8" spans="1:5" ht="15.75">
      <c r="A8" s="1962"/>
      <c r="B8" s="2972" t="str">
        <f>结果表!E103</f>
        <v>2.估价师知悉的法定优先受偿款</v>
      </c>
      <c r="C8" s="1967" t="s">
        <v>1626</v>
      </c>
      <c r="D8" s="1044">
        <f>结果表!H103</f>
        <v>0</v>
      </c>
      <c r="E8" s="1962"/>
    </row>
    <row r="9" spans="1:5" ht="15.75">
      <c r="A9" s="1962"/>
      <c r="B9" s="297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5" t="str">
        <f>结果表!E107</f>
        <v>3.房地产抵押价值</v>
      </c>
      <c r="C13" s="1970" t="s">
        <v>1623</v>
      </c>
      <c r="D13" s="1046">
        <f ca="1">结果表!H107</f>
        <v>201800</v>
      </c>
      <c r="E13" s="1962"/>
    </row>
    <row r="14" spans="1:5" ht="15.75">
      <c r="A14" s="1962"/>
      <c r="B14" s="2966"/>
      <c r="C14" s="1965" t="s">
        <v>1624</v>
      </c>
      <c r="D14" s="1043" t="str">
        <f ca="1">NUMBERSTRING(INT(D13*10000),2)&amp;"元整"</f>
        <v>贰拾亿壹仟捌佰万元整</v>
      </c>
      <c r="E14" s="1962"/>
    </row>
    <row r="15" spans="1:5" ht="15">
      <c r="A15" s="1962"/>
      <c r="B15" s="2971"/>
      <c r="C15" s="1966" t="s">
        <v>1634</v>
      </c>
      <c r="D15" s="1055">
        <f ca="1">结果表!H108</f>
        <v>21165</v>
      </c>
      <c r="E15" s="1962"/>
    </row>
    <row r="16" spans="1:5" ht="15">
      <c r="A16" s="1962"/>
      <c r="B16" s="2972" t="str">
        <f>结果表!E109</f>
        <v>——</v>
      </c>
      <c r="C16" s="1970" t="s">
        <v>1635</v>
      </c>
      <c r="D16" s="1971" t="str">
        <f>结果表!H109</f>
        <v>——</v>
      </c>
      <c r="E16" s="1962"/>
    </row>
    <row r="17" spans="1:5" ht="15.75">
      <c r="A17" s="1962"/>
      <c r="B17" s="2973"/>
      <c r="C17" s="1965" t="s">
        <v>1636</v>
      </c>
      <c r="D17" s="1043" t="e">
        <f>NUMBERSTRING(INT(D16*10000),2)&amp;"元整"</f>
        <v>#VALUE!</v>
      </c>
      <c r="E17" s="1962"/>
    </row>
    <row r="18" spans="1:5" ht="15">
      <c r="A18" s="1962"/>
      <c r="B18" s="2974"/>
      <c r="C18" s="1966" t="s">
        <v>1625</v>
      </c>
      <c r="D18" s="1055" t="str">
        <f>结果表!H110</f>
        <v>——</v>
      </c>
      <c r="E18" s="1962"/>
    </row>
    <row r="19" spans="1:5" ht="15.75">
      <c r="A19" s="1962"/>
      <c r="B19" s="2965" t="str">
        <f>结果表!E111</f>
        <v>——</v>
      </c>
      <c r="C19" s="1970" t="s">
        <v>1623</v>
      </c>
      <c r="D19" s="1044" t="str">
        <f>结果表!H111</f>
        <v>——</v>
      </c>
      <c r="E19" s="1962"/>
    </row>
    <row r="20" spans="1:5" ht="15.75">
      <c r="A20" s="1962"/>
      <c r="B20" s="2966"/>
      <c r="C20" s="1965" t="s">
        <v>1636</v>
      </c>
      <c r="D20" s="1043" t="e">
        <f>NUMBERSTRING(INT(D19*10000),2)&amp;"元整"</f>
        <v>#VALUE!</v>
      </c>
      <c r="E20" s="1962"/>
    </row>
    <row r="21" spans="1:5" ht="15.75" thickBot="1">
      <c r="A21" s="1962"/>
      <c r="B21" s="296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24550</v>
      </c>
      <c r="C2" s="2" t="s">
        <v>133</v>
      </c>
      <c r="D2" s="243"/>
      <c r="E2" s="243"/>
      <c r="F2" s="243"/>
      <c r="G2" s="243"/>
    </row>
    <row r="3" spans="1:7" s="244" customFormat="1" ht="18" customHeight="1" thickBot="1">
      <c r="A3" s="247" t="s">
        <v>85</v>
      </c>
      <c r="B3" s="248">
        <f ca="1">ROUND(B2*10000/'数据-汇总表'!E3,0)</f>
        <v>2575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839</v>
      </c>
      <c r="D9" s="1035">
        <f>'数据-汇总表'!E5</f>
        <v>52468</v>
      </c>
      <c r="E9" s="269">
        <f>'数据-取费表'!B27</f>
        <v>160</v>
      </c>
      <c r="F9" s="265"/>
      <c r="G9" s="270"/>
    </row>
    <row r="10" spans="1:7" s="258" customFormat="1" ht="13.5" customHeight="1">
      <c r="A10" s="953" t="s">
        <v>801</v>
      </c>
      <c r="B10" s="268" t="s">
        <v>94</v>
      </c>
      <c r="C10" s="269">
        <f>ROUND(D10*E10/10000,0)</f>
        <v>858</v>
      </c>
      <c r="D10" s="1035">
        <f>'数据-汇总表'!E6</f>
        <v>42878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1716</v>
      </c>
      <c r="D19" s="1039">
        <f>'数据-汇总表'!E3</f>
        <v>95346</v>
      </c>
      <c r="E19" s="255">
        <f>'数据-取费表'!B31</f>
        <v>180</v>
      </c>
      <c r="F19" s="275"/>
      <c r="G19" s="1" t="s">
        <v>1074</v>
      </c>
    </row>
    <row r="20" spans="1:7" s="258" customFormat="1" ht="13.5" customHeight="1">
      <c r="A20" s="951" t="s">
        <v>1057</v>
      </c>
      <c r="B20" s="254" t="s">
        <v>104</v>
      </c>
      <c r="C20" s="276">
        <f>ROUND((C5+C19)*F20,0)</f>
        <v>447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0</v>
      </c>
      <c r="D22" s="279">
        <f ca="1">C26</f>
        <v>0</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0</v>
      </c>
      <c r="D25" s="282"/>
      <c r="E25" s="285"/>
      <c r="F25" s="283"/>
      <c r="G25" s="286" t="s">
        <v>110</v>
      </c>
    </row>
    <row r="26" spans="1:7" s="258" customFormat="1">
      <c r="A26" s="954" t="s">
        <v>795</v>
      </c>
      <c r="B26" s="259" t="s">
        <v>1060</v>
      </c>
      <c r="C26" s="282">
        <f ca="1">ROUND(IF('数据-取费表'!B22&lt;=1,F21*F22*'数据-取费表'!B23/2,F21*(POWER((1+F22),'数据-取费表'!B23/2)-1)),4)</f>
        <v>0</v>
      </c>
      <c r="D26" s="282"/>
      <c r="E26" s="285"/>
      <c r="F26" s="283"/>
      <c r="G26" s="287"/>
    </row>
    <row r="27" spans="1:7" s="258" customFormat="1" ht="24.75">
      <c r="A27" s="951" t="s">
        <v>787</v>
      </c>
      <c r="B27" s="288" t="s">
        <v>112</v>
      </c>
      <c r="C27" s="289">
        <f>C28</f>
        <v>0</v>
      </c>
      <c r="D27" s="279">
        <f>C29</f>
        <v>0</v>
      </c>
      <c r="E27" s="280" t="s">
        <v>126</v>
      </c>
      <c r="F27" s="290">
        <f>'数据-取费表'!Q16</f>
        <v>0.21</v>
      </c>
      <c r="G27" s="291" t="s">
        <v>1069</v>
      </c>
    </row>
    <row r="28" spans="1:7" s="258" customFormat="1" ht="13.5" customHeight="1">
      <c r="A28" s="954" t="s">
        <v>794</v>
      </c>
      <c r="B28" s="292" t="s">
        <v>1062</v>
      </c>
      <c r="C28" s="293">
        <f>ROUND((C5+C19+C20)*F27*'数据-取费表'!B21/'数据-取费表'!B20,0)</f>
        <v>0</v>
      </c>
      <c r="D28" s="279"/>
      <c r="E28" s="280"/>
      <c r="F28" s="290"/>
      <c r="G28" s="291"/>
    </row>
    <row r="29" spans="1:7" s="258" customFormat="1" ht="13.5" customHeight="1">
      <c r="A29" s="954" t="s">
        <v>792</v>
      </c>
      <c r="B29" s="292" t="s">
        <v>1063</v>
      </c>
      <c r="C29" s="282">
        <f>ROUND(C21*F27*'数据-取费表'!B21/'数据-取费表'!B20,4)</f>
        <v>0</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24550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4" t="s">
        <v>796</v>
      </c>
      <c r="B35" s="259" t="s">
        <v>60</v>
      </c>
      <c r="C35" s="264">
        <f>ROUND(C34*F35,0)</f>
        <v>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0</v>
      </c>
      <c r="D37" s="261">
        <f>'数据-汇总表'!E3</f>
        <v>95346</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0</v>
      </c>
      <c r="D41" s="279">
        <f ca="1">C44</f>
        <v>0</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0</v>
      </c>
      <c r="D42" s="282"/>
      <c r="E42" s="282"/>
      <c r="F42" s="283"/>
      <c r="G42" s="3194" t="s">
        <v>121</v>
      </c>
    </row>
    <row r="43" spans="1:7" ht="13.5" customHeight="1">
      <c r="A43" s="954" t="s">
        <v>792</v>
      </c>
      <c r="B43" s="259" t="s">
        <v>1064</v>
      </c>
      <c r="C43" s="282">
        <f ca="1">ROUND(IF('数据-取费表'!B22&lt;=1,C39*F22*'数据-取费表'!B21/2,C39*(POWER((1+F22),'数据-取费表'!B21/2)-1)),0)</f>
        <v>0</v>
      </c>
      <c r="D43" s="282"/>
      <c r="E43" s="282"/>
      <c r="F43" s="283"/>
      <c r="G43" s="3195"/>
    </row>
    <row r="44" spans="1:7" ht="13.5" customHeight="1">
      <c r="A44" s="954" t="s">
        <v>793</v>
      </c>
      <c r="B44" s="259" t="s">
        <v>1066</v>
      </c>
      <c r="C44" s="282">
        <f ca="1">ROUND(IF('数据-取费表'!B22&lt;=1,C40*F22*'数据-取费表'!B21/2,C40*(POWER((1+F22),'数据-取费表'!B21/2)-1)),4)</f>
        <v>0</v>
      </c>
      <c r="D44" s="282"/>
      <c r="E44" s="282"/>
      <c r="F44" s="283"/>
      <c r="G44" s="3196"/>
    </row>
    <row r="45" spans="1:7" s="258" customFormat="1" ht="13.5" customHeight="1">
      <c r="A45" s="951" t="s">
        <v>786</v>
      </c>
      <c r="B45" s="288" t="s">
        <v>112</v>
      </c>
      <c r="C45" s="289">
        <f>C46</f>
        <v>0</v>
      </c>
      <c r="D45" s="279">
        <f>C47</f>
        <v>4.1999999999999997E-3</v>
      </c>
      <c r="E45" s="280" t="s">
        <v>129</v>
      </c>
      <c r="F45" s="290"/>
      <c r="G45" s="291" t="s">
        <v>1072</v>
      </c>
    </row>
    <row r="46" spans="1:7" s="258" customFormat="1" ht="13.5" customHeight="1">
      <c r="A46" s="954" t="s">
        <v>794</v>
      </c>
      <c r="B46" s="292" t="s">
        <v>1065</v>
      </c>
      <c r="C46" s="293">
        <f>ROUND((C33+C39)*F27,0)</f>
        <v>0</v>
      </c>
      <c r="D46" s="307"/>
      <c r="E46" s="280"/>
      <c r="F46" s="290"/>
      <c r="G46" s="291"/>
    </row>
    <row r="47" spans="1:7" s="258" customFormat="1" ht="13.5" customHeight="1">
      <c r="A47" s="954" t="s">
        <v>792</v>
      </c>
      <c r="B47" s="292" t="s">
        <v>1067</v>
      </c>
      <c r="C47" s="282">
        <f>ROUND(C40*F27,4)</f>
        <v>4.1999999999999997E-3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0</v>
      </c>
      <c r="D51" s="276"/>
      <c r="E51" s="276"/>
      <c r="F51" s="308"/>
      <c r="G51" s="278" t="s">
        <v>64</v>
      </c>
    </row>
    <row r="52" spans="1:7" s="252" customFormat="1" ht="16.5" thickBot="1">
      <c r="A52" s="309" t="s">
        <v>65</v>
      </c>
      <c r="B52" s="310"/>
      <c r="C52" s="311">
        <f ca="1">C31+C51</f>
        <v>24550</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871</v>
      </c>
      <c r="B1" s="328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43381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
  <sheetViews>
    <sheetView topLeftCell="AB1" workbookViewId="0">
      <selection activeCell="A3" sqref="A3:XFD3"/>
    </sheetView>
  </sheetViews>
  <sheetFormatPr defaultRowHeight="13.5"/>
  <sheetData>
    <row r="1" spans="1:44" s="2942" customFormat="1">
      <c r="A1" s="2942" t="s">
        <v>3108</v>
      </c>
      <c r="B1" s="2942" t="s">
        <v>3078</v>
      </c>
      <c r="C1" s="2942" t="s">
        <v>3079</v>
      </c>
      <c r="D1" s="2942" t="s">
        <v>3080</v>
      </c>
      <c r="E1" s="2942" t="s">
        <v>1331</v>
      </c>
      <c r="F1" s="2942" t="s">
        <v>3109</v>
      </c>
      <c r="G1" s="2942" t="s">
        <v>3082</v>
      </c>
      <c r="H1" s="2942" t="s">
        <v>3110</v>
      </c>
      <c r="I1" s="2942" t="s">
        <v>3111</v>
      </c>
      <c r="J1" s="2942">
        <v>71022.78</v>
      </c>
      <c r="K1" s="2942">
        <v>170414</v>
      </c>
      <c r="L1" s="2942">
        <v>2.4</v>
      </c>
      <c r="M1" s="2942" t="s">
        <v>1331</v>
      </c>
      <c r="N1" s="2942" t="s">
        <v>3112</v>
      </c>
      <c r="O1" s="2942" t="s">
        <v>3113</v>
      </c>
      <c r="P1" s="2942" t="s">
        <v>1331</v>
      </c>
      <c r="Q1" s="2942" t="s">
        <v>1331</v>
      </c>
      <c r="R1" s="2942" t="s">
        <v>1331</v>
      </c>
      <c r="S1" s="2942" t="s">
        <v>1331</v>
      </c>
      <c r="T1" s="2942" t="s">
        <v>3114</v>
      </c>
      <c r="U1" s="2942" t="s">
        <v>3115</v>
      </c>
      <c r="V1" s="2942" t="s">
        <v>1331</v>
      </c>
      <c r="W1" s="2942" t="s">
        <v>3089</v>
      </c>
      <c r="X1" s="2942" t="s">
        <v>3116</v>
      </c>
      <c r="Y1" s="2942" t="s">
        <v>3117</v>
      </c>
      <c r="Z1" s="2942" t="s">
        <v>3118</v>
      </c>
      <c r="AA1" s="2942" t="s">
        <v>3118</v>
      </c>
      <c r="AB1" s="2942" t="s">
        <v>3110</v>
      </c>
      <c r="AC1" s="2942" t="s">
        <v>3093</v>
      </c>
      <c r="AD1" s="2942" t="s">
        <v>3119</v>
      </c>
      <c r="AE1" s="2942">
        <v>135000</v>
      </c>
      <c r="AF1" s="2942">
        <v>450000</v>
      </c>
      <c r="AG1" s="2942">
        <v>648000</v>
      </c>
      <c r="AH1" s="2942">
        <v>4224</v>
      </c>
      <c r="AI1" s="2942">
        <v>6082.56</v>
      </c>
      <c r="AJ1" s="2942">
        <v>26406.28</v>
      </c>
      <c r="AK1" s="2942">
        <v>38025.040000000001</v>
      </c>
      <c r="AL1" s="2942" t="s">
        <v>1331</v>
      </c>
      <c r="AM1" s="2942" t="s">
        <v>1331</v>
      </c>
      <c r="AN1" s="2942">
        <v>44</v>
      </c>
      <c r="AO1" s="2942" t="s">
        <v>3095</v>
      </c>
      <c r="AP1" s="2942" t="s">
        <v>1331</v>
      </c>
      <c r="AQ1" s="2942">
        <v>3</v>
      </c>
      <c r="AR1" s="2942" t="s">
        <v>1331</v>
      </c>
    </row>
    <row r="2" spans="1:44" s="2942" customFormat="1">
      <c r="A2" s="2942" t="s">
        <v>3131</v>
      </c>
      <c r="B2" s="2942" t="s">
        <v>3078</v>
      </c>
      <c r="C2" s="2942" t="s">
        <v>3121</v>
      </c>
      <c r="D2" s="2942" t="s">
        <v>3080</v>
      </c>
      <c r="E2" s="2942" t="s">
        <v>1331</v>
      </c>
      <c r="F2" s="2942" t="s">
        <v>3132</v>
      </c>
      <c r="G2" s="2942" t="s">
        <v>3082</v>
      </c>
      <c r="H2" s="2942" t="s">
        <v>3133</v>
      </c>
      <c r="I2" s="2942" t="s">
        <v>3124</v>
      </c>
      <c r="J2" s="2942">
        <v>30890.99</v>
      </c>
      <c r="K2" s="2942">
        <v>67960</v>
      </c>
      <c r="L2" s="2942">
        <v>2.2000000000000002</v>
      </c>
      <c r="M2" s="2942" t="s">
        <v>1331</v>
      </c>
      <c r="N2" s="2942" t="s">
        <v>3125</v>
      </c>
      <c r="O2" s="2942" t="s">
        <v>3134</v>
      </c>
      <c r="P2" s="2942" t="s">
        <v>1331</v>
      </c>
      <c r="Q2" s="2942" t="s">
        <v>1331</v>
      </c>
      <c r="R2" s="2942" t="s">
        <v>1331</v>
      </c>
      <c r="S2" s="2942" t="s">
        <v>1331</v>
      </c>
      <c r="T2" s="2942" t="s">
        <v>3135</v>
      </c>
      <c r="U2" s="2942" t="s">
        <v>3115</v>
      </c>
      <c r="V2" s="2942" t="s">
        <v>1331</v>
      </c>
      <c r="W2" s="2942" t="s">
        <v>3089</v>
      </c>
      <c r="X2" s="2942" t="s">
        <v>3136</v>
      </c>
      <c r="Y2" s="2942" t="s">
        <v>3137</v>
      </c>
      <c r="Z2" s="2942" t="s">
        <v>3138</v>
      </c>
      <c r="AA2" s="2942" t="s">
        <v>3138</v>
      </c>
      <c r="AB2" s="2942" t="s">
        <v>3133</v>
      </c>
      <c r="AC2" s="2942" t="s">
        <v>3093</v>
      </c>
      <c r="AD2" s="2942" t="s">
        <v>3139</v>
      </c>
      <c r="AE2" s="2942">
        <v>48000</v>
      </c>
      <c r="AF2" s="2942">
        <v>160000</v>
      </c>
      <c r="AG2" s="2942">
        <v>238000</v>
      </c>
      <c r="AH2" s="2942">
        <v>3453</v>
      </c>
      <c r="AI2" s="2942">
        <v>5136.34</v>
      </c>
      <c r="AJ2" s="2942">
        <v>23543.25</v>
      </c>
      <c r="AK2" s="2942">
        <v>35020.589999999997</v>
      </c>
      <c r="AL2" s="2942" t="s">
        <v>1331</v>
      </c>
      <c r="AM2" s="2942" t="s">
        <v>1331</v>
      </c>
      <c r="AN2" s="2942">
        <v>48.75</v>
      </c>
      <c r="AO2" s="2942" t="s">
        <v>3095</v>
      </c>
      <c r="AP2" s="2942" t="s">
        <v>1331</v>
      </c>
      <c r="AQ2" s="2942">
        <v>15</v>
      </c>
      <c r="AR2" s="2942" t="s">
        <v>1331</v>
      </c>
    </row>
    <row r="3" spans="1:44" s="1638" customFormat="1">
      <c r="A3" s="1638" t="s">
        <v>3208</v>
      </c>
      <c r="B3" s="1638" t="s">
        <v>3078</v>
      </c>
      <c r="C3" s="1638" t="s">
        <v>3121</v>
      </c>
      <c r="D3" s="1638" t="s">
        <v>3209</v>
      </c>
      <c r="E3" s="1638" t="s">
        <v>1331</v>
      </c>
      <c r="F3" s="1638" t="s">
        <v>3210</v>
      </c>
      <c r="G3" s="1638" t="s">
        <v>3082</v>
      </c>
      <c r="H3" s="1638" t="s">
        <v>3211</v>
      </c>
      <c r="I3" s="1638" t="s">
        <v>3124</v>
      </c>
      <c r="J3" s="1638">
        <v>82458.61</v>
      </c>
      <c r="K3" s="1638">
        <v>99309</v>
      </c>
      <c r="L3" s="1638">
        <v>1.2</v>
      </c>
      <c r="M3" s="1638" t="s">
        <v>1331</v>
      </c>
      <c r="N3" s="1638" t="s">
        <v>3125</v>
      </c>
      <c r="O3" s="1638" t="s">
        <v>3212</v>
      </c>
      <c r="P3" s="1638" t="s">
        <v>1331</v>
      </c>
      <c r="Q3" s="1638" t="s">
        <v>1331</v>
      </c>
      <c r="R3" s="1638" t="s">
        <v>1331</v>
      </c>
      <c r="S3" s="1638" t="s">
        <v>1331</v>
      </c>
      <c r="T3" s="1638" t="s">
        <v>3087</v>
      </c>
      <c r="U3" s="1638" t="s">
        <v>3088</v>
      </c>
      <c r="V3" s="1638" t="s">
        <v>1331</v>
      </c>
      <c r="W3" s="1638" t="s">
        <v>3213</v>
      </c>
      <c r="X3" s="1638" t="s">
        <v>3214</v>
      </c>
      <c r="Y3" s="1638" t="s">
        <v>3215</v>
      </c>
      <c r="Z3" s="1638" t="s">
        <v>3216</v>
      </c>
      <c r="AA3" s="1638" t="s">
        <v>3216</v>
      </c>
      <c r="AB3" s="1638" t="s">
        <v>3211</v>
      </c>
      <c r="AC3" s="1638" t="s">
        <v>3093</v>
      </c>
      <c r="AD3" s="1638" t="s">
        <v>3217</v>
      </c>
      <c r="AE3" s="1638">
        <v>81000</v>
      </c>
      <c r="AF3" s="1638">
        <v>267800</v>
      </c>
      <c r="AG3" s="1638">
        <v>345000</v>
      </c>
      <c r="AH3" s="1638">
        <v>2165.13</v>
      </c>
      <c r="AI3" s="1638">
        <v>2789.28</v>
      </c>
      <c r="AJ3" s="1638">
        <v>26966.33</v>
      </c>
      <c r="AK3" s="1638">
        <v>34740.050000000003</v>
      </c>
      <c r="AL3" s="1638" t="s">
        <v>1331</v>
      </c>
      <c r="AM3" s="1638" t="s">
        <v>1331</v>
      </c>
      <c r="AN3" s="1638">
        <v>28.83</v>
      </c>
      <c r="AO3" s="1638" t="s">
        <v>3095</v>
      </c>
      <c r="AP3" s="1638" t="s">
        <v>1331</v>
      </c>
      <c r="AQ3" s="1638" t="s">
        <v>1331</v>
      </c>
      <c r="AR3" s="1638" t="s">
        <v>1331</v>
      </c>
    </row>
    <row r="5" spans="1:44" s="1638" customFormat="1">
      <c r="A5" s="1638" t="s">
        <v>3034</v>
      </c>
      <c r="B5" s="1638" t="s">
        <v>3035</v>
      </c>
      <c r="C5" s="1638" t="s">
        <v>3036</v>
      </c>
      <c r="D5" s="1638" t="s">
        <v>3037</v>
      </c>
      <c r="E5" s="1638" t="s">
        <v>3038</v>
      </c>
      <c r="F5" s="1638" t="s">
        <v>3039</v>
      </c>
      <c r="G5" s="1638" t="s">
        <v>3040</v>
      </c>
      <c r="H5" s="1638" t="s">
        <v>3041</v>
      </c>
      <c r="I5" s="1638" t="s">
        <v>3042</v>
      </c>
      <c r="J5" s="1638" t="s">
        <v>3043</v>
      </c>
      <c r="K5" s="1638" t="s">
        <v>3044</v>
      </c>
      <c r="L5" s="1638" t="s">
        <v>3045</v>
      </c>
      <c r="M5" s="1638" t="s">
        <v>3046</v>
      </c>
      <c r="N5" s="1638" t="s">
        <v>3047</v>
      </c>
      <c r="O5" s="1638" t="s">
        <v>3048</v>
      </c>
      <c r="P5" s="1638" t="s">
        <v>3049</v>
      </c>
      <c r="Q5" s="1638" t="s">
        <v>3050</v>
      </c>
      <c r="R5" s="1638" t="s">
        <v>3051</v>
      </c>
      <c r="S5" s="1638" t="s">
        <v>3052</v>
      </c>
      <c r="T5" s="1638" t="s">
        <v>3053</v>
      </c>
      <c r="U5" s="1638" t="s">
        <v>3054</v>
      </c>
      <c r="V5" s="1638" t="s">
        <v>3055</v>
      </c>
      <c r="W5" s="1638" t="s">
        <v>3056</v>
      </c>
      <c r="X5" s="1638" t="s">
        <v>3057</v>
      </c>
      <c r="Y5" s="1638" t="s">
        <v>3058</v>
      </c>
      <c r="Z5" s="1638" t="s">
        <v>3059</v>
      </c>
      <c r="AA5" s="1638" t="s">
        <v>3060</v>
      </c>
      <c r="AB5" s="1638" t="s">
        <v>3061</v>
      </c>
      <c r="AC5" s="1638" t="s">
        <v>3062</v>
      </c>
      <c r="AD5" s="1638" t="s">
        <v>3063</v>
      </c>
      <c r="AE5" s="1638" t="s">
        <v>3064</v>
      </c>
      <c r="AF5" s="1638" t="s">
        <v>3065</v>
      </c>
      <c r="AG5" s="1638" t="s">
        <v>3066</v>
      </c>
      <c r="AH5" s="1638" t="s">
        <v>3067</v>
      </c>
      <c r="AI5" s="1638" t="s">
        <v>3068</v>
      </c>
      <c r="AJ5" s="1638" t="s">
        <v>3069</v>
      </c>
      <c r="AK5" s="1638" t="s">
        <v>3070</v>
      </c>
      <c r="AL5" s="1638" t="s">
        <v>3071</v>
      </c>
      <c r="AM5" s="1638" t="s">
        <v>3072</v>
      </c>
      <c r="AN5" s="1638" t="s">
        <v>3073</v>
      </c>
      <c r="AO5" s="1638" t="s">
        <v>3074</v>
      </c>
      <c r="AP5" s="1638" t="s">
        <v>3075</v>
      </c>
      <c r="AQ5" s="1638" t="s">
        <v>3076</v>
      </c>
      <c r="AR5" s="1638" t="s">
        <v>3077</v>
      </c>
    </row>
    <row r="6" spans="1:44" s="2944" customFormat="1" ht="14.25">
      <c r="A6" s="2945" t="s">
        <v>3224</v>
      </c>
      <c r="B6" s="2944" t="s">
        <v>3078</v>
      </c>
      <c r="C6" s="2944" t="s">
        <v>3079</v>
      </c>
      <c r="D6" s="2944" t="s">
        <v>3080</v>
      </c>
      <c r="E6" s="2944" t="s">
        <v>1331</v>
      </c>
      <c r="F6" s="2944" t="s">
        <v>3081</v>
      </c>
      <c r="G6" s="2944" t="s">
        <v>3082</v>
      </c>
      <c r="H6" s="2944" t="s">
        <v>3083</v>
      </c>
      <c r="I6" s="2944" t="s">
        <v>3084</v>
      </c>
      <c r="J6" s="2944">
        <v>175114.7</v>
      </c>
      <c r="K6" s="2944">
        <v>299579</v>
      </c>
      <c r="L6" s="2944">
        <v>1.7</v>
      </c>
      <c r="M6" s="2944" t="s">
        <v>1331</v>
      </c>
      <c r="N6" s="2944" t="s">
        <v>3085</v>
      </c>
      <c r="O6" s="2944" t="s">
        <v>3086</v>
      </c>
      <c r="P6" s="2944" t="s">
        <v>1331</v>
      </c>
      <c r="Q6" s="2944" t="s">
        <v>1331</v>
      </c>
      <c r="R6" s="2944" t="s">
        <v>1331</v>
      </c>
      <c r="S6" s="2944" t="s">
        <v>1331</v>
      </c>
      <c r="T6" s="2944" t="s">
        <v>3087</v>
      </c>
      <c r="U6" s="2944" t="s">
        <v>3088</v>
      </c>
      <c r="V6" s="2944" t="s">
        <v>1331</v>
      </c>
      <c r="W6" s="2944" t="s">
        <v>3089</v>
      </c>
      <c r="X6" s="2944" t="s">
        <v>3090</v>
      </c>
      <c r="Y6" s="2944" t="s">
        <v>3091</v>
      </c>
      <c r="Z6" s="2944" t="s">
        <v>3092</v>
      </c>
      <c r="AA6" s="2944" t="s">
        <v>3092</v>
      </c>
      <c r="AB6" s="2944" t="s">
        <v>3083</v>
      </c>
      <c r="AC6" s="2944" t="s">
        <v>3093</v>
      </c>
      <c r="AD6" s="2944" t="s">
        <v>3094</v>
      </c>
      <c r="AE6" s="2944">
        <v>136000</v>
      </c>
      <c r="AF6" s="2944">
        <v>453000</v>
      </c>
      <c r="AG6" s="2944">
        <v>545000</v>
      </c>
      <c r="AH6" s="2944">
        <v>1724.58</v>
      </c>
      <c r="AI6" s="2944">
        <v>2074.83</v>
      </c>
      <c r="AJ6" s="2944">
        <v>15121.21</v>
      </c>
      <c r="AK6" s="2944">
        <v>18192.2</v>
      </c>
      <c r="AL6" s="2944" t="s">
        <v>1331</v>
      </c>
      <c r="AM6" s="2944" t="s">
        <v>1331</v>
      </c>
      <c r="AN6" s="2944">
        <v>20.309999999999999</v>
      </c>
      <c r="AO6" s="2944" t="s">
        <v>3095</v>
      </c>
      <c r="AP6" s="2944" t="s">
        <v>1331</v>
      </c>
      <c r="AQ6" s="2944" t="s">
        <v>1331</v>
      </c>
      <c r="AR6" s="2944" t="s">
        <v>1331</v>
      </c>
    </row>
    <row r="7" spans="1:44" s="2946" customFormat="1">
      <c r="A7" s="2946" t="s">
        <v>3096</v>
      </c>
      <c r="B7" s="2946" t="s">
        <v>3078</v>
      </c>
      <c r="C7" s="2946" t="s">
        <v>3079</v>
      </c>
      <c r="D7" s="2946" t="s">
        <v>3080</v>
      </c>
      <c r="E7" s="2946" t="s">
        <v>1331</v>
      </c>
      <c r="F7" s="2946" t="s">
        <v>3097</v>
      </c>
      <c r="G7" s="2946" t="s">
        <v>3082</v>
      </c>
      <c r="H7" s="2946" t="s">
        <v>3098</v>
      </c>
      <c r="I7" s="2946" t="s">
        <v>3099</v>
      </c>
      <c r="J7" s="2946">
        <v>122262</v>
      </c>
      <c r="K7" s="2946">
        <v>285496</v>
      </c>
      <c r="L7" s="2946">
        <v>2.335</v>
      </c>
      <c r="M7" s="2946" t="s">
        <v>1331</v>
      </c>
      <c r="N7" s="2946" t="s">
        <v>3100</v>
      </c>
      <c r="O7" s="2946" t="s">
        <v>3101</v>
      </c>
      <c r="P7" s="2946" t="s">
        <v>1331</v>
      </c>
      <c r="Q7" s="2946" t="s">
        <v>1331</v>
      </c>
      <c r="R7" s="2946" t="s">
        <v>1331</v>
      </c>
      <c r="S7" s="2946" t="s">
        <v>3102</v>
      </c>
      <c r="T7" s="2946" t="s">
        <v>3103</v>
      </c>
      <c r="U7" s="2946" t="s">
        <v>3103</v>
      </c>
      <c r="V7" s="2946" t="s">
        <v>1331</v>
      </c>
      <c r="W7" s="2946" t="s">
        <v>3089</v>
      </c>
      <c r="X7" s="2946" t="s">
        <v>3104</v>
      </c>
      <c r="Y7" s="2946" t="s">
        <v>3105</v>
      </c>
      <c r="Z7" s="2946" t="s">
        <v>3106</v>
      </c>
      <c r="AA7" s="2946" t="s">
        <v>3106</v>
      </c>
      <c r="AB7" s="2946" t="s">
        <v>3098</v>
      </c>
      <c r="AC7" s="2946" t="s">
        <v>3093</v>
      </c>
      <c r="AD7" s="2946" t="s">
        <v>3107</v>
      </c>
      <c r="AE7" s="2946">
        <v>99000</v>
      </c>
      <c r="AF7" s="2946">
        <v>328500</v>
      </c>
      <c r="AG7" s="2946">
        <v>328500</v>
      </c>
      <c r="AH7" s="2946">
        <v>1791.24</v>
      </c>
      <c r="AI7" s="2946">
        <v>1791.24</v>
      </c>
      <c r="AJ7" s="2946">
        <v>11506.29</v>
      </c>
      <c r="AK7" s="2946">
        <v>11506.29</v>
      </c>
      <c r="AL7" s="2946" t="s">
        <v>1331</v>
      </c>
      <c r="AM7" s="2946" t="s">
        <v>1331</v>
      </c>
      <c r="AN7" s="2946">
        <v>0</v>
      </c>
      <c r="AO7" s="2946" t="s">
        <v>3095</v>
      </c>
      <c r="AP7" s="2946" t="s">
        <v>1331</v>
      </c>
      <c r="AQ7" s="2946" t="s">
        <v>1331</v>
      </c>
      <c r="AR7" s="2946" t="s">
        <v>1331</v>
      </c>
    </row>
    <row r="8" spans="1:44" s="2942" customFormat="1">
      <c r="A8" s="2942" t="s">
        <v>3108</v>
      </c>
      <c r="B8" s="2942" t="s">
        <v>3078</v>
      </c>
      <c r="C8" s="2942" t="s">
        <v>3079</v>
      </c>
      <c r="D8" s="2942" t="s">
        <v>3080</v>
      </c>
      <c r="E8" s="2942" t="s">
        <v>1331</v>
      </c>
      <c r="F8" s="2942" t="s">
        <v>3109</v>
      </c>
      <c r="G8" s="2942" t="s">
        <v>3082</v>
      </c>
      <c r="H8" s="2942" t="s">
        <v>3110</v>
      </c>
      <c r="I8" s="2942" t="s">
        <v>3111</v>
      </c>
      <c r="J8" s="2942">
        <v>71022.78</v>
      </c>
      <c r="K8" s="2942">
        <v>170414</v>
      </c>
      <c r="L8" s="2942">
        <v>2.4</v>
      </c>
      <c r="M8" s="2942" t="s">
        <v>1331</v>
      </c>
      <c r="N8" s="2942" t="s">
        <v>3112</v>
      </c>
      <c r="O8" s="2942" t="s">
        <v>3113</v>
      </c>
      <c r="P8" s="2942" t="s">
        <v>1331</v>
      </c>
      <c r="Q8" s="2942" t="s">
        <v>1331</v>
      </c>
      <c r="R8" s="2942" t="s">
        <v>1331</v>
      </c>
      <c r="S8" s="2942" t="s">
        <v>1331</v>
      </c>
      <c r="T8" s="2942" t="s">
        <v>3114</v>
      </c>
      <c r="U8" s="2942" t="s">
        <v>3115</v>
      </c>
      <c r="V8" s="2942" t="s">
        <v>1331</v>
      </c>
      <c r="W8" s="2942" t="s">
        <v>3089</v>
      </c>
      <c r="X8" s="2942" t="s">
        <v>3116</v>
      </c>
      <c r="Y8" s="2942" t="s">
        <v>3117</v>
      </c>
      <c r="Z8" s="2942" t="s">
        <v>3118</v>
      </c>
      <c r="AA8" s="2942" t="s">
        <v>3118</v>
      </c>
      <c r="AB8" s="2942" t="s">
        <v>3110</v>
      </c>
      <c r="AC8" s="2942" t="s">
        <v>3093</v>
      </c>
      <c r="AD8" s="2942" t="s">
        <v>3119</v>
      </c>
      <c r="AE8" s="2942">
        <v>135000</v>
      </c>
      <c r="AF8" s="2942">
        <v>450000</v>
      </c>
      <c r="AG8" s="2942">
        <v>648000</v>
      </c>
      <c r="AH8" s="2942">
        <v>4224</v>
      </c>
      <c r="AI8" s="2942">
        <v>6082.56</v>
      </c>
      <c r="AJ8" s="2942">
        <v>26406.28</v>
      </c>
      <c r="AK8" s="2942">
        <v>38025.040000000001</v>
      </c>
      <c r="AL8" s="2942" t="s">
        <v>1331</v>
      </c>
      <c r="AM8" s="2942" t="s">
        <v>1331</v>
      </c>
      <c r="AN8" s="2942">
        <v>44</v>
      </c>
      <c r="AO8" s="2942" t="s">
        <v>3095</v>
      </c>
      <c r="AP8" s="2942" t="s">
        <v>1331</v>
      </c>
      <c r="AQ8" s="2942">
        <v>3</v>
      </c>
      <c r="AR8" s="2942" t="s">
        <v>1331</v>
      </c>
    </row>
    <row r="9" spans="1:44" s="2946" customFormat="1">
      <c r="A9" s="2946" t="s">
        <v>3120</v>
      </c>
      <c r="B9" s="2946" t="s">
        <v>3078</v>
      </c>
      <c r="C9" s="2946" t="s">
        <v>3121</v>
      </c>
      <c r="D9" s="2946" t="s">
        <v>3080</v>
      </c>
      <c r="E9" s="2946" t="s">
        <v>1331</v>
      </c>
      <c r="F9" s="2946" t="s">
        <v>3122</v>
      </c>
      <c r="G9" s="2946" t="s">
        <v>3082</v>
      </c>
      <c r="H9" s="2946" t="s">
        <v>3123</v>
      </c>
      <c r="I9" s="2946" t="s">
        <v>3124</v>
      </c>
      <c r="J9" s="2946">
        <v>66465.42</v>
      </c>
      <c r="K9" s="2946">
        <v>99698</v>
      </c>
      <c r="L9" s="2946">
        <v>1.5</v>
      </c>
      <c r="M9" s="2946" t="s">
        <v>1331</v>
      </c>
      <c r="N9" s="2946" t="s">
        <v>3125</v>
      </c>
      <c r="O9" s="2946" t="s">
        <v>3126</v>
      </c>
      <c r="P9" s="2946" t="s">
        <v>1331</v>
      </c>
      <c r="Q9" s="2946" t="s">
        <v>1331</v>
      </c>
      <c r="R9" s="2946" t="s">
        <v>1331</v>
      </c>
      <c r="S9" s="2946" t="s">
        <v>3127</v>
      </c>
      <c r="T9" s="2946" t="s">
        <v>3103</v>
      </c>
      <c r="U9" s="2946" t="s">
        <v>3103</v>
      </c>
      <c r="V9" s="2946" t="s">
        <v>1331</v>
      </c>
      <c r="W9" s="2946" t="s">
        <v>3089</v>
      </c>
      <c r="X9" s="2946" t="s">
        <v>3128</v>
      </c>
      <c r="Y9" s="2946" t="s">
        <v>3129</v>
      </c>
      <c r="Z9" s="2946" t="s">
        <v>3130</v>
      </c>
      <c r="AA9" s="2946" t="s">
        <v>3130</v>
      </c>
      <c r="AB9" s="2946" t="s">
        <v>3123</v>
      </c>
      <c r="AC9" s="2946" t="s">
        <v>3093</v>
      </c>
      <c r="AD9" s="2946" t="s">
        <v>3107</v>
      </c>
      <c r="AE9" s="2946">
        <v>56000</v>
      </c>
      <c r="AF9" s="2946">
        <v>185000</v>
      </c>
      <c r="AG9" s="2946">
        <v>190000</v>
      </c>
      <c r="AH9" s="2946">
        <v>1855.6</v>
      </c>
      <c r="AI9" s="2946">
        <v>1905.75</v>
      </c>
      <c r="AJ9" s="2946">
        <v>18556.04</v>
      </c>
      <c r="AK9" s="2946">
        <v>19057.54</v>
      </c>
      <c r="AL9" s="2946" t="s">
        <v>1331</v>
      </c>
      <c r="AM9" s="2946" t="s">
        <v>1331</v>
      </c>
      <c r="AN9" s="2946">
        <v>2.7</v>
      </c>
      <c r="AO9" s="2946" t="s">
        <v>3095</v>
      </c>
      <c r="AP9" s="2946" t="s">
        <v>1331</v>
      </c>
      <c r="AQ9" s="2946" t="s">
        <v>1331</v>
      </c>
      <c r="AR9" s="2946" t="s">
        <v>1331</v>
      </c>
    </row>
    <row r="10" spans="1:44" s="2942" customFormat="1">
      <c r="A10" s="2942" t="s">
        <v>3131</v>
      </c>
      <c r="B10" s="2942" t="s">
        <v>3078</v>
      </c>
      <c r="C10" s="2942" t="s">
        <v>3121</v>
      </c>
      <c r="D10" s="2942" t="s">
        <v>3080</v>
      </c>
      <c r="E10" s="2942" t="s">
        <v>1331</v>
      </c>
      <c r="F10" s="2942" t="s">
        <v>3132</v>
      </c>
      <c r="G10" s="2942" t="s">
        <v>3082</v>
      </c>
      <c r="H10" s="2942" t="s">
        <v>3133</v>
      </c>
      <c r="I10" s="2942" t="s">
        <v>3124</v>
      </c>
      <c r="J10" s="2942">
        <v>30890.99</v>
      </c>
      <c r="K10" s="2942">
        <v>67960</v>
      </c>
      <c r="L10" s="2942">
        <v>2.2000000000000002</v>
      </c>
      <c r="M10" s="2942" t="s">
        <v>1331</v>
      </c>
      <c r="N10" s="2942" t="s">
        <v>3125</v>
      </c>
      <c r="O10" s="2942" t="s">
        <v>3134</v>
      </c>
      <c r="P10" s="2942" t="s">
        <v>1331</v>
      </c>
      <c r="Q10" s="2942" t="s">
        <v>1331</v>
      </c>
      <c r="R10" s="2942" t="s">
        <v>1331</v>
      </c>
      <c r="S10" s="2942" t="s">
        <v>1331</v>
      </c>
      <c r="T10" s="2942" t="s">
        <v>3135</v>
      </c>
      <c r="U10" s="2942" t="s">
        <v>3115</v>
      </c>
      <c r="V10" s="2942" t="s">
        <v>1331</v>
      </c>
      <c r="W10" s="2942" t="s">
        <v>3089</v>
      </c>
      <c r="X10" s="2942" t="s">
        <v>3136</v>
      </c>
      <c r="Y10" s="2942" t="s">
        <v>3137</v>
      </c>
      <c r="Z10" s="2942" t="s">
        <v>3138</v>
      </c>
      <c r="AA10" s="2942" t="s">
        <v>3138</v>
      </c>
      <c r="AB10" s="2942" t="s">
        <v>3133</v>
      </c>
      <c r="AC10" s="2942" t="s">
        <v>3093</v>
      </c>
      <c r="AD10" s="2942" t="s">
        <v>3139</v>
      </c>
      <c r="AE10" s="2942">
        <v>48000</v>
      </c>
      <c r="AF10" s="2942">
        <v>160000</v>
      </c>
      <c r="AG10" s="2942">
        <v>238000</v>
      </c>
      <c r="AH10" s="2942">
        <v>3453</v>
      </c>
      <c r="AI10" s="2942">
        <v>5136.34</v>
      </c>
      <c r="AJ10" s="2942">
        <v>23543.25</v>
      </c>
      <c r="AK10" s="2942">
        <v>35020.589999999997</v>
      </c>
      <c r="AL10" s="2942" t="s">
        <v>1331</v>
      </c>
      <c r="AM10" s="2942" t="s">
        <v>1331</v>
      </c>
      <c r="AN10" s="2942">
        <v>48.75</v>
      </c>
      <c r="AO10" s="2942" t="s">
        <v>3095</v>
      </c>
      <c r="AP10" s="2942" t="s">
        <v>1331</v>
      </c>
      <c r="AQ10" s="2942">
        <v>15</v>
      </c>
      <c r="AR10" s="2942" t="s">
        <v>1331</v>
      </c>
    </row>
    <row r="11" spans="1:44" s="2944" customFormat="1">
      <c r="A11" s="2944" t="s">
        <v>3140</v>
      </c>
      <c r="B11" s="2944" t="s">
        <v>3078</v>
      </c>
      <c r="C11" s="2944" t="s">
        <v>3079</v>
      </c>
      <c r="D11" s="2944" t="s">
        <v>3080</v>
      </c>
      <c r="E11" s="2944" t="s">
        <v>1331</v>
      </c>
      <c r="F11" s="2944" t="s">
        <v>3097</v>
      </c>
      <c r="G11" s="2944" t="s">
        <v>3082</v>
      </c>
      <c r="H11" s="2944" t="s">
        <v>3141</v>
      </c>
      <c r="I11" s="2944" t="s">
        <v>3142</v>
      </c>
      <c r="J11" s="2944">
        <v>101259.5</v>
      </c>
      <c r="K11" s="2944">
        <v>202324</v>
      </c>
      <c r="L11" s="2944">
        <v>2</v>
      </c>
      <c r="M11" s="2944" t="s">
        <v>1331</v>
      </c>
      <c r="N11" s="2944" t="s">
        <v>3143</v>
      </c>
      <c r="O11" s="2944" t="s">
        <v>3143</v>
      </c>
      <c r="P11" s="2944" t="s">
        <v>1331</v>
      </c>
      <c r="Q11" s="2944" t="s">
        <v>1331</v>
      </c>
      <c r="R11" s="2944" t="s">
        <v>1331</v>
      </c>
      <c r="S11" s="2944" t="s">
        <v>1331</v>
      </c>
      <c r="T11" s="2944" t="s">
        <v>3144</v>
      </c>
      <c r="U11" s="2944" t="s">
        <v>3145</v>
      </c>
      <c r="V11" s="2944" t="s">
        <v>1331</v>
      </c>
      <c r="W11" s="2944" t="s">
        <v>3089</v>
      </c>
      <c r="X11" s="2944" t="s">
        <v>3146</v>
      </c>
      <c r="Y11" s="2944" t="s">
        <v>3147</v>
      </c>
      <c r="Z11" s="2944" t="s">
        <v>3148</v>
      </c>
      <c r="AA11" s="2944" t="s">
        <v>3148</v>
      </c>
      <c r="AB11" s="2944" t="s">
        <v>3141</v>
      </c>
      <c r="AC11" s="2944" t="s">
        <v>3093</v>
      </c>
      <c r="AD11" s="2944" t="s">
        <v>3149</v>
      </c>
      <c r="AE11" s="2944">
        <v>110000</v>
      </c>
      <c r="AF11" s="2944">
        <v>370000</v>
      </c>
      <c r="AG11" s="2944">
        <v>395000</v>
      </c>
      <c r="AH11" s="2944">
        <v>2435.9899999999998</v>
      </c>
      <c r="AI11" s="2944">
        <v>2600.58</v>
      </c>
      <c r="AJ11" s="2944">
        <v>18287.5</v>
      </c>
      <c r="AK11" s="2944">
        <v>19523.13</v>
      </c>
      <c r="AL11" s="2944" t="s">
        <v>1331</v>
      </c>
      <c r="AM11" s="2944" t="s">
        <v>1331</v>
      </c>
      <c r="AN11" s="2944">
        <v>6.76</v>
      </c>
      <c r="AO11" s="2944" t="s">
        <v>3095</v>
      </c>
      <c r="AP11" s="2944" t="s">
        <v>1331</v>
      </c>
      <c r="AQ11" s="2944" t="s">
        <v>1331</v>
      </c>
      <c r="AR11" s="2944" t="s">
        <v>1331</v>
      </c>
    </row>
    <row r="12" spans="1:44" s="2946" customFormat="1">
      <c r="A12" s="2946" t="s">
        <v>3150</v>
      </c>
      <c r="B12" s="2946" t="s">
        <v>3078</v>
      </c>
      <c r="C12" s="2946" t="s">
        <v>3121</v>
      </c>
      <c r="D12" s="2946" t="s">
        <v>3080</v>
      </c>
      <c r="E12" s="2946" t="s">
        <v>1331</v>
      </c>
      <c r="F12" s="2946" t="s">
        <v>3097</v>
      </c>
      <c r="G12" s="2946" t="s">
        <v>3082</v>
      </c>
      <c r="H12" s="2946" t="s">
        <v>3151</v>
      </c>
      <c r="I12" s="2946" t="s">
        <v>3124</v>
      </c>
      <c r="J12" s="2946">
        <v>44353.34</v>
      </c>
      <c r="K12" s="2946">
        <v>97577</v>
      </c>
      <c r="L12" s="2946">
        <v>2.2000000000000002</v>
      </c>
      <c r="M12" s="2946" t="s">
        <v>1331</v>
      </c>
      <c r="N12" s="2946" t="s">
        <v>3125</v>
      </c>
      <c r="O12" s="2946" t="s">
        <v>3152</v>
      </c>
      <c r="P12" s="2946" t="s">
        <v>1331</v>
      </c>
      <c r="Q12" s="2946" t="s">
        <v>1331</v>
      </c>
      <c r="R12" s="2946" t="s">
        <v>1331</v>
      </c>
      <c r="S12" s="2946" t="s">
        <v>3153</v>
      </c>
      <c r="T12" s="2946" t="s">
        <v>3103</v>
      </c>
      <c r="U12" s="2946" t="s">
        <v>3103</v>
      </c>
      <c r="V12" s="2946" t="s">
        <v>1331</v>
      </c>
      <c r="W12" s="2946" t="s">
        <v>3089</v>
      </c>
      <c r="X12" s="2946" t="s">
        <v>3154</v>
      </c>
      <c r="Y12" s="2946" t="s">
        <v>3155</v>
      </c>
      <c r="Z12" s="2946" t="s">
        <v>3156</v>
      </c>
      <c r="AA12" s="2946" t="s">
        <v>3156</v>
      </c>
      <c r="AB12" s="2946" t="s">
        <v>3151</v>
      </c>
      <c r="AC12" s="2946" t="s">
        <v>3093</v>
      </c>
      <c r="AD12" s="2946" t="s">
        <v>3157</v>
      </c>
      <c r="AE12" s="2946">
        <v>53000</v>
      </c>
      <c r="AF12" s="2946">
        <v>175000</v>
      </c>
      <c r="AG12" s="2946">
        <v>222000</v>
      </c>
      <c r="AH12" s="2946">
        <v>2630.39</v>
      </c>
      <c r="AI12" s="2946">
        <v>3336.84</v>
      </c>
      <c r="AJ12" s="2946">
        <v>17934.55</v>
      </c>
      <c r="AK12" s="2946">
        <v>22751.25</v>
      </c>
      <c r="AL12" s="2946" t="s">
        <v>1331</v>
      </c>
      <c r="AM12" s="2946" t="s">
        <v>1331</v>
      </c>
      <c r="AN12" s="2946">
        <v>26.86</v>
      </c>
      <c r="AO12" s="2946" t="s">
        <v>3095</v>
      </c>
      <c r="AP12" s="2946" t="s">
        <v>1331</v>
      </c>
      <c r="AQ12" s="2946" t="s">
        <v>1331</v>
      </c>
      <c r="AR12" s="2946" t="s">
        <v>1331</v>
      </c>
    </row>
    <row r="13" spans="1:44" s="2946" customFormat="1">
      <c r="A13" s="2946" t="s">
        <v>3158</v>
      </c>
      <c r="B13" s="2946" t="s">
        <v>3078</v>
      </c>
      <c r="C13" s="2946" t="s">
        <v>3079</v>
      </c>
      <c r="D13" s="2946" t="s">
        <v>3080</v>
      </c>
      <c r="E13" s="2946" t="s">
        <v>1331</v>
      </c>
      <c r="F13" s="2946" t="s">
        <v>3159</v>
      </c>
      <c r="G13" s="2946" t="s">
        <v>3082</v>
      </c>
      <c r="H13" s="2946" t="s">
        <v>3160</v>
      </c>
      <c r="I13" s="2946" t="s">
        <v>3161</v>
      </c>
      <c r="J13" s="2946">
        <v>89347.09</v>
      </c>
      <c r="K13" s="2946">
        <v>178694</v>
      </c>
      <c r="L13" s="2946">
        <v>2</v>
      </c>
      <c r="M13" s="2946" t="s">
        <v>1331</v>
      </c>
      <c r="N13" s="2946" t="s">
        <v>1331</v>
      </c>
      <c r="O13" s="2946" t="s">
        <v>1331</v>
      </c>
      <c r="P13" s="2946" t="s">
        <v>3162</v>
      </c>
      <c r="Q13" s="2946">
        <v>37500</v>
      </c>
      <c r="R13" s="2946">
        <v>57500</v>
      </c>
      <c r="S13" s="2946" t="s">
        <v>1331</v>
      </c>
      <c r="T13" s="2946" t="s">
        <v>1331</v>
      </c>
      <c r="U13" s="2946" t="s">
        <v>1331</v>
      </c>
      <c r="V13" s="2946" t="s">
        <v>1331</v>
      </c>
      <c r="W13" s="2946" t="s">
        <v>3089</v>
      </c>
      <c r="X13" s="2946" t="s">
        <v>3163</v>
      </c>
      <c r="Y13" s="2946" t="s">
        <v>3164</v>
      </c>
      <c r="Z13" s="2946" t="s">
        <v>3165</v>
      </c>
      <c r="AA13" s="2946" t="s">
        <v>3165</v>
      </c>
      <c r="AB13" s="2946" t="s">
        <v>3160</v>
      </c>
      <c r="AC13" s="2946" t="s">
        <v>3093</v>
      </c>
      <c r="AD13" s="2946" t="s">
        <v>3166</v>
      </c>
      <c r="AE13" s="2946">
        <v>64000</v>
      </c>
      <c r="AF13" s="2946">
        <v>213000</v>
      </c>
      <c r="AG13" s="2946">
        <v>319500</v>
      </c>
      <c r="AH13" s="2946">
        <v>1589.31</v>
      </c>
      <c r="AI13" s="2946">
        <v>2383.96</v>
      </c>
      <c r="AJ13" s="2946">
        <v>11919.81</v>
      </c>
      <c r="AK13" s="2946">
        <v>17879.72</v>
      </c>
      <c r="AL13" s="2946">
        <v>15086</v>
      </c>
      <c r="AM13" s="2946">
        <v>26363</v>
      </c>
      <c r="AN13" s="2946">
        <v>50</v>
      </c>
      <c r="AO13" s="2946" t="s">
        <v>3095</v>
      </c>
      <c r="AP13" s="2946" t="s">
        <v>1331</v>
      </c>
      <c r="AQ13" s="2946" t="s">
        <v>1331</v>
      </c>
      <c r="AR13" s="2946" t="s">
        <v>1331</v>
      </c>
    </row>
    <row r="14" spans="1:44" s="2944" customFormat="1">
      <c r="A14" s="2944" t="s">
        <v>3167</v>
      </c>
      <c r="B14" s="2944" t="s">
        <v>3078</v>
      </c>
      <c r="C14" s="2944" t="s">
        <v>3079</v>
      </c>
      <c r="D14" s="2944" t="s">
        <v>3080</v>
      </c>
      <c r="E14" s="2944" t="s">
        <v>1331</v>
      </c>
      <c r="F14" s="2944" t="s">
        <v>3159</v>
      </c>
      <c r="G14" s="2944" t="s">
        <v>3082</v>
      </c>
      <c r="H14" s="2944" t="s">
        <v>3168</v>
      </c>
      <c r="I14" s="2944" t="s">
        <v>3161</v>
      </c>
      <c r="J14" s="2944">
        <v>83732.679999999993</v>
      </c>
      <c r="K14" s="2944">
        <v>167465</v>
      </c>
      <c r="L14" s="2944">
        <v>2</v>
      </c>
      <c r="M14" s="2944" t="s">
        <v>1331</v>
      </c>
      <c r="N14" s="2944" t="s">
        <v>1331</v>
      </c>
      <c r="O14" s="2944" t="s">
        <v>1331</v>
      </c>
      <c r="P14" s="2944" t="s">
        <v>1331</v>
      </c>
      <c r="Q14" s="2944">
        <v>35200</v>
      </c>
      <c r="R14" s="2944">
        <v>57200</v>
      </c>
      <c r="S14" s="2944" t="s">
        <v>1331</v>
      </c>
      <c r="T14" s="2944" t="s">
        <v>1331</v>
      </c>
      <c r="U14" s="2944" t="s">
        <v>1331</v>
      </c>
      <c r="V14" s="2944" t="s">
        <v>1331</v>
      </c>
      <c r="W14" s="2944" t="s">
        <v>3089</v>
      </c>
      <c r="X14" s="2944" t="s">
        <v>3163</v>
      </c>
      <c r="Y14" s="2944" t="s">
        <v>3164</v>
      </c>
      <c r="Z14" s="2944" t="s">
        <v>3165</v>
      </c>
      <c r="AA14" s="2944" t="s">
        <v>3165</v>
      </c>
      <c r="AB14" s="2944" t="s">
        <v>3168</v>
      </c>
      <c r="AC14" s="2944" t="s">
        <v>3093</v>
      </c>
      <c r="AD14" s="2944" t="s">
        <v>3166</v>
      </c>
      <c r="AE14" s="2944">
        <v>60000</v>
      </c>
      <c r="AF14" s="2944">
        <v>200000</v>
      </c>
      <c r="AG14" s="2944">
        <v>300000</v>
      </c>
      <c r="AH14" s="2944">
        <v>1592.37</v>
      </c>
      <c r="AI14" s="2944">
        <v>2388.5500000000002</v>
      </c>
      <c r="AJ14" s="2944">
        <v>11942.79</v>
      </c>
      <c r="AK14" s="2944">
        <v>17914.18</v>
      </c>
      <c r="AL14" s="2944">
        <v>15121</v>
      </c>
      <c r="AM14" s="2944">
        <v>27207</v>
      </c>
      <c r="AN14" s="2944">
        <v>50</v>
      </c>
      <c r="AO14" s="2944" t="s">
        <v>3095</v>
      </c>
      <c r="AP14" s="2944" t="s">
        <v>1331</v>
      </c>
      <c r="AQ14" s="2944" t="s">
        <v>1331</v>
      </c>
      <c r="AR14" s="2944" t="s">
        <v>1331</v>
      </c>
    </row>
    <row r="15" spans="1:44" s="2946" customFormat="1">
      <c r="A15" s="2946" t="s">
        <v>3169</v>
      </c>
      <c r="B15" s="2946" t="s">
        <v>3078</v>
      </c>
      <c r="C15" s="2946" t="s">
        <v>3079</v>
      </c>
      <c r="D15" s="2946" t="s">
        <v>3080</v>
      </c>
      <c r="E15" s="2946" t="s">
        <v>1331</v>
      </c>
      <c r="F15" s="2946" t="s">
        <v>3170</v>
      </c>
      <c r="G15" s="2946" t="s">
        <v>3082</v>
      </c>
      <c r="H15" s="2946" t="s">
        <v>3171</v>
      </c>
      <c r="I15" s="2946" t="s">
        <v>3172</v>
      </c>
      <c r="J15" s="2946">
        <v>52140.02</v>
      </c>
      <c r="K15" s="2946">
        <v>83940</v>
      </c>
      <c r="L15" s="2946">
        <v>1.6</v>
      </c>
      <c r="M15" s="2946" t="s">
        <v>1331</v>
      </c>
      <c r="N15" s="2946" t="s">
        <v>1331</v>
      </c>
      <c r="O15" s="2946" t="s">
        <v>1331</v>
      </c>
      <c r="P15" s="2946" t="s">
        <v>3173</v>
      </c>
      <c r="Q15" s="2946" t="s">
        <v>1331</v>
      </c>
      <c r="R15" s="2946" t="s">
        <v>1331</v>
      </c>
      <c r="S15" s="2946" t="s">
        <v>1331</v>
      </c>
      <c r="T15" s="2946" t="s">
        <v>1331</v>
      </c>
      <c r="U15" s="2946" t="s">
        <v>1331</v>
      </c>
      <c r="V15" s="2946" t="s">
        <v>1331</v>
      </c>
      <c r="W15" s="2946" t="s">
        <v>3174</v>
      </c>
      <c r="X15" s="2946" t="s">
        <v>3175</v>
      </c>
      <c r="Y15" s="2946" t="s">
        <v>3176</v>
      </c>
      <c r="Z15" s="2946" t="s">
        <v>3177</v>
      </c>
      <c r="AA15" s="2946" t="s">
        <v>3177</v>
      </c>
      <c r="AB15" s="2946" t="s">
        <v>3171</v>
      </c>
      <c r="AC15" s="2946" t="s">
        <v>3093</v>
      </c>
      <c r="AD15" s="2946" t="s">
        <v>3178</v>
      </c>
      <c r="AE15" s="2946">
        <v>16000</v>
      </c>
      <c r="AF15" s="2946">
        <v>50450</v>
      </c>
      <c r="AG15" s="2946">
        <v>50450</v>
      </c>
      <c r="AH15" s="2946">
        <v>645.05999999999995</v>
      </c>
      <c r="AI15" s="2946">
        <v>645.05999999999995</v>
      </c>
      <c r="AJ15" s="2946">
        <v>6010.24</v>
      </c>
      <c r="AK15" s="2946">
        <v>6010.25</v>
      </c>
      <c r="AL15" s="2946" t="s">
        <v>1331</v>
      </c>
      <c r="AM15" s="2946" t="s">
        <v>1331</v>
      </c>
      <c r="AN15" s="2946">
        <v>0</v>
      </c>
      <c r="AO15" s="2946" t="s">
        <v>3095</v>
      </c>
      <c r="AP15" s="2946" t="s">
        <v>1331</v>
      </c>
      <c r="AQ15" s="2946" t="s">
        <v>1331</v>
      </c>
      <c r="AR15" s="2946" t="s">
        <v>1331</v>
      </c>
    </row>
    <row r="16" spans="1:44" s="2946" customFormat="1" ht="14.25">
      <c r="A16" s="2947" t="s">
        <v>3225</v>
      </c>
      <c r="B16" s="2946" t="s">
        <v>3078</v>
      </c>
      <c r="C16" s="2946" t="s">
        <v>3079</v>
      </c>
      <c r="D16" s="2946" t="s">
        <v>3080</v>
      </c>
      <c r="E16" s="2946" t="s">
        <v>1331</v>
      </c>
      <c r="F16" s="2946" t="s">
        <v>3179</v>
      </c>
      <c r="G16" s="2946" t="s">
        <v>3082</v>
      </c>
      <c r="H16" s="2946" t="s">
        <v>3180</v>
      </c>
      <c r="I16" s="2946" t="s">
        <v>3181</v>
      </c>
      <c r="J16" s="2946">
        <v>42685.77</v>
      </c>
      <c r="K16" s="2946">
        <v>124350</v>
      </c>
      <c r="L16" s="2946">
        <v>2.91</v>
      </c>
      <c r="M16" s="2946" t="s">
        <v>1331</v>
      </c>
      <c r="N16" s="2946" t="s">
        <v>1331</v>
      </c>
      <c r="O16" s="2946" t="s">
        <v>1331</v>
      </c>
      <c r="P16" s="2946" t="s">
        <v>3162</v>
      </c>
      <c r="Q16" s="2946">
        <v>17400</v>
      </c>
      <c r="R16" s="2946">
        <v>17400</v>
      </c>
      <c r="S16" s="2946" t="s">
        <v>1331</v>
      </c>
      <c r="T16" s="2946" t="s">
        <v>1331</v>
      </c>
      <c r="U16" s="2946" t="s">
        <v>1331</v>
      </c>
      <c r="V16" s="2946" t="s">
        <v>1331</v>
      </c>
      <c r="W16" s="2946" t="s">
        <v>3174</v>
      </c>
      <c r="X16" s="2946" t="s">
        <v>3182</v>
      </c>
      <c r="Y16" s="2946" t="s">
        <v>3183</v>
      </c>
      <c r="Z16" s="2946" t="s">
        <v>3184</v>
      </c>
      <c r="AA16" s="2946" t="s">
        <v>3184</v>
      </c>
      <c r="AB16" s="2946" t="s">
        <v>3180</v>
      </c>
      <c r="AC16" s="2946" t="s">
        <v>3093</v>
      </c>
      <c r="AD16" s="2946" t="s">
        <v>3185</v>
      </c>
      <c r="AE16" s="2946">
        <v>38000</v>
      </c>
      <c r="AF16" s="2946">
        <v>126100</v>
      </c>
      <c r="AG16" s="2946">
        <v>172000</v>
      </c>
      <c r="AH16" s="2946">
        <v>1969.43</v>
      </c>
      <c r="AI16" s="2946">
        <v>2686.3</v>
      </c>
      <c r="AJ16" s="2946">
        <v>10140.73</v>
      </c>
      <c r="AK16" s="2946">
        <v>13831.93</v>
      </c>
      <c r="AL16" s="2946">
        <v>11791</v>
      </c>
      <c r="AM16" s="2946">
        <v>16082</v>
      </c>
      <c r="AN16" s="2946">
        <v>36.4</v>
      </c>
      <c r="AO16" s="2946" t="s">
        <v>3095</v>
      </c>
      <c r="AP16" s="2946" t="s">
        <v>1331</v>
      </c>
      <c r="AQ16" s="2946" t="s">
        <v>1331</v>
      </c>
      <c r="AR16" s="2946" t="s">
        <v>1331</v>
      </c>
    </row>
    <row r="17" spans="1:44" s="2946" customFormat="1">
      <c r="A17" s="2946" t="s">
        <v>3186</v>
      </c>
      <c r="B17" s="2946" t="s">
        <v>3078</v>
      </c>
      <c r="C17" s="2946" t="s">
        <v>3079</v>
      </c>
      <c r="D17" s="2946" t="s">
        <v>3080</v>
      </c>
      <c r="E17" s="2946" t="s">
        <v>1331</v>
      </c>
      <c r="F17" s="2946" t="s">
        <v>3179</v>
      </c>
      <c r="G17" s="2946" t="s">
        <v>3082</v>
      </c>
      <c r="H17" s="2946" t="s">
        <v>3187</v>
      </c>
      <c r="I17" s="2946" t="s">
        <v>3188</v>
      </c>
      <c r="J17" s="2946">
        <v>90996.11</v>
      </c>
      <c r="K17" s="2946">
        <v>343161</v>
      </c>
      <c r="L17" s="2946">
        <v>3.77</v>
      </c>
      <c r="M17" s="2946" t="s">
        <v>1331</v>
      </c>
      <c r="N17" s="2946" t="s">
        <v>1331</v>
      </c>
      <c r="O17" s="2946" t="s">
        <v>1331</v>
      </c>
      <c r="P17" s="2946" t="s">
        <v>3162</v>
      </c>
      <c r="Q17" s="2946">
        <v>26300</v>
      </c>
      <c r="R17" s="2946">
        <v>26300</v>
      </c>
      <c r="S17" s="2946" t="s">
        <v>1331</v>
      </c>
      <c r="T17" s="2946" t="s">
        <v>1331</v>
      </c>
      <c r="U17" s="2946" t="s">
        <v>1331</v>
      </c>
      <c r="V17" s="2946" t="s">
        <v>1331</v>
      </c>
      <c r="W17" s="2946" t="s">
        <v>3174</v>
      </c>
      <c r="X17" s="2946" t="s">
        <v>3182</v>
      </c>
      <c r="Y17" s="2946" t="s">
        <v>3183</v>
      </c>
      <c r="Z17" s="2946" t="s">
        <v>3184</v>
      </c>
      <c r="AA17" s="2946" t="s">
        <v>3184</v>
      </c>
      <c r="AB17" s="2946" t="s">
        <v>3187</v>
      </c>
      <c r="AC17" s="2946" t="s">
        <v>3093</v>
      </c>
      <c r="AD17" s="2946" t="s">
        <v>3185</v>
      </c>
      <c r="AE17" s="2946">
        <v>99000</v>
      </c>
      <c r="AF17" s="2946">
        <v>330000</v>
      </c>
      <c r="AG17" s="2946">
        <v>330000</v>
      </c>
      <c r="AH17" s="2946">
        <v>2417.69</v>
      </c>
      <c r="AI17" s="2946">
        <v>2417.69</v>
      </c>
      <c r="AJ17" s="2946">
        <v>9616.4699999999993</v>
      </c>
      <c r="AK17" s="2946">
        <v>9616.4699999999993</v>
      </c>
      <c r="AL17" s="2946">
        <v>10415</v>
      </c>
      <c r="AM17" s="2946">
        <v>10415</v>
      </c>
      <c r="AN17" s="2946">
        <v>0</v>
      </c>
      <c r="AO17" s="2946" t="s">
        <v>3189</v>
      </c>
      <c r="AP17" s="2946" t="s">
        <v>1331</v>
      </c>
      <c r="AQ17" s="2946" t="s">
        <v>1331</v>
      </c>
      <c r="AR17" s="2946" t="s">
        <v>1331</v>
      </c>
    </row>
    <row r="18" spans="1:44" s="2946" customFormat="1">
      <c r="A18" s="2946" t="s">
        <v>3190</v>
      </c>
      <c r="B18" s="2946" t="s">
        <v>3078</v>
      </c>
      <c r="C18" s="2946" t="s">
        <v>3079</v>
      </c>
      <c r="D18" s="2946" t="s">
        <v>3080</v>
      </c>
      <c r="E18" s="2946" t="s">
        <v>1331</v>
      </c>
      <c r="F18" s="2946" t="s">
        <v>3097</v>
      </c>
      <c r="G18" s="2946" t="s">
        <v>3082</v>
      </c>
      <c r="H18" s="2946" t="s">
        <v>3191</v>
      </c>
      <c r="I18" s="2946" t="s">
        <v>3192</v>
      </c>
      <c r="J18" s="2946">
        <v>73293.58</v>
      </c>
      <c r="K18" s="2946">
        <v>143980</v>
      </c>
      <c r="L18" s="2946">
        <v>1.96</v>
      </c>
      <c r="M18" s="2946" t="s">
        <v>1331</v>
      </c>
      <c r="N18" s="2946" t="s">
        <v>1331</v>
      </c>
      <c r="O18" s="2946" t="s">
        <v>1331</v>
      </c>
      <c r="P18" s="2946" t="s">
        <v>3173</v>
      </c>
      <c r="Q18" s="2946">
        <v>34700</v>
      </c>
      <c r="R18" s="2946">
        <v>72700</v>
      </c>
      <c r="S18" s="2946" t="s">
        <v>1331</v>
      </c>
      <c r="T18" s="2946" t="s">
        <v>1331</v>
      </c>
      <c r="U18" s="2946" t="s">
        <v>1331</v>
      </c>
      <c r="V18" s="2946" t="s">
        <v>1331</v>
      </c>
      <c r="W18" s="2946" t="s">
        <v>3174</v>
      </c>
      <c r="X18" s="2946" t="s">
        <v>3193</v>
      </c>
      <c r="Y18" s="2946" t="s">
        <v>3194</v>
      </c>
      <c r="Z18" s="2946" t="s">
        <v>3195</v>
      </c>
      <c r="AA18" s="2946" t="s">
        <v>3195</v>
      </c>
      <c r="AB18" s="2946" t="s">
        <v>3191</v>
      </c>
      <c r="AC18" s="2946" t="s">
        <v>3093</v>
      </c>
      <c r="AD18" s="2946" t="s">
        <v>3196</v>
      </c>
      <c r="AE18" s="2946">
        <v>40000</v>
      </c>
      <c r="AF18" s="2946">
        <v>131500</v>
      </c>
      <c r="AG18" s="2946">
        <v>197200</v>
      </c>
      <c r="AH18" s="2946">
        <v>1196.0999999999999</v>
      </c>
      <c r="AI18" s="2946">
        <v>1793.7</v>
      </c>
      <c r="AJ18" s="2946">
        <v>9133.2099999999991</v>
      </c>
      <c r="AK18" s="2946">
        <v>13696.35</v>
      </c>
      <c r="AL18" s="2946">
        <v>12033</v>
      </c>
      <c r="AM18" s="2946">
        <v>27666</v>
      </c>
      <c r="AN18" s="2946">
        <v>49.96</v>
      </c>
      <c r="AO18" s="2946" t="s">
        <v>3189</v>
      </c>
      <c r="AP18" s="2946" t="s">
        <v>1331</v>
      </c>
      <c r="AQ18" s="2946" t="s">
        <v>1331</v>
      </c>
      <c r="AR18" s="2946" t="s">
        <v>1331</v>
      </c>
    </row>
    <row r="19" spans="1:44" s="2943" customFormat="1">
      <c r="A19" s="2943" t="s">
        <v>3197</v>
      </c>
      <c r="B19" s="2943" t="s">
        <v>3078</v>
      </c>
      <c r="C19" s="2943" t="s">
        <v>3079</v>
      </c>
      <c r="D19" s="2943" t="s">
        <v>3080</v>
      </c>
      <c r="E19" s="2943" t="s">
        <v>1331</v>
      </c>
      <c r="F19" s="2943" t="s">
        <v>3097</v>
      </c>
      <c r="G19" s="2943" t="s">
        <v>3082</v>
      </c>
      <c r="H19" s="2943" t="s">
        <v>3198</v>
      </c>
      <c r="I19" s="2943" t="s">
        <v>3199</v>
      </c>
      <c r="J19" s="2943">
        <v>94198.62</v>
      </c>
      <c r="K19" s="2943">
        <v>187481</v>
      </c>
      <c r="L19" s="2943">
        <v>2</v>
      </c>
      <c r="M19" s="2943" t="s">
        <v>1331</v>
      </c>
      <c r="N19" s="2943" t="s">
        <v>1331</v>
      </c>
      <c r="O19" s="2943" t="s">
        <v>1331</v>
      </c>
      <c r="P19" s="2943" t="s">
        <v>1331</v>
      </c>
      <c r="Q19" s="2943">
        <v>73600</v>
      </c>
      <c r="R19" s="2943">
        <v>115600</v>
      </c>
      <c r="S19" s="2943" t="s">
        <v>1331</v>
      </c>
      <c r="T19" s="2943" t="s">
        <v>1331</v>
      </c>
      <c r="U19" s="2943" t="s">
        <v>1331</v>
      </c>
      <c r="V19" s="2943" t="s">
        <v>1331</v>
      </c>
      <c r="W19" s="2943" t="s">
        <v>3174</v>
      </c>
      <c r="X19" s="2943" t="s">
        <v>3193</v>
      </c>
      <c r="Y19" s="2943" t="s">
        <v>3194</v>
      </c>
      <c r="Z19" s="2943" t="s">
        <v>3195</v>
      </c>
      <c r="AA19" s="2943" t="s">
        <v>3195</v>
      </c>
      <c r="AB19" s="2943" t="s">
        <v>3198</v>
      </c>
      <c r="AC19" s="2943" t="s">
        <v>3093</v>
      </c>
      <c r="AD19" s="2943" t="s">
        <v>3196</v>
      </c>
      <c r="AE19" s="2943">
        <v>51000</v>
      </c>
      <c r="AF19" s="2943">
        <v>168300</v>
      </c>
      <c r="AG19" s="2943">
        <v>252400</v>
      </c>
      <c r="AH19" s="2943">
        <v>1191.0999999999999</v>
      </c>
      <c r="AI19" s="2943">
        <v>1786.3</v>
      </c>
      <c r="AJ19" s="2943">
        <v>8976.9</v>
      </c>
      <c r="AK19" s="2943">
        <v>13462.7</v>
      </c>
      <c r="AL19" s="2943">
        <v>14779</v>
      </c>
      <c r="AM19" s="2943">
        <v>35114</v>
      </c>
      <c r="AN19" s="2943">
        <v>49.97</v>
      </c>
      <c r="AO19" s="2943" t="s">
        <v>3189</v>
      </c>
      <c r="AP19" s="2943" t="s">
        <v>1331</v>
      </c>
      <c r="AQ19" s="2943" t="s">
        <v>1331</v>
      </c>
      <c r="AR19" s="2943" t="s">
        <v>1331</v>
      </c>
    </row>
    <row r="20" spans="1:44" s="2946" customFormat="1" ht="14.25">
      <c r="A20" s="2947" t="s">
        <v>3226</v>
      </c>
      <c r="B20" s="2946" t="s">
        <v>3078</v>
      </c>
      <c r="C20" s="2946" t="s">
        <v>3079</v>
      </c>
      <c r="D20" s="2946" t="s">
        <v>3080</v>
      </c>
      <c r="E20" s="2946" t="s">
        <v>1331</v>
      </c>
      <c r="F20" s="2946" t="s">
        <v>3159</v>
      </c>
      <c r="G20" s="2946" t="s">
        <v>3082</v>
      </c>
      <c r="H20" s="2946" t="s">
        <v>3200</v>
      </c>
      <c r="I20" s="2946" t="s">
        <v>3161</v>
      </c>
      <c r="J20" s="2946">
        <v>48775.519999999997</v>
      </c>
      <c r="K20" s="2946">
        <v>121939</v>
      </c>
      <c r="L20" s="2946">
        <v>2.5</v>
      </c>
      <c r="M20" s="2946" t="s">
        <v>1331</v>
      </c>
      <c r="N20" s="2946" t="s">
        <v>1331</v>
      </c>
      <c r="O20" s="2946" t="s">
        <v>1331</v>
      </c>
      <c r="P20" s="2946" t="s">
        <v>3162</v>
      </c>
      <c r="Q20" s="2946">
        <v>25600</v>
      </c>
      <c r="R20" s="2946">
        <v>45600</v>
      </c>
      <c r="S20" s="2946" t="s">
        <v>1331</v>
      </c>
      <c r="T20" s="2946" t="s">
        <v>1331</v>
      </c>
      <c r="U20" s="2946" t="s">
        <v>1331</v>
      </c>
      <c r="V20" s="2946" t="s">
        <v>1331</v>
      </c>
      <c r="W20" s="2946" t="s">
        <v>3174</v>
      </c>
      <c r="X20" s="2946" t="s">
        <v>3201</v>
      </c>
      <c r="Y20" s="2946" t="s">
        <v>3202</v>
      </c>
      <c r="Z20" s="2946" t="s">
        <v>3203</v>
      </c>
      <c r="AA20" s="2946" t="s">
        <v>3203</v>
      </c>
      <c r="AB20" s="2946" t="s">
        <v>3200</v>
      </c>
      <c r="AC20" s="2946" t="s">
        <v>3093</v>
      </c>
      <c r="AD20" s="2946" t="s">
        <v>3204</v>
      </c>
      <c r="AE20" s="2946">
        <v>29000</v>
      </c>
      <c r="AF20" s="2946">
        <v>95000</v>
      </c>
      <c r="AG20" s="2946">
        <v>142500</v>
      </c>
      <c r="AH20" s="2946">
        <v>1298.47</v>
      </c>
      <c r="AI20" s="2946">
        <v>1947.7</v>
      </c>
      <c r="AJ20" s="2946">
        <v>7790.78</v>
      </c>
      <c r="AK20" s="2946">
        <v>11686.17</v>
      </c>
      <c r="AL20" s="2946">
        <v>9861</v>
      </c>
      <c r="AM20" s="2946">
        <v>18667</v>
      </c>
      <c r="AN20" s="2946">
        <v>50</v>
      </c>
      <c r="AO20" s="2946" t="s">
        <v>3189</v>
      </c>
      <c r="AP20" s="2946" t="s">
        <v>1331</v>
      </c>
      <c r="AQ20" s="2946" t="s">
        <v>1331</v>
      </c>
      <c r="AR20" s="2946" t="s">
        <v>1331</v>
      </c>
    </row>
    <row r="21" spans="1:44" s="2946" customFormat="1">
      <c r="A21" s="2946" t="s">
        <v>3205</v>
      </c>
      <c r="B21" s="2946" t="s">
        <v>3078</v>
      </c>
      <c r="C21" s="2946" t="s">
        <v>3079</v>
      </c>
      <c r="D21" s="2946" t="s">
        <v>3080</v>
      </c>
      <c r="E21" s="2946" t="s">
        <v>1331</v>
      </c>
      <c r="F21" s="2946" t="s">
        <v>3159</v>
      </c>
      <c r="G21" s="2946" t="s">
        <v>3082</v>
      </c>
      <c r="H21" s="2946" t="s">
        <v>3206</v>
      </c>
      <c r="I21" s="2946" t="s">
        <v>3161</v>
      </c>
      <c r="J21" s="2946">
        <v>83892.99</v>
      </c>
      <c r="K21" s="2946">
        <v>209732</v>
      </c>
      <c r="L21" s="2946">
        <v>2.5</v>
      </c>
      <c r="M21" s="2946" t="s">
        <v>1331</v>
      </c>
      <c r="N21" s="2946" t="s">
        <v>1331</v>
      </c>
      <c r="O21" s="2946" t="s">
        <v>1331</v>
      </c>
      <c r="P21" s="2946" t="s">
        <v>3173</v>
      </c>
      <c r="Q21" s="2946">
        <v>44000</v>
      </c>
      <c r="R21" s="2946">
        <v>49000</v>
      </c>
      <c r="S21" s="2946" t="s">
        <v>1331</v>
      </c>
      <c r="T21" s="2946" t="s">
        <v>1331</v>
      </c>
      <c r="U21" s="2946" t="s">
        <v>1331</v>
      </c>
      <c r="V21" s="2946" t="s">
        <v>1331</v>
      </c>
      <c r="W21" s="2946" t="s">
        <v>3174</v>
      </c>
      <c r="X21" s="2946" t="s">
        <v>3201</v>
      </c>
      <c r="Y21" s="2946" t="s">
        <v>3202</v>
      </c>
      <c r="Z21" s="2946" t="s">
        <v>3203</v>
      </c>
      <c r="AA21" s="2946" t="s">
        <v>3203</v>
      </c>
      <c r="AB21" s="2946" t="s">
        <v>3206</v>
      </c>
      <c r="AC21" s="2946" t="s">
        <v>3093</v>
      </c>
      <c r="AD21" s="2946" t="s">
        <v>3207</v>
      </c>
      <c r="AE21" s="2946">
        <v>56000</v>
      </c>
      <c r="AF21" s="2946">
        <v>185000</v>
      </c>
      <c r="AG21" s="2946">
        <v>277500</v>
      </c>
      <c r="AH21" s="2946">
        <v>1470.13</v>
      </c>
      <c r="AI21" s="2946">
        <v>2205.19</v>
      </c>
      <c r="AJ21" s="2946">
        <v>8820.7800000000007</v>
      </c>
      <c r="AK21" s="2946">
        <v>13231.17</v>
      </c>
      <c r="AL21" s="2946">
        <v>11163</v>
      </c>
      <c r="AM21" s="2946">
        <v>17265</v>
      </c>
      <c r="AN21" s="2946">
        <v>50</v>
      </c>
      <c r="AO21" s="2946" t="s">
        <v>3189</v>
      </c>
      <c r="AP21" s="2946" t="s">
        <v>1331</v>
      </c>
      <c r="AQ21" s="2946" t="s">
        <v>1331</v>
      </c>
      <c r="AR21" s="2946" t="s">
        <v>1331</v>
      </c>
    </row>
    <row r="22" spans="1:44" s="1638" customFormat="1">
      <c r="A22" s="1638" t="s">
        <v>3218</v>
      </c>
      <c r="B22" s="1638" t="s">
        <v>3078</v>
      </c>
      <c r="C22" s="1638" t="s">
        <v>3079</v>
      </c>
      <c r="D22" s="1638" t="s">
        <v>3219</v>
      </c>
      <c r="E22" s="1638" t="s">
        <v>1331</v>
      </c>
      <c r="F22" s="1638" t="s">
        <v>3220</v>
      </c>
      <c r="G22" s="1638" t="s">
        <v>3082</v>
      </c>
      <c r="H22" s="1638" t="s">
        <v>3221</v>
      </c>
      <c r="I22" s="1638" t="s">
        <v>3111</v>
      </c>
      <c r="J22" s="1638">
        <v>75065.42</v>
      </c>
      <c r="K22" s="1638">
        <v>133506</v>
      </c>
      <c r="L22" s="1638" t="s">
        <v>3222</v>
      </c>
      <c r="M22" s="1638" t="s">
        <v>1331</v>
      </c>
      <c r="N22" s="1638" t="s">
        <v>3125</v>
      </c>
      <c r="O22" s="1638" t="s">
        <v>1331</v>
      </c>
      <c r="P22" s="1638" t="s">
        <v>1331</v>
      </c>
      <c r="Q22" s="1638" t="s">
        <v>1331</v>
      </c>
      <c r="R22" s="1638" t="s">
        <v>1331</v>
      </c>
      <c r="S22" s="1638" t="s">
        <v>1331</v>
      </c>
      <c r="T22" s="1638" t="s">
        <v>3114</v>
      </c>
      <c r="U22" s="1638" t="s">
        <v>3115</v>
      </c>
      <c r="V22" s="1638" t="s">
        <v>1331</v>
      </c>
      <c r="W22" s="1638" t="s">
        <v>3089</v>
      </c>
      <c r="X22" s="1638" t="s">
        <v>3146</v>
      </c>
      <c r="Y22" s="1638" t="s">
        <v>3147</v>
      </c>
      <c r="Z22" s="1638" t="s">
        <v>3148</v>
      </c>
      <c r="AA22" s="1638" t="s">
        <v>3148</v>
      </c>
      <c r="AB22" s="1638" t="s">
        <v>3221</v>
      </c>
      <c r="AC22" s="1638" t="s">
        <v>3093</v>
      </c>
      <c r="AD22" s="1638" t="s">
        <v>3223</v>
      </c>
      <c r="AE22" s="1638">
        <v>96000</v>
      </c>
      <c r="AF22" s="1638">
        <v>320000</v>
      </c>
      <c r="AG22" s="1638">
        <v>479000</v>
      </c>
      <c r="AH22" s="1638">
        <v>2841.97</v>
      </c>
      <c r="AI22" s="1638">
        <v>4254.07</v>
      </c>
      <c r="AJ22" s="1638">
        <v>23968.95</v>
      </c>
      <c r="AK22" s="1638">
        <v>35878.54</v>
      </c>
      <c r="AL22" s="1638" t="s">
        <v>1331</v>
      </c>
      <c r="AM22" s="1638" t="s">
        <v>1331</v>
      </c>
      <c r="AN22" s="1638">
        <v>49.69</v>
      </c>
      <c r="AO22" s="1638" t="s">
        <v>3095</v>
      </c>
      <c r="AP22" s="1638" t="s">
        <v>1331</v>
      </c>
      <c r="AQ22" s="1638">
        <v>26</v>
      </c>
      <c r="AR22" s="1638" t="s">
        <v>1331</v>
      </c>
    </row>
    <row r="23" spans="1:44" s="1638" customFormat="1">
      <c r="A23" s="1638" t="s">
        <v>3208</v>
      </c>
      <c r="B23" s="1638" t="s">
        <v>3078</v>
      </c>
      <c r="C23" s="1638" t="s">
        <v>3121</v>
      </c>
      <c r="D23" s="1638" t="s">
        <v>3209</v>
      </c>
      <c r="E23" s="1638" t="s">
        <v>1331</v>
      </c>
      <c r="F23" s="1638" t="s">
        <v>3210</v>
      </c>
      <c r="G23" s="1638" t="s">
        <v>3082</v>
      </c>
      <c r="H23" s="1638" t="s">
        <v>3211</v>
      </c>
      <c r="I23" s="1638" t="s">
        <v>3124</v>
      </c>
      <c r="J23" s="1638">
        <v>82458.61</v>
      </c>
      <c r="K23" s="1638">
        <v>99309</v>
      </c>
      <c r="L23" s="1638">
        <v>1.2</v>
      </c>
      <c r="M23" s="1638" t="s">
        <v>1331</v>
      </c>
      <c r="N23" s="1638" t="s">
        <v>3125</v>
      </c>
      <c r="O23" s="1638" t="s">
        <v>3212</v>
      </c>
      <c r="P23" s="1638" t="s">
        <v>1331</v>
      </c>
      <c r="Q23" s="1638" t="s">
        <v>1331</v>
      </c>
      <c r="R23" s="1638" t="s">
        <v>1331</v>
      </c>
      <c r="S23" s="1638" t="s">
        <v>1331</v>
      </c>
      <c r="T23" s="1638" t="s">
        <v>3087</v>
      </c>
      <c r="U23" s="1638" t="s">
        <v>3088</v>
      </c>
      <c r="V23" s="1638" t="s">
        <v>1331</v>
      </c>
      <c r="W23" s="1638" t="s">
        <v>3213</v>
      </c>
      <c r="X23" s="1638" t="s">
        <v>3214</v>
      </c>
      <c r="Y23" s="1638" t="s">
        <v>3215</v>
      </c>
      <c r="Z23" s="1638" t="s">
        <v>3216</v>
      </c>
      <c r="AA23" s="1638" t="s">
        <v>3216</v>
      </c>
      <c r="AB23" s="1638" t="s">
        <v>3211</v>
      </c>
      <c r="AC23" s="1638" t="s">
        <v>3093</v>
      </c>
      <c r="AD23" s="1638" t="s">
        <v>3217</v>
      </c>
      <c r="AE23" s="1638">
        <v>81000</v>
      </c>
      <c r="AF23" s="1638">
        <v>267800</v>
      </c>
      <c r="AG23" s="1638">
        <v>345000</v>
      </c>
      <c r="AH23" s="1638">
        <v>2165.13</v>
      </c>
      <c r="AI23" s="1638">
        <v>2789.28</v>
      </c>
      <c r="AJ23" s="1638">
        <v>26966.33</v>
      </c>
      <c r="AK23" s="1638">
        <v>34740.050000000003</v>
      </c>
      <c r="AL23" s="1638" t="s">
        <v>1331</v>
      </c>
      <c r="AM23" s="1638" t="s">
        <v>1331</v>
      </c>
      <c r="AN23" s="1638">
        <v>28.83</v>
      </c>
      <c r="AO23" s="1638" t="s">
        <v>3095</v>
      </c>
      <c r="AP23" s="1638" t="s">
        <v>1331</v>
      </c>
      <c r="AQ23" s="1638" t="s">
        <v>1331</v>
      </c>
      <c r="AR23" s="1638" t="s">
        <v>1331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N36" sqref="N36"/>
    </sheetView>
  </sheetViews>
  <sheetFormatPr defaultRowHeight="13.5"/>
  <sheetData/>
  <phoneticPr fontId="254" type="noConversion"/>
  <pageMargins left="0.7" right="0.7" top="0.75" bottom="0.75" header="0.3" footer="0.3"/>
  <pageSetup paperSize="9" scale="24"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0:L33"/>
  <sheetViews>
    <sheetView topLeftCell="F1" workbookViewId="0">
      <selection activeCell="P36" sqref="P36"/>
    </sheetView>
  </sheetViews>
  <sheetFormatPr defaultRowHeight="13.5"/>
  <cols>
    <col min="1" max="16384" width="9" style="2963"/>
  </cols>
  <sheetData>
    <row r="30" spans="12:12">
      <c r="L30" s="2962" t="s">
        <v>3325</v>
      </c>
    </row>
    <row r="33" spans="12:12">
      <c r="L33" s="2962" t="s">
        <v>3326</v>
      </c>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7" sqref="A17"/>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1641</v>
      </c>
      <c r="B2" s="2985" t="s">
        <v>1642</v>
      </c>
      <c r="C2" s="2985" t="s">
        <v>1643</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7" t="s">
        <v>1638</v>
      </c>
      <c r="E3" s="1047" t="s">
        <v>1644</v>
      </c>
      <c r="F3" s="1047" t="s">
        <v>1638</v>
      </c>
      <c r="G3" s="1047" t="s">
        <v>1639</v>
      </c>
      <c r="H3" s="1047" t="s">
        <v>1638</v>
      </c>
      <c r="I3" s="1047" t="s">
        <v>1639</v>
      </c>
    </row>
    <row r="4" spans="1:9" ht="90">
      <c r="A4" s="1976" t="str">
        <f>项目基本情况!S2</f>
        <v>北京市昌平区北七家镇（中心起步区（海鶄落新村建设）项目一期）HQL-13地块、18地块二宗住宅用地出让国有建设用地使用权出让国有建设用地使用权</v>
      </c>
      <c r="B4" s="1047">
        <f>项目基本情况!C17</f>
        <v>95346</v>
      </c>
      <c r="C4" s="1047">
        <f>项目基本情况!C18</f>
        <v>44764.76</v>
      </c>
      <c r="D4" s="1047" t="e">
        <f ca="1">结果表!D118</f>
        <v>#REF!</v>
      </c>
      <c r="E4" s="1047" t="e">
        <f ca="1">结果表!E118</f>
        <v>#REF!</v>
      </c>
      <c r="F4" s="1047" t="e">
        <f ca="1">结果表!F118</f>
        <v>#REF!</v>
      </c>
      <c r="G4" s="1047" t="e">
        <f ca="1">结果表!G118</f>
        <v>#REF!</v>
      </c>
      <c r="H4" s="1047">
        <f ca="1">结果表!H118</f>
        <v>201800</v>
      </c>
      <c r="I4" s="1047">
        <f ca="1">结果表!I118</f>
        <v>21165</v>
      </c>
    </row>
    <row r="5" spans="1:9" ht="30" customHeight="1">
      <c r="A5" s="2979" t="s">
        <v>1640</v>
      </c>
      <c r="B5" s="2979"/>
      <c r="C5" s="2979"/>
      <c r="D5" s="2980" t="e">
        <f ca="1">结果表!D119</f>
        <v>#REF!</v>
      </c>
      <c r="E5" s="2980"/>
      <c r="F5" s="2980" t="e">
        <f ca="1">结果表!F119</f>
        <v>#REF!</v>
      </c>
      <c r="G5" s="2980"/>
      <c r="H5" s="2980" t="str">
        <f ca="1">结果表!H119</f>
        <v>贰拾亿壹仟捌佰万元整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1640</v>
      </c>
      <c r="B7" s="2979"/>
      <c r="C7" s="2979"/>
      <c r="D7" s="2981" t="str">
        <f>结果表!D121</f>
        <v>零元整</v>
      </c>
      <c r="E7" s="2982"/>
      <c r="F7" s="2982"/>
      <c r="G7" s="2982"/>
      <c r="H7" s="2982"/>
      <c r="I7" s="2983"/>
    </row>
    <row r="8" spans="1:9" ht="15.75">
      <c r="A8" s="2978" t="str">
        <f>结果表!A122</f>
        <v>房地产抵押价值</v>
      </c>
      <c r="B8" s="2978"/>
      <c r="C8" s="2978"/>
      <c r="D8" s="2978">
        <f ca="1">结果表!D122</f>
        <v>201800</v>
      </c>
      <c r="E8" s="2978"/>
      <c r="F8" s="2978"/>
      <c r="G8" s="2978"/>
      <c r="H8" s="2978"/>
      <c r="I8" s="2978"/>
    </row>
    <row r="9" spans="1:9" ht="15">
      <c r="A9" s="2979" t="s">
        <v>1640</v>
      </c>
      <c r="B9" s="2979"/>
      <c r="C9" s="2979"/>
      <c r="D9" s="2980" t="str">
        <f ca="1">结果表!D123</f>
        <v>贰拾亿壹仟捌佰万元整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1640</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1640</v>
      </c>
      <c r="B13" s="2975"/>
      <c r="C13" s="2975"/>
      <c r="D13" s="2976" t="e">
        <f>结果表!D127</f>
        <v>#VALUE!</v>
      </c>
      <c r="E13" s="2976"/>
      <c r="F13" s="2976"/>
      <c r="G13" s="2976"/>
      <c r="H13" s="2976"/>
      <c r="I13" s="2976"/>
    </row>
    <row r="14" spans="1:9" ht="15" thickTop="1">
      <c r="A14" s="2977" t="s">
        <v>1645</v>
      </c>
      <c r="B14" s="2977"/>
      <c r="C14" s="2977"/>
      <c r="D14" s="2977"/>
      <c r="E14" s="2977"/>
      <c r="F14" s="2977"/>
      <c r="G14" s="2977"/>
      <c r="H14" s="2977"/>
      <c r="I14" s="297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2" t="s">
        <v>1662</v>
      </c>
      <c r="B1" s="2992"/>
      <c r="C1" s="2992"/>
      <c r="D1" s="2992"/>
    </row>
    <row r="2" spans="1:4" ht="18">
      <c r="A2" s="2993" t="s">
        <v>1646</v>
      </c>
      <c r="B2" s="2993"/>
      <c r="C2" s="2993"/>
      <c r="D2" s="2993"/>
    </row>
    <row r="3" spans="1:4" ht="18.75">
      <c r="A3" s="1980" t="s">
        <v>1647</v>
      </c>
      <c r="B3" s="1980" t="s">
        <v>1648</v>
      </c>
      <c r="C3" s="1980" t="s">
        <v>1649</v>
      </c>
      <c r="D3" s="1980" t="s">
        <v>1650</v>
      </c>
    </row>
    <row r="4" spans="1:4" ht="56.25" customHeight="1">
      <c r="A4" s="1981" t="str">
        <f>项目基本情况!B4</f>
        <v>郑燚</v>
      </c>
      <c r="B4" s="1982">
        <f ca="1">项目基本情况!C4</f>
        <v>1120070131</v>
      </c>
      <c r="C4" s="1983"/>
      <c r="D4" s="1984" t="s">
        <v>1651</v>
      </c>
    </row>
    <row r="5" spans="1:4" ht="56.25" customHeight="1">
      <c r="A5" s="1981" t="str">
        <f>项目基本情况!D4</f>
        <v>崔锴</v>
      </c>
      <c r="B5" s="1982">
        <f ca="1">项目基本情况!E4</f>
        <v>1120100036</v>
      </c>
      <c r="C5" s="1985"/>
      <c r="D5" s="1984" t="s">
        <v>1651</v>
      </c>
    </row>
    <row r="6" spans="1:4" ht="18">
      <c r="A6" s="2993" t="s">
        <v>1652</v>
      </c>
      <c r="B6" s="2993"/>
      <c r="C6" s="2993"/>
      <c r="D6" s="299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4"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（1）根据估价对象《不动产权证书》复印件、，截至价值时点，估价对象抵押权未见登记。</v>
      </c>
      <c r="B15" s="2986"/>
      <c r="C15" s="2986"/>
      <c r="D15" s="2986"/>
    </row>
    <row r="16" spans="1:4" ht="30" customHeight="1">
      <c r="A16" s="2988" t="s">
        <v>1656</v>
      </c>
      <c r="B16" s="2988"/>
      <c r="C16" s="2988"/>
      <c r="D16" s="2988"/>
    </row>
    <row r="17" spans="1:4" ht="144" customHeight="1">
      <c r="A17" s="2988" t="s">
        <v>1657</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1658</v>
      </c>
      <c r="B22" s="2990"/>
      <c r="C22" s="2990"/>
      <c r="D22" s="299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0" t="s">
        <v>1669</v>
      </c>
      <c r="B15" s="2995" t="s">
        <v>136</v>
      </c>
      <c r="C15" s="2996"/>
    </row>
    <row r="16" spans="1:7" ht="13.5">
      <c r="A16" s="3001"/>
      <c r="B16" s="2995" t="s">
        <v>69</v>
      </c>
      <c r="C16" s="2996"/>
    </row>
    <row r="17" spans="1:3" ht="13.5">
      <c r="A17" s="3001"/>
      <c r="B17" s="2998" t="s">
        <v>1670</v>
      </c>
      <c r="C17" s="2003" t="s">
        <v>1669</v>
      </c>
    </row>
    <row r="18" spans="1:3" ht="13.5">
      <c r="A18" s="3001"/>
      <c r="B18" s="2998"/>
      <c r="C18" s="2003" t="s">
        <v>1671</v>
      </c>
    </row>
    <row r="19" spans="1:3" ht="13.5">
      <c r="A19" s="3001"/>
      <c r="B19" s="2998"/>
      <c r="C19" s="2003" t="s">
        <v>1672</v>
      </c>
    </row>
    <row r="20" spans="1:3" ht="13.5">
      <c r="A20" s="3002"/>
      <c r="B20" s="2997" t="s">
        <v>1673</v>
      </c>
      <c r="C20" s="2996"/>
    </row>
    <row r="21" spans="1:3" ht="13.5">
      <c r="A21" s="2004" t="s">
        <v>1674</v>
      </c>
      <c r="B21" s="2005"/>
      <c r="C21" s="2006"/>
    </row>
    <row r="22" spans="1:3" ht="13.5">
      <c r="A22" s="2999" t="s">
        <v>1675</v>
      </c>
      <c r="B22" s="2997" t="s">
        <v>1676</v>
      </c>
      <c r="C22" s="2996"/>
    </row>
    <row r="23" spans="1:3" ht="13.5">
      <c r="A23" s="2999"/>
      <c r="B23" s="2997" t="s">
        <v>1677</v>
      </c>
      <c r="C23" s="2996"/>
    </row>
    <row r="24" spans="1:3" ht="13.5">
      <c r="A24" s="2999"/>
      <c r="B24" s="2997" t="s">
        <v>1678</v>
      </c>
      <c r="C24" s="2996"/>
    </row>
    <row r="25" spans="1:3" ht="13.5">
      <c r="A25" s="2999"/>
      <c r="B25" s="2998" t="s">
        <v>1679</v>
      </c>
      <c r="C25" s="2003" t="s">
        <v>1680</v>
      </c>
    </row>
    <row r="26" spans="1:3" ht="13.5">
      <c r="A26" s="2999"/>
      <c r="B26" s="2998"/>
      <c r="C26" s="2003" t="s">
        <v>1681</v>
      </c>
    </row>
    <row r="27" spans="1:3" ht="13.5">
      <c r="A27" s="2999"/>
      <c r="B27" s="2998"/>
      <c r="C27" s="2003" t="s">
        <v>1682</v>
      </c>
    </row>
    <row r="28" spans="1:3" ht="13.5">
      <c r="A28" s="2999"/>
      <c r="B28" s="2998"/>
      <c r="C28" s="2003" t="s">
        <v>1683</v>
      </c>
    </row>
    <row r="29" spans="1:3" ht="13.5">
      <c r="A29" s="2999"/>
      <c r="B29" s="2998"/>
      <c r="C29" s="2003" t="s">
        <v>1684</v>
      </c>
    </row>
    <row r="30" spans="1:3" ht="13.5">
      <c r="A30" s="2999"/>
      <c r="B30" s="2998"/>
      <c r="C30" s="2003" t="s">
        <v>1685</v>
      </c>
    </row>
    <row r="31" spans="1:3" ht="13.5">
      <c r="A31" s="2999"/>
      <c r="B31" s="2998"/>
      <c r="C31" s="2003" t="s">
        <v>1686</v>
      </c>
    </row>
    <row r="32" spans="1:3" ht="13.5">
      <c r="A32" s="2999"/>
      <c r="B32" s="2998"/>
      <c r="C32" s="2003" t="s">
        <v>1687</v>
      </c>
    </row>
    <row r="33" spans="1:3" ht="13.5">
      <c r="A33" s="2999"/>
      <c r="B33" s="299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43383</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3031</v>
      </c>
      <c r="B12" s="1025">
        <v>1120110054</v>
      </c>
      <c r="C12" s="2940">
        <v>43937</v>
      </c>
      <c r="D12" s="1705" t="s">
        <v>3031</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0">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03" t="s">
        <v>846</v>
      </c>
      <c r="B25" s="3003"/>
      <c r="C25" s="3003"/>
      <c r="D25" s="3003"/>
      <c r="E25" s="3003"/>
      <c r="F25" s="3003"/>
      <c r="G25" s="3003"/>
    </row>
    <row r="26" spans="1:7" s="1028" customFormat="1" ht="24" customHeight="1">
      <c r="A26" s="3004" t="s">
        <v>847</v>
      </c>
      <c r="B26" s="3004"/>
      <c r="C26" s="3005"/>
      <c r="D26" s="3006" t="s">
        <v>848</v>
      </c>
      <c r="E26" s="3004"/>
      <c r="F26" s="3004"/>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案例住宅</vt:lpstr>
      <vt:lpstr>案例车库</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2018-10-09T09:15:36Z</cp:lastPrinted>
  <dcterms:created xsi:type="dcterms:W3CDTF">2015-07-13T07:17:23Z</dcterms:created>
  <dcterms:modified xsi:type="dcterms:W3CDTF">2018-10-10T07:17:51Z</dcterms:modified>
</cp:coreProperties>
</file>