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售价" sheetId="80" r:id="rId17"/>
    <sheet name="租金" sheetId="81" r:id="rId18"/>
    <sheet name="系统读取表" sheetId="74" r:id="rId19"/>
    <sheet name="结果表" sheetId="9" r:id="rId20"/>
    <sheet name="成本法" sheetId="68" r:id="rId21"/>
    <sheet name="成本法 (元)" sheetId="69" r:id="rId22"/>
    <sheet name="假设开发法" sheetId="12" r:id="rId23"/>
    <sheet name="收益法" sheetId="15" r:id="rId24"/>
    <sheet name="收益法 (元)" sheetId="67" r:id="rId25"/>
    <sheet name="收益法-酒店模型" sheetId="77" r:id="rId26"/>
    <sheet name="收益法（汇总）" sheetId="70" r:id="rId27"/>
    <sheet name="比较法-住宅" sheetId="21" r:id="rId28"/>
    <sheet name="比较法-商业" sheetId="33" r:id="rId29"/>
    <sheet name="比较法-办公" sheetId="34" r:id="rId30"/>
    <sheet name="比较法-工业" sheetId="37" r:id="rId31"/>
    <sheet name="比较法-车位" sheetId="35" r:id="rId32"/>
    <sheet name="比较法-仓储" sheetId="36" r:id="rId33"/>
    <sheet name="土地比较法-住宅、综合" sheetId="39" r:id="rId34"/>
    <sheet name="土地比较法-工业" sheetId="40" r:id="rId35"/>
    <sheet name="典型户型修正" sheetId="31" r:id="rId36"/>
    <sheet name="基准地价（汇总）" sheetId="76"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4" i="74" l="1"/>
  <c r="D11" i="74" s="1"/>
  <c r="F12" i="74"/>
  <c r="G14" i="74" l="1"/>
  <c r="D3" i="4"/>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4" i="79"/>
  <c r="AG34" i="79" s="1"/>
  <c r="S35" i="79"/>
  <c r="AG35" i="79" s="1"/>
  <c r="S20" i="79"/>
  <c r="AG20" i="79" s="1"/>
  <c r="T22" i="79"/>
  <c r="AD38" i="79"/>
  <c r="AD37" i="79"/>
  <c r="AD35"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4" i="79"/>
  <c r="T35" i="79"/>
  <c r="T33" i="79"/>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AH35" i="79"/>
  <c r="W35" i="79"/>
  <c r="AK35" i="79" s="1"/>
  <c r="W23" i="79"/>
  <c r="AK23" i="79" s="1"/>
  <c r="AH23" i="79"/>
  <c r="W12" i="79"/>
  <c r="AK12" i="79" s="1"/>
  <c r="AH12" i="79"/>
  <c r="W21" i="79"/>
  <c r="AK21" i="79" s="1"/>
  <c r="AH21" i="79"/>
  <c r="W47" i="79"/>
  <c r="AK47" i="79" s="1"/>
  <c r="AH47" i="79"/>
  <c r="W45" i="79"/>
  <c r="AK45" i="79" s="1"/>
  <c r="AH45" i="79"/>
  <c r="W34" i="79"/>
  <c r="AK34" i="79" s="1"/>
  <c r="AH34" i="79"/>
  <c r="W11" i="79"/>
  <c r="AK11" i="79" s="1"/>
  <c r="AH11" i="79"/>
  <c r="W17" i="79"/>
  <c r="AK17" i="79" s="1"/>
  <c r="AH17" i="79"/>
  <c r="W10" i="79"/>
  <c r="AK10" i="79" s="1"/>
  <c r="AH10" i="79"/>
  <c r="W18" i="79"/>
  <c r="AK18" i="79" s="1"/>
  <c r="AH18" i="79"/>
  <c r="W20" i="79"/>
  <c r="AK20" i="79" s="1"/>
  <c r="AH20"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B39" i="71"/>
  <c r="B40" i="71" s="1"/>
  <c r="S40" i="71" s="1"/>
  <c r="N68" i="71"/>
  <c r="E34" i="71"/>
  <c r="C30" i="71"/>
  <c r="X31" i="71"/>
  <c r="C34" i="71"/>
  <c r="D34" i="71" s="1"/>
  <c r="X34" i="71"/>
  <c r="C38" i="71"/>
  <c r="F51" i="71"/>
  <c r="F52" i="71" s="1"/>
  <c r="V52" i="71" s="1"/>
  <c r="B28" i="71"/>
  <c r="B27" i="71" s="1"/>
  <c r="B26" i="71"/>
  <c r="D30" i="71"/>
  <c r="D50" i="71"/>
  <c r="P28" i="71"/>
  <c r="E60" i="71"/>
  <c r="U60" i="71" s="1"/>
  <c r="U68" i="71"/>
  <c r="E67" i="71"/>
  <c r="Q28" i="71"/>
  <c r="D54"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D55" i="71"/>
  <c r="P67" i="71"/>
  <c r="E66" i="71"/>
  <c r="P65" i="71" s="1"/>
  <c r="D51" i="71"/>
  <c r="D52" i="7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J33" i="36"/>
  <c r="AC33" i="36" s="1"/>
  <c r="H22" i="35"/>
  <c r="AB22" i="35"/>
  <c r="AC27" i="35"/>
  <c r="W28" i="35"/>
  <c r="U31" i="35"/>
  <c r="W22" i="35"/>
  <c r="S31" i="35"/>
  <c r="U34" i="35"/>
  <c r="F36" i="34"/>
  <c r="J35" i="34"/>
  <c r="U34" i="34"/>
  <c r="H39" i="33"/>
  <c r="AB39" i="33"/>
  <c r="F26" i="33"/>
  <c r="AA26" i="33"/>
  <c r="U33" i="33"/>
  <c r="U35" i="33"/>
  <c r="S40" i="33"/>
  <c r="W33" i="33"/>
  <c r="W39" i="33"/>
  <c r="H39" i="37"/>
  <c r="AB39" i="37" s="1"/>
  <c r="S27" i="35"/>
  <c r="F11" i="40"/>
  <c r="AA11" i="40" s="1"/>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30" i="21"/>
  <c r="W31"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AZ579" i="3" s="1"/>
  <c r="BA577"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c r="F32" i="40"/>
  <c r="S32" i="40" s="1"/>
  <c r="H32" i="40"/>
  <c r="AB32" i="40"/>
  <c r="J36" i="40"/>
  <c r="W36" i="40" s="1"/>
  <c r="H19" i="37"/>
  <c r="AB19" i="37" s="1"/>
  <c r="H42" i="33"/>
  <c r="AB42" i="33" s="1"/>
  <c r="J43" i="33"/>
  <c r="AC43" i="33"/>
  <c r="S28" i="31"/>
  <c r="S27" i="31"/>
  <c r="S26" i="31"/>
  <c r="U14" i="40"/>
  <c r="W23" i="35"/>
  <c r="U39" i="37"/>
  <c r="U26" i="37"/>
  <c r="W47" i="34"/>
  <c r="AC36" i="34"/>
  <c r="AA13"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67"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46" i="3"/>
  <c r="AZ500" i="3"/>
  <c r="BA16" i="3"/>
  <c r="BL303" i="3"/>
  <c r="G304" i="3"/>
  <c r="BA306" i="3"/>
  <c r="BL307" i="3"/>
  <c r="G308" i="3"/>
  <c r="BA310" i="3"/>
  <c r="AZ310" i="3"/>
  <c r="BL311" i="3"/>
  <c r="AZ311" i="3" s="1"/>
  <c r="G312" i="3"/>
  <c r="BA314" i="3"/>
  <c r="BL315" i="3"/>
  <c r="AZ315" i="3" s="1"/>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c r="BL362" i="3"/>
  <c r="G363" i="3"/>
  <c r="BA365" i="3"/>
  <c r="BL366" i="3"/>
  <c r="G367" i="3"/>
  <c r="BA369" i="3"/>
  <c r="AZ369" i="3"/>
  <c r="BL370" i="3"/>
  <c r="G371" i="3"/>
  <c r="BA373" i="3"/>
  <c r="AZ373" i="3"/>
  <c r="BL374" i="3"/>
  <c r="G375" i="3"/>
  <c r="BA377" i="3"/>
  <c r="AZ377" i="3"/>
  <c r="AZ237" i="3"/>
  <c r="AZ245" i="3"/>
  <c r="AZ265" i="3"/>
  <c r="BA379" i="3"/>
  <c r="AZ379" i="3" s="1"/>
  <c r="BL380" i="3"/>
  <c r="G381" i="3"/>
  <c r="BA383" i="3"/>
  <c r="AZ383" i="3" s="1"/>
  <c r="BL384" i="3"/>
  <c r="AZ384" i="3" s="1"/>
  <c r="G385" i="3"/>
  <c r="BA387" i="3"/>
  <c r="AZ387" i="3" s="1"/>
  <c r="BL388" i="3"/>
  <c r="G389" i="3"/>
  <c r="BA391" i="3"/>
  <c r="AZ391" i="3" s="1"/>
  <c r="BL392" i="3"/>
  <c r="G393" i="3"/>
  <c r="AZ283" i="3"/>
  <c r="BO5" i="3"/>
  <c r="BM5" i="3"/>
  <c r="F29" i="6" s="1"/>
  <c r="BJ5" i="3"/>
  <c r="BH5" i="3"/>
  <c r="BF5" i="3"/>
  <c r="BD5" i="3"/>
  <c r="AC5" i="3"/>
  <c r="AZ506" i="3"/>
  <c r="AZ496" i="3"/>
  <c r="G548" i="3"/>
  <c r="G538" i="3"/>
  <c r="G520" i="3"/>
  <c r="G502" i="3"/>
  <c r="BS5" i="3"/>
  <c r="BP5" i="3"/>
  <c r="BN5" i="3"/>
  <c r="G29" i="6" s="1"/>
  <c r="BK5" i="3"/>
  <c r="BI5" i="3"/>
  <c r="BG5" i="3"/>
  <c r="BE5" i="3"/>
  <c r="BC5" i="3"/>
  <c r="G17" i="3"/>
  <c r="BA17" i="3"/>
  <c r="BT5" i="3"/>
  <c r="BA15" i="3"/>
  <c r="AZ15" i="3" s="1"/>
  <c r="BB5" i="3"/>
  <c r="BR5" i="3"/>
  <c r="AZ380"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56" i="3"/>
  <c r="AZ280" i="3"/>
  <c r="AZ77"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33" i="3"/>
  <c r="W12" i="33"/>
  <c r="AC12" i="33"/>
  <c r="AA32" i="36"/>
  <c r="S32" i="36"/>
  <c r="AZ437" i="3"/>
  <c r="BL14" i="3"/>
  <c r="U30" i="33"/>
  <c r="AC13" i="34"/>
  <c r="AA47" i="34"/>
  <c r="W28" i="37"/>
  <c r="S19" i="39"/>
  <c r="F12" i="33"/>
  <c r="H12" i="39"/>
  <c r="U12" i="39" s="1"/>
  <c r="AB12" i="39"/>
  <c r="F39" i="40"/>
  <c r="BA14" i="3"/>
  <c r="AZ254" i="3"/>
  <c r="AZ173"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AA21" i="39"/>
  <c r="S21" i="39"/>
  <c r="AC17" i="37"/>
  <c r="J19" i="37"/>
  <c r="W19" i="37" s="1"/>
  <c r="G75" i="37"/>
  <c r="AA19" i="37"/>
  <c r="AA23" i="37"/>
  <c r="J23" i="37"/>
  <c r="AC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AC27" i="33" s="1"/>
  <c r="U25" i="33"/>
  <c r="AB25" i="33"/>
  <c r="AA25" i="33"/>
  <c r="G87" i="33"/>
  <c r="H87" i="33" s="1"/>
  <c r="I87" i="33" s="1"/>
  <c r="J87" i="33" s="1"/>
  <c r="K87" i="33" s="1"/>
  <c r="L87" i="33" s="1"/>
  <c r="M87" i="33" s="1"/>
  <c r="J25" i="33"/>
  <c r="AB23" i="33"/>
  <c r="U23" i="33"/>
  <c r="F23" i="33"/>
  <c r="G85" i="33"/>
  <c r="AA19" i="33"/>
  <c r="H19" i="33"/>
  <c r="U19" i="33" s="1"/>
  <c r="H17" i="33"/>
  <c r="U17" i="33" s="1"/>
  <c r="F17" i="33"/>
  <c r="S17" i="33" s="1"/>
  <c r="W17" i="33"/>
  <c r="S37" i="21"/>
  <c r="AA23" i="21"/>
  <c r="AB15" i="21"/>
  <c r="J23" i="21"/>
  <c r="F85" i="21"/>
  <c r="G85" i="21" s="1"/>
  <c r="H23" i="21"/>
  <c r="AB23" i="21" s="1"/>
  <c r="S13" i="21"/>
  <c r="AP7" i="1"/>
  <c r="AB45" i="21"/>
  <c r="AB9" i="21"/>
  <c r="AA32" i="21"/>
  <c r="S32" i="21"/>
  <c r="W9" i="21"/>
  <c r="AB32" i="21"/>
  <c r="U32" i="21"/>
  <c r="U32" i="39"/>
  <c r="AC32" i="39"/>
  <c r="W32" i="39"/>
  <c r="J11" i="37"/>
  <c r="AC11" i="37" s="1"/>
  <c r="H70" i="34"/>
  <c r="I70" i="34" s="1"/>
  <c r="J70" i="34" s="1"/>
  <c r="K70" i="34" s="1"/>
  <c r="L70" i="34" s="1"/>
  <c r="M70" i="34" s="1"/>
  <c r="J11" i="34"/>
  <c r="W11" i="34" s="1"/>
  <c r="AB36" i="33"/>
  <c r="W27" i="33"/>
  <c r="W25" i="33"/>
  <c r="AC25" i="33"/>
  <c r="AB19" i="33"/>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8" i="76"/>
  <c r="B9" i="76"/>
  <c r="B11" i="76"/>
  <c r="D35" i="9"/>
  <c r="C20" i="9"/>
  <c r="C19" i="9"/>
  <c r="F42" i="15"/>
  <c r="M26" i="15"/>
  <c r="M29" i="15"/>
  <c r="F20" i="31"/>
  <c r="L47" i="15"/>
  <c r="F40" i="15"/>
  <c r="E2" i="68"/>
  <c r="F7" i="15"/>
  <c r="L47" i="67"/>
  <c r="M29" i="67"/>
  <c r="C76" i="67"/>
  <c r="B7" i="76"/>
  <c r="F26" i="67"/>
  <c r="F6" i="73"/>
  <c r="J15" i="15"/>
  <c r="E9" i="76"/>
  <c r="E11" i="76"/>
  <c r="M6" i="67"/>
  <c r="F3" i="73"/>
  <c r="M9" i="67"/>
  <c r="M24" i="15"/>
  <c r="E13" i="76"/>
  <c r="L48" i="67"/>
  <c r="F5" i="73"/>
  <c r="F13" i="67"/>
  <c r="F13" i="15"/>
  <c r="F7" i="73"/>
  <c r="F43" i="15"/>
  <c r="M28" i="67"/>
  <c r="F38" i="67"/>
  <c r="E10" i="76"/>
  <c r="F37" i="15"/>
  <c r="M6" i="15"/>
  <c r="F9" i="67"/>
  <c r="B10" i="76"/>
  <c r="F43" i="67"/>
  <c r="F37" i="67"/>
  <c r="AO13" i="1"/>
  <c r="C76" i="15"/>
  <c r="M26" i="67"/>
  <c r="E12" i="76"/>
  <c r="D19" i="9"/>
  <c r="F9" i="15"/>
  <c r="D20" i="9"/>
  <c r="J15" i="67"/>
  <c r="F36" i="67"/>
  <c r="E7" i="76"/>
  <c r="F6" i="15"/>
  <c r="E2" i="69"/>
  <c r="B13" i="76"/>
  <c r="F8" i="67"/>
  <c r="M8" i="67"/>
  <c r="B8" i="76"/>
  <c r="B12" i="76"/>
  <c r="M8" i="15"/>
  <c r="F4" i="73"/>
  <c r="F16" i="15"/>
  <c r="F38" i="15"/>
  <c r="D34" i="9"/>
  <c r="F26" i="15"/>
  <c r="M9" i="15"/>
  <c r="M23" i="67"/>
  <c r="F36" i="15"/>
  <c r="J1" i="73" l="1"/>
  <c r="U23" i="21"/>
  <c r="W23" i="37"/>
  <c r="S20" i="35"/>
  <c r="AA27" i="40"/>
  <c r="AB27" i="40"/>
  <c r="U33" i="34"/>
  <c r="AA23" i="39"/>
  <c r="AZ362" i="3"/>
  <c r="AZ390" i="3"/>
  <c r="AZ351" i="3"/>
  <c r="AZ336" i="3"/>
  <c r="AA15" i="37"/>
  <c r="AZ535" i="3"/>
  <c r="AZ557" i="3"/>
  <c r="AZ503" i="3"/>
  <c r="AZ513" i="3"/>
  <c r="AZ575" i="3"/>
  <c r="AB46" i="34"/>
  <c r="S44" i="34"/>
  <c r="AA44" i="34"/>
  <c r="AA30" i="40"/>
  <c r="AZ306" i="3"/>
  <c r="AZ508" i="3"/>
  <c r="AZ540" i="3"/>
  <c r="AZ502" i="3"/>
  <c r="U33" i="40"/>
  <c r="AB33" i="40"/>
  <c r="AA17" i="33"/>
  <c r="AZ313" i="3"/>
  <c r="AZ394" i="3"/>
  <c r="AZ571" i="3"/>
  <c r="S14" i="34"/>
  <c r="AA14" i="34"/>
  <c r="W31" i="33"/>
  <c r="AC31" i="33"/>
  <c r="D6" i="52"/>
  <c r="S36" i="33"/>
  <c r="S17" i="37"/>
  <c r="W33" i="34"/>
  <c r="AA40" i="34"/>
  <c r="S43" i="34"/>
  <c r="AZ14" i="3"/>
  <c r="AZ345" i="3"/>
  <c r="AZ334" i="3"/>
  <c r="AZ372" i="3"/>
  <c r="AZ347" i="3"/>
  <c r="AZ337" i="3"/>
  <c r="AZ376" i="3"/>
  <c r="AZ309" i="3"/>
  <c r="AA11" i="39"/>
  <c r="AZ520" i="3"/>
  <c r="AA14" i="37"/>
  <c r="S14" i="37"/>
  <c r="U45" i="33"/>
  <c r="AB45" i="33"/>
  <c r="F9" i="34"/>
  <c r="AA9" i="34" s="1"/>
  <c r="J9" i="34"/>
  <c r="H9" i="34"/>
  <c r="AZ539" i="3"/>
  <c r="AZ529" i="3"/>
  <c r="AZ537" i="3"/>
  <c r="AZ518" i="3"/>
  <c r="AZ526" i="3"/>
  <c r="AZ546" i="3"/>
  <c r="AZ564" i="3"/>
  <c r="AZ580" i="3"/>
  <c r="AZ585" i="3"/>
  <c r="S11" i="36"/>
  <c r="AA29" i="35"/>
  <c r="AB17" i="34"/>
  <c r="AZ458" i="3"/>
  <c r="AZ419" i="3"/>
  <c r="AZ531" i="3"/>
  <c r="AZ583" i="3"/>
  <c r="AZ568" i="3"/>
  <c r="AZ576" i="3"/>
  <c r="BL585" i="3"/>
  <c r="BL398" i="3"/>
  <c r="G402" i="3"/>
  <c r="BL403" i="3"/>
  <c r="G405" i="3"/>
  <c r="G406" i="3"/>
  <c r="BA408" i="3"/>
  <c r="AZ408" i="3" s="1"/>
  <c r="BA409" i="3"/>
  <c r="AZ409" i="3" s="1"/>
  <c r="BA411" i="3"/>
  <c r="AZ411" i="3" s="1"/>
  <c r="BL414" i="3"/>
  <c r="BL415" i="3"/>
  <c r="BA417" i="3"/>
  <c r="AZ417" i="3" s="1"/>
  <c r="BL421" i="3"/>
  <c r="BL422" i="3"/>
  <c r="BL425" i="3"/>
  <c r="BL426" i="3"/>
  <c r="BA428" i="3"/>
  <c r="BA429" i="3"/>
  <c r="BA430" i="3"/>
  <c r="AZ430" i="3" s="1"/>
  <c r="BA432" i="3"/>
  <c r="BA434" i="3"/>
  <c r="BA436" i="3"/>
  <c r="BA438" i="3"/>
  <c r="G442" i="3"/>
  <c r="G443" i="3"/>
  <c r="BA446" i="3"/>
  <c r="BA450" i="3"/>
  <c r="BA453" i="3"/>
  <c r="AZ453" i="3" s="1"/>
  <c r="BA455" i="3"/>
  <c r="AZ455" i="3" s="1"/>
  <c r="BL457" i="3"/>
  <c r="AZ457" i="3" s="1"/>
  <c r="BL460" i="3"/>
  <c r="BL461" i="3"/>
  <c r="AZ461" i="3" s="1"/>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A214" i="3"/>
  <c r="BL215" i="3"/>
  <c r="BA218" i="3"/>
  <c r="AZ218" i="3" s="1"/>
  <c r="BL218" i="3"/>
  <c r="F12" i="34"/>
  <c r="S12" i="34" s="1"/>
  <c r="G551" i="3"/>
  <c r="BL550" i="3"/>
  <c r="G542" i="3"/>
  <c r="BA398" i="3"/>
  <c r="AZ398" i="3" s="1"/>
  <c r="BA399" i="3"/>
  <c r="AZ399" i="3" s="1"/>
  <c r="BL401" i="3"/>
  <c r="BL404" i="3"/>
  <c r="BL405" i="3"/>
  <c r="BL407" i="3"/>
  <c r="AZ407" i="3" s="1"/>
  <c r="BA412" i="3"/>
  <c r="AZ412" i="3" s="1"/>
  <c r="BA414" i="3"/>
  <c r="AZ414" i="3" s="1"/>
  <c r="BA415" i="3"/>
  <c r="AZ415" i="3" s="1"/>
  <c r="BA416" i="3"/>
  <c r="AZ416" i="3" s="1"/>
  <c r="BA421" i="3"/>
  <c r="AZ421" i="3" s="1"/>
  <c r="AZ425" i="3"/>
  <c r="AZ435" i="3"/>
  <c r="AZ451" i="3"/>
  <c r="AZ460" i="3"/>
  <c r="AZ469" i="3"/>
  <c r="AZ483" i="3"/>
  <c r="BA395" i="3"/>
  <c r="AZ395" i="3" s="1"/>
  <c r="G585" i="3"/>
  <c r="BL587" i="3"/>
  <c r="AZ587" i="3" s="1"/>
  <c r="BL586" i="3"/>
  <c r="AZ586" i="3" s="1"/>
  <c r="H12" i="34"/>
  <c r="G574" i="3"/>
  <c r="BL16" i="3"/>
  <c r="AZ16" i="3" s="1"/>
  <c r="BA401" i="3"/>
  <c r="AZ401" i="3" s="1"/>
  <c r="BA403" i="3"/>
  <c r="BA404" i="3"/>
  <c r="AZ404" i="3" s="1"/>
  <c r="BA405" i="3"/>
  <c r="AZ405" i="3" s="1"/>
  <c r="BL410" i="3"/>
  <c r="G412" i="3"/>
  <c r="G418" i="3"/>
  <c r="G419" i="3"/>
  <c r="BA422" i="3"/>
  <c r="AZ422" i="3" s="1"/>
  <c r="G430" i="3"/>
  <c r="BL431" i="3"/>
  <c r="BL434" i="3"/>
  <c r="G437" i="3"/>
  <c r="BL438" i="3"/>
  <c r="BL439" i="3"/>
  <c r="BA441" i="3"/>
  <c r="AZ441" i="3" s="1"/>
  <c r="BL445" i="3"/>
  <c r="BL446" i="3"/>
  <c r="BL449" i="3"/>
  <c r="BL450" i="3"/>
  <c r="BL452" i="3"/>
  <c r="G455" i="3"/>
  <c r="BL456" i="3"/>
  <c r="BA464" i="3"/>
  <c r="AZ464" i="3" s="1"/>
  <c r="BL467" i="3"/>
  <c r="BL468" i="3"/>
  <c r="BL470" i="3"/>
  <c r="G472" i="3"/>
  <c r="G473" i="3"/>
  <c r="BL473" i="3"/>
  <c r="AZ473" i="3" s="1"/>
  <c r="BL474"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L214" i="3"/>
  <c r="U31" i="36"/>
  <c r="G587" i="3"/>
  <c r="J12" i="35"/>
  <c r="F25" i="37"/>
  <c r="BA551" i="3"/>
  <c r="AZ551" i="3" s="1"/>
  <c r="BA550" i="3"/>
  <c r="AZ550" i="3" s="1"/>
  <c r="BL548" i="3"/>
  <c r="AZ548" i="3" s="1"/>
  <c r="BL418" i="3"/>
  <c r="AZ418" i="3" s="1"/>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BL397" i="3"/>
  <c r="BA210" i="3"/>
  <c r="AZ210" i="3" s="1"/>
  <c r="BL210" i="3"/>
  <c r="BL212" i="3"/>
  <c r="BL217" i="3"/>
  <c r="AZ217" i="3" s="1"/>
  <c r="BA219" i="3"/>
  <c r="AZ219" i="3" s="1"/>
  <c r="BA221" i="3"/>
  <c r="BA223" i="3"/>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A162" i="3"/>
  <c r="BA164" i="3"/>
  <c r="AZ164" i="3" s="1"/>
  <c r="BA166" i="3"/>
  <c r="AZ166" i="3" s="1"/>
  <c r="BL166" i="3"/>
  <c r="BA185" i="3"/>
  <c r="BA222" i="3"/>
  <c r="AZ222" i="3" s="1"/>
  <c r="BA224" i="3"/>
  <c r="AZ224" i="3" s="1"/>
  <c r="BA226" i="3"/>
  <c r="BL255" i="3"/>
  <c r="BL257" i="3"/>
  <c r="AZ257" i="3" s="1"/>
  <c r="BL258" i="3"/>
  <c r="BL221" i="3"/>
  <c r="G222" i="3"/>
  <c r="BL223" i="3"/>
  <c r="G224" i="3"/>
  <c r="BA227" i="3"/>
  <c r="AZ227" i="3" s="1"/>
  <c r="BA229" i="3"/>
  <c r="BL229" i="3"/>
  <c r="BL231" i="3"/>
  <c r="G233" i="3"/>
  <c r="BL233" i="3"/>
  <c r="AZ233" i="3" s="1"/>
  <c r="BL235" i="3"/>
  <c r="AZ235" i="3" s="1"/>
  <c r="BL236" i="3"/>
  <c r="BL238" i="3"/>
  <c r="BL243"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L162" i="3"/>
  <c r="BA239" i="3"/>
  <c r="AZ239" i="3" s="1"/>
  <c r="BL239" i="3"/>
  <c r="BA241" i="3"/>
  <c r="BL241" i="3"/>
  <c r="BA244" i="3"/>
  <c r="AZ244" i="3" s="1"/>
  <c r="BL244" i="3"/>
  <c r="BA246" i="3"/>
  <c r="BA252" i="3"/>
  <c r="AZ252" i="3" s="1"/>
  <c r="BL264" i="3"/>
  <c r="BL266" i="3"/>
  <c r="BA268" i="3"/>
  <c r="BL273" i="3"/>
  <c r="AZ273" i="3" s="1"/>
  <c r="G274" i="3"/>
  <c r="BA277" i="3"/>
  <c r="BL277" i="3"/>
  <c r="BA282" i="3"/>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AZ140" i="3" s="1"/>
  <c r="BA142" i="3"/>
  <c r="BL149" i="3"/>
  <c r="AZ149" i="3" s="1"/>
  <c r="BL150" i="3"/>
  <c r="AZ150" i="3" s="1"/>
  <c r="BA152" i="3"/>
  <c r="AZ152" i="3" s="1"/>
  <c r="BA154" i="3"/>
  <c r="AZ154" i="3" s="1"/>
  <c r="BA160" i="3"/>
  <c r="AZ160" i="3" s="1"/>
  <c r="BL179" i="3"/>
  <c r="AZ179" i="3" s="1"/>
  <c r="BA181" i="3"/>
  <c r="AZ181" i="3" s="1"/>
  <c r="BA182" i="3"/>
  <c r="AZ182" i="3" s="1"/>
  <c r="BL193" i="3"/>
  <c r="BL194" i="3"/>
  <c r="AZ194" i="3" s="1"/>
  <c r="BA198" i="3"/>
  <c r="AZ198" i="3" s="1"/>
  <c r="BL206" i="3"/>
  <c r="BA19" i="3"/>
  <c r="BA27" i="3"/>
  <c r="BL30" i="3"/>
  <c r="BL31" i="3"/>
  <c r="BL40" i="3"/>
  <c r="BL41" i="3"/>
  <c r="BL45" i="3"/>
  <c r="BA48" i="3"/>
  <c r="BA49" i="3"/>
  <c r="BA51" i="3"/>
  <c r="AZ51" i="3" s="1"/>
  <c r="G55" i="3"/>
  <c r="BL56" i="3"/>
  <c r="BA58" i="3"/>
  <c r="BL59" i="3"/>
  <c r="BL60" i="3"/>
  <c r="BA61" i="3"/>
  <c r="BA68" i="3"/>
  <c r="BL81" i="3"/>
  <c r="BA82" i="3"/>
  <c r="AZ82" i="3" s="1"/>
  <c r="BL83" i="3"/>
  <c r="BA90" i="3"/>
  <c r="BA94" i="3"/>
  <c r="AZ94" i="3" s="1"/>
  <c r="E28" i="71"/>
  <c r="AA27" i="71"/>
  <c r="AA28" i="71"/>
  <c r="D38" i="71"/>
  <c r="C39" i="71"/>
  <c r="F34" i="71"/>
  <c r="F35" i="71" s="1"/>
  <c r="F36" i="71" s="1"/>
  <c r="V36" i="71" s="1"/>
  <c r="AB33" i="71"/>
  <c r="AB28" i="71"/>
  <c r="AB26" i="71"/>
  <c r="AB32" i="71"/>
  <c r="AB27" i="71"/>
  <c r="C47" i="71"/>
  <c r="D47" i="71" s="1"/>
  <c r="D46" i="71"/>
  <c r="D56" i="71"/>
  <c r="T56" i="71"/>
  <c r="N67" i="71"/>
  <c r="B66" i="71"/>
  <c r="F66" i="71"/>
  <c r="Q67" i="71"/>
  <c r="V24" i="71"/>
  <c r="E23" i="71"/>
  <c r="E22" i="71" s="1"/>
  <c r="E21" i="71" s="1"/>
  <c r="E20" i="71" s="1"/>
  <c r="BL177" i="3"/>
  <c r="AZ177" i="3" s="1"/>
  <c r="G179" i="3"/>
  <c r="BL183" i="3"/>
  <c r="AZ183" i="3" s="1"/>
  <c r="BA186" i="3"/>
  <c r="AZ186" i="3" s="1"/>
  <c r="BA190" i="3"/>
  <c r="G196" i="3"/>
  <c r="BA197" i="3"/>
  <c r="BL201" i="3"/>
  <c r="BL203" i="3"/>
  <c r="AZ203" i="3" s="1"/>
  <c r="BA204" i="3"/>
  <c r="AZ204" i="3" s="1"/>
  <c r="BA18" i="3"/>
  <c r="G21" i="3"/>
  <c r="BL21" i="3"/>
  <c r="AZ21" i="3" s="1"/>
  <c r="G23" i="3"/>
  <c r="G29" i="3"/>
  <c r="BL29" i="3"/>
  <c r="AZ29" i="3" s="1"/>
  <c r="G33" i="3"/>
  <c r="G34" i="3"/>
  <c r="BA37" i="3"/>
  <c r="G39" i="3"/>
  <c r="BL39" i="3"/>
  <c r="AZ39" i="3" s="1"/>
  <c r="G43" i="3"/>
  <c r="G44" i="3"/>
  <c r="BA45" i="3"/>
  <c r="BA46" i="3"/>
  <c r="BL49" i="3"/>
  <c r="BL50" i="3"/>
  <c r="AZ50" i="3" s="1"/>
  <c r="BL51" i="3"/>
  <c r="G53" i="3"/>
  <c r="BL53" i="3"/>
  <c r="AZ53" i="3" s="1"/>
  <c r="BA56" i="3"/>
  <c r="BA57" i="3"/>
  <c r="AZ57" i="3" s="1"/>
  <c r="BL58" i="3"/>
  <c r="G60" i="3"/>
  <c r="BA60" i="3"/>
  <c r="BA63" i="3"/>
  <c r="AZ63" i="3" s="1"/>
  <c r="BA66" i="3"/>
  <c r="AZ66" i="3" s="1"/>
  <c r="BA71" i="3"/>
  <c r="AZ71" i="3" s="1"/>
  <c r="BL72" i="3"/>
  <c r="BL75" i="3"/>
  <c r="BL91" i="3"/>
  <c r="BL100" i="3"/>
  <c r="AZ100" i="3" s="1"/>
  <c r="BL105" i="3"/>
  <c r="F40" i="68"/>
  <c r="C21" i="68"/>
  <c r="C31" i="71"/>
  <c r="Y30" i="71"/>
  <c r="Z30" i="71" s="1"/>
  <c r="AZ201" i="3"/>
  <c r="AZ25" i="3"/>
  <c r="AZ52" i="3"/>
  <c r="AC29" i="39"/>
  <c r="W29" i="39"/>
  <c r="AA18" i="36"/>
  <c r="S18" i="36"/>
  <c r="Y27" i="71"/>
  <c r="Z27" i="71" s="1"/>
  <c r="Y26" i="71"/>
  <c r="Z26" i="71" s="1"/>
  <c r="C28" i="71"/>
  <c r="Y28" i="71"/>
  <c r="Z28" i="71" s="1"/>
  <c r="Y25" i="71"/>
  <c r="Z25" i="71"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AZ27" i="3" s="1"/>
  <c r="BA28" i="3"/>
  <c r="AZ28" i="3" s="1"/>
  <c r="BA31" i="3"/>
  <c r="AZ31" i="3" s="1"/>
  <c r="BA32" i="3"/>
  <c r="G38" i="3"/>
  <c r="BA38" i="3"/>
  <c r="AZ38" i="3" s="1"/>
  <c r="BA41" i="3"/>
  <c r="AZ41" i="3" s="1"/>
  <c r="BA42" i="3"/>
  <c r="G47" i="3"/>
  <c r="BL48" i="3"/>
  <c r="BL54" i="3"/>
  <c r="BL55" i="3"/>
  <c r="AZ55" i="3" s="1"/>
  <c r="G58" i="3"/>
  <c r="BA59" i="3"/>
  <c r="AZ59" i="3" s="1"/>
  <c r="BL61" i="3"/>
  <c r="G64" i="3"/>
  <c r="BA64" i="3"/>
  <c r="AZ64" i="3" s="1"/>
  <c r="G67" i="3"/>
  <c r="BL68" i="3"/>
  <c r="BA69" i="3"/>
  <c r="AZ69" i="3" s="1"/>
  <c r="BA72" i="3"/>
  <c r="AZ72" i="3" s="1"/>
  <c r="BA73" i="3"/>
  <c r="BA79" i="3"/>
  <c r="AZ79" i="3" s="1"/>
  <c r="G82" i="3"/>
  <c r="G83" i="3"/>
  <c r="BA84" i="3"/>
  <c r="AZ84" i="3" s="1"/>
  <c r="BL88" i="3"/>
  <c r="AZ88" i="3" s="1"/>
  <c r="G90" i="3"/>
  <c r="BL90" i="3"/>
  <c r="G98" i="3"/>
  <c r="G99" i="3"/>
  <c r="BA105" i="3"/>
  <c r="P27" i="6"/>
  <c r="C44" i="71"/>
  <c r="D43" i="71"/>
  <c r="G72" i="3"/>
  <c r="BL73" i="3"/>
  <c r="BA74" i="3"/>
  <c r="AZ74" i="3" s="1"/>
  <c r="BA75" i="3"/>
  <c r="AZ75" i="3" s="1"/>
  <c r="G81" i="3"/>
  <c r="G85" i="3"/>
  <c r="BL85" i="3"/>
  <c r="BA86" i="3"/>
  <c r="AZ86" i="3" s="1"/>
  <c r="BA87" i="3"/>
  <c r="BA91" i="3"/>
  <c r="AZ91" i="3" s="1"/>
  <c r="G96" i="3"/>
  <c r="BL97" i="3"/>
  <c r="AZ97" i="3" s="1"/>
  <c r="BL101" i="3"/>
  <c r="AZ101" i="3" s="1"/>
  <c r="BL102" i="3"/>
  <c r="AZ102" i="3" s="1"/>
  <c r="G104" i="3"/>
  <c r="G105" i="3"/>
  <c r="BL106" i="3"/>
  <c r="BA108" i="3"/>
  <c r="BA110" i="3"/>
  <c r="AZ110" i="3" s="1"/>
  <c r="F3" i="35"/>
  <c r="S21" i="33"/>
  <c r="S21" i="37"/>
  <c r="B77" i="43"/>
  <c r="AA18" i="35"/>
  <c r="O67" i="71"/>
  <c r="E75" i="71"/>
  <c r="E74" i="71" s="1"/>
  <c r="AB25" i="71"/>
  <c r="X26" i="71"/>
  <c r="X38" i="71"/>
  <c r="C35" i="71"/>
  <c r="E38" i="71"/>
  <c r="E39" i="71" s="1"/>
  <c r="E40" i="71" s="1"/>
  <c r="U40" i="71" s="1"/>
  <c r="B34" i="71"/>
  <c r="B35" i="71" s="1"/>
  <c r="B36" i="71" s="1"/>
  <c r="S36" i="71" s="1"/>
  <c r="X33" i="71"/>
  <c r="AB37" i="71"/>
  <c r="BA103" i="3"/>
  <c r="AZ103" i="3" s="1"/>
  <c r="BA104" i="3"/>
  <c r="BA106" i="3"/>
  <c r="BL108" i="3"/>
  <c r="G110" i="3"/>
  <c r="BL111" i="3"/>
  <c r="C5" i="68"/>
  <c r="P66" i="71"/>
  <c r="C66" i="71"/>
  <c r="S28" i="71"/>
  <c r="C83" i="71"/>
  <c r="C79" i="71"/>
  <c r="C71" i="71"/>
  <c r="Y37" i="71"/>
  <c r="Z37" i="71" s="1"/>
  <c r="X35" i="71"/>
  <c r="X28" i="71"/>
  <c r="X32" i="71"/>
  <c r="F40" i="71"/>
  <c r="V40" i="71" s="1"/>
  <c r="AB38" i="71"/>
  <c r="AA39" i="71"/>
  <c r="F75" i="71"/>
  <c r="F74" i="71" s="1"/>
  <c r="B79" i="71"/>
  <c r="B78" i="71" s="1"/>
  <c r="BL107" i="3"/>
  <c r="BA111" i="3"/>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F51" i="67"/>
  <c r="F65" i="67"/>
  <c r="J53" i="67"/>
  <c r="J57" i="67"/>
  <c r="J55" i="67" s="1"/>
  <c r="J58" i="67" s="1"/>
  <c r="Q50" i="67" s="1"/>
  <c r="L56" i="67"/>
  <c r="I54" i="67"/>
  <c r="M7" i="15"/>
  <c r="J6" i="15" s="1"/>
  <c r="F50" i="15"/>
  <c r="F71" i="15"/>
  <c r="F66" i="67"/>
  <c r="L59" i="15"/>
  <c r="N59" i="15"/>
  <c r="M59" i="15"/>
  <c r="F66" i="15"/>
  <c r="Q71" i="67"/>
  <c r="F64" i="15"/>
  <c r="D103" i="9"/>
  <c r="C27" i="67"/>
  <c r="F71" i="67"/>
  <c r="C27" i="15"/>
  <c r="F65" i="15"/>
  <c r="G20" i="9"/>
  <c r="C103" i="9"/>
  <c r="N59" i="67"/>
  <c r="L59" i="67"/>
  <c r="L58" i="67"/>
  <c r="M59" i="67"/>
  <c r="B13" i="70"/>
  <c r="F64" i="67"/>
  <c r="F68" i="15"/>
  <c r="C36" i="68"/>
  <c r="D9" i="69"/>
  <c r="F27" i="69"/>
  <c r="C36" i="69"/>
  <c r="D9" i="68"/>
  <c r="D6" i="73"/>
  <c r="F7" i="67"/>
  <c r="F16" i="67"/>
  <c r="F42" i="67"/>
  <c r="D3" i="73"/>
  <c r="M28" i="15"/>
  <c r="M22" i="15"/>
  <c r="F6" i="67"/>
  <c r="F8" i="15"/>
  <c r="M22" i="67"/>
  <c r="M24" i="67"/>
  <c r="D4" i="73"/>
  <c r="D7" i="73"/>
  <c r="C16" i="15"/>
  <c r="F40" i="67"/>
  <c r="M23" i="15"/>
  <c r="L48" i="15"/>
  <c r="D5" i="73"/>
  <c r="D17" i="53" l="1"/>
  <c r="B36" i="72" s="1"/>
  <c r="J53" i="15"/>
  <c r="L56" i="15" s="1"/>
  <c r="J57" i="15"/>
  <c r="J55" i="15" s="1"/>
  <c r="J58" i="15" s="1"/>
  <c r="Q50" i="15" s="1"/>
  <c r="L58" i="15"/>
  <c r="Q60" i="15" s="1"/>
  <c r="I54" i="15"/>
  <c r="F68" i="67"/>
  <c r="F31" i="15"/>
  <c r="F51" i="15"/>
  <c r="C49" i="15" s="1"/>
  <c r="C6" i="15"/>
  <c r="C32" i="15" s="1"/>
  <c r="C6" i="67"/>
  <c r="F31" i="67"/>
  <c r="M7" i="67"/>
  <c r="J6" i="67" s="1"/>
  <c r="J18" i="67" s="1"/>
  <c r="F50" i="67"/>
  <c r="C49" i="67" s="1"/>
  <c r="AZ197" i="3"/>
  <c r="AZ238" i="3"/>
  <c r="W12" i="35"/>
  <c r="AC12" i="35"/>
  <c r="AZ432" i="3"/>
  <c r="AB9" i="34"/>
  <c r="U9" i="34"/>
  <c r="G5" i="3"/>
  <c r="B3" i="3" s="1"/>
  <c r="E539" i="3" s="1"/>
  <c r="C70" i="71"/>
  <c r="D70" i="71" s="1"/>
  <c r="D71" i="71"/>
  <c r="O65" i="71"/>
  <c r="D66" i="71"/>
  <c r="O66" i="71"/>
  <c r="D44" i="71"/>
  <c r="T44" i="71"/>
  <c r="T28" i="71"/>
  <c r="D28" i="71"/>
  <c r="U28" i="71" s="1"/>
  <c r="C27" i="71"/>
  <c r="D31" i="71"/>
  <c r="C32" i="71"/>
  <c r="AZ282" i="3"/>
  <c r="AZ229" i="3"/>
  <c r="AC9" i="34"/>
  <c r="W9" i="34"/>
  <c r="AZ111" i="3"/>
  <c r="C78" i="71"/>
  <c r="D78" i="71" s="1"/>
  <c r="D79" i="71"/>
  <c r="C36" i="71"/>
  <c r="D35" i="71"/>
  <c r="AZ108" i="3"/>
  <c r="AZ190" i="3"/>
  <c r="AZ58" i="3"/>
  <c r="AZ49" i="3"/>
  <c r="AZ19" i="3"/>
  <c r="AZ297" i="3"/>
  <c r="AZ241" i="3"/>
  <c r="AZ249" i="3"/>
  <c r="AZ162" i="3"/>
  <c r="AZ274" i="3"/>
  <c r="AZ223" i="3"/>
  <c r="AZ397" i="3"/>
  <c r="AZ429" i="3"/>
  <c r="C82" i="71"/>
  <c r="D82" i="71" s="1"/>
  <c r="D83" i="71"/>
  <c r="AZ105" i="3"/>
  <c r="AZ45" i="3"/>
  <c r="N65" i="71"/>
  <c r="N66" i="71"/>
  <c r="C40" i="71"/>
  <c r="D39" i="71"/>
  <c r="AZ61" i="3"/>
  <c r="AZ277" i="3"/>
  <c r="AZ118" i="3"/>
  <c r="AZ121" i="3"/>
  <c r="AZ263" i="3"/>
  <c r="AZ243" i="3"/>
  <c r="AA25" i="37"/>
  <c r="S25" i="37"/>
  <c r="AZ403" i="3"/>
  <c r="AB12" i="34"/>
  <c r="U12" i="34"/>
  <c r="AZ214" i="3"/>
  <c r="AZ353" i="3"/>
  <c r="AZ428" i="3"/>
  <c r="G16" i="1"/>
  <c r="F10" i="39" s="1"/>
  <c r="J7" i="37"/>
  <c r="K1" i="73"/>
  <c r="E510" i="3"/>
  <c r="E536" i="3"/>
  <c r="E199" i="3"/>
  <c r="E575" i="3"/>
  <c r="R6" i="3"/>
  <c r="E442" i="3"/>
  <c r="E541" i="3"/>
  <c r="E449" i="3"/>
  <c r="I3" i="6"/>
  <c r="AP6" i="3"/>
  <c r="E554" i="3"/>
  <c r="E435" i="3"/>
  <c r="E491" i="3"/>
  <c r="E417" i="3"/>
  <c r="E56" i="3"/>
  <c r="E37" i="3"/>
  <c r="E95" i="3"/>
  <c r="E192" i="3"/>
  <c r="E258" i="3"/>
  <c r="E241" i="3"/>
  <c r="E363" i="3"/>
  <c r="E349" i="3"/>
  <c r="E389" i="3"/>
  <c r="E76" i="3"/>
  <c r="E59" i="3"/>
  <c r="E409" i="3"/>
  <c r="E425" i="3"/>
  <c r="E467" i="3"/>
  <c r="E64" i="3"/>
  <c r="E103" i="3"/>
  <c r="E160" i="3"/>
  <c r="E267" i="3"/>
  <c r="E300" i="3"/>
  <c r="E371" i="3"/>
  <c r="E310" i="3"/>
  <c r="E23" i="3"/>
  <c r="E84" i="3"/>
  <c r="E67" i="3"/>
  <c r="E144" i="3"/>
  <c r="E184" i="3"/>
  <c r="E233" i="3"/>
  <c r="E381" i="3"/>
  <c r="E68" i="3"/>
  <c r="E63" i="3"/>
  <c r="E264" i="3"/>
  <c r="E283" i="3"/>
  <c r="E309" i="3"/>
  <c r="E21" i="3"/>
  <c r="E494" i="3"/>
  <c r="E198" i="3"/>
  <c r="E332" i="3"/>
  <c r="E391" i="3"/>
  <c r="AL6" i="3"/>
  <c r="E75" i="3"/>
  <c r="E482" i="3"/>
  <c r="E18" i="3"/>
  <c r="E129" i="3"/>
  <c r="E174" i="3"/>
  <c r="E235" i="3"/>
  <c r="E522" i="3"/>
  <c r="E86" i="3"/>
  <c r="E34" i="3"/>
  <c r="E251" i="3"/>
  <c r="AF6" i="3"/>
  <c r="E102"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C7" i="37"/>
  <c r="W7" i="37"/>
  <c r="F7" i="33"/>
  <c r="E58" i="21"/>
  <c r="AC7" i="36"/>
  <c r="V36" i="36" s="1"/>
  <c r="I36" i="36" s="1"/>
  <c r="W7" i="36"/>
  <c r="F7" i="37"/>
  <c r="M17" i="15"/>
  <c r="P28" i="43"/>
  <c r="B66" i="40" s="1"/>
  <c r="P25" i="43"/>
  <c r="P29" i="43"/>
  <c r="P27" i="43"/>
  <c r="B70" i="39" s="1"/>
  <c r="J18" i="15"/>
  <c r="C32" i="67"/>
  <c r="C32" i="9"/>
  <c r="Q60" i="67"/>
  <c r="Q73" i="67"/>
  <c r="M11" i="67"/>
  <c r="J10" i="67" s="1"/>
  <c r="F11" i="15"/>
  <c r="M11" i="15"/>
  <c r="J10" i="15" s="1"/>
  <c r="J5" i="15" s="1"/>
  <c r="J24" i="15" s="1"/>
  <c r="F11" i="67"/>
  <c r="F1" i="67"/>
  <c r="Q52" i="67"/>
  <c r="Q61" i="67"/>
  <c r="Q74" i="67"/>
  <c r="Q74" i="15"/>
  <c r="Q61" i="15"/>
  <c r="AE11" i="1"/>
  <c r="AE6" i="1"/>
  <c r="AE9" i="1"/>
  <c r="F27" i="68"/>
  <c r="AE7" i="1"/>
  <c r="AE8" i="1"/>
  <c r="AE12" i="1"/>
  <c r="AE10" i="1"/>
  <c r="G1" i="73"/>
  <c r="C16" i="67"/>
  <c r="F41" i="67"/>
  <c r="Q52" i="15" l="1"/>
  <c r="F1" i="15"/>
  <c r="F59" i="15"/>
  <c r="J5" i="67"/>
  <c r="J24" i="67" s="1"/>
  <c r="Q73" i="15"/>
  <c r="M17" i="67"/>
  <c r="E113" i="3"/>
  <c r="E206" i="3"/>
  <c r="E383" i="3"/>
  <c r="E96" i="3"/>
  <c r="E42" i="3"/>
  <c r="E281" i="3"/>
  <c r="E513" i="3"/>
  <c r="E81" i="3"/>
  <c r="E355" i="3"/>
  <c r="E33" i="3"/>
  <c r="E492" i="3"/>
  <c r="E249" i="3"/>
  <c r="E46" i="3"/>
  <c r="E484" i="3"/>
  <c r="E544" i="3"/>
  <c r="E292" i="3"/>
  <c r="E152" i="3"/>
  <c r="E479" i="3"/>
  <c r="E517" i="3"/>
  <c r="E255" i="3"/>
  <c r="E466" i="3"/>
  <c r="E499" i="3"/>
  <c r="E212" i="3"/>
  <c r="U7" i="36"/>
  <c r="C26" i="71"/>
  <c r="D26" i="71" s="1"/>
  <c r="D27" i="71"/>
  <c r="E430" i="3"/>
  <c r="E502" i="3"/>
  <c r="E286" i="3"/>
  <c r="T40" i="71"/>
  <c r="D40" i="71"/>
  <c r="R36" i="36"/>
  <c r="D36" i="71"/>
  <c r="T36" i="71"/>
  <c r="T32" i="71"/>
  <c r="D3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C35" i="9"/>
  <c r="M27" i="15"/>
  <c r="M27" i="67"/>
  <c r="F41" i="15"/>
  <c r="F25" i="12" l="1"/>
  <c r="C26" i="12" s="1"/>
  <c r="D25" i="12" s="1"/>
  <c r="I53" i="34"/>
  <c r="J53" i="34" s="1"/>
  <c r="I46" i="37"/>
  <c r="J46" i="37" s="1"/>
  <c r="D116" i="43"/>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67"/>
  <c r="C17" i="15"/>
  <c r="C14" i="67"/>
  <c r="C23" i="68" l="1"/>
  <c r="C44" i="68"/>
  <c r="D41" i="68" s="1"/>
  <c r="C26" i="11"/>
  <c r="D22" i="11"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15"/>
  <c r="M21" i="67"/>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12" i="1"/>
  <c r="AO11" i="1"/>
  <c r="AO8" i="1"/>
  <c r="AO9" i="1"/>
  <c r="AO7"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68" i="9" l="1"/>
  <c r="B22" i="72"/>
  <c r="D8" i="52"/>
  <c r="D6" i="53"/>
  <c r="B20" i="72"/>
  <c r="C5" i="74"/>
  <c r="L68" i="9"/>
  <c r="D52" i="9"/>
  <c r="D53" i="9"/>
  <c r="C105" i="9"/>
  <c r="I4" i="52"/>
  <c r="L66" i="9"/>
  <c r="M66" i="9"/>
  <c r="N69" i="9"/>
  <c r="N60" i="9"/>
  <c r="N59" i="9"/>
  <c r="N61" i="9"/>
  <c r="L65" i="9"/>
  <c r="M65" i="9"/>
  <c r="B30" i="72"/>
  <c r="E81" i="9"/>
  <c r="M48" i="9"/>
  <c r="D5" i="53"/>
  <c r="C6" i="74"/>
  <c r="L64" i="9"/>
  <c r="M64" i="9"/>
  <c r="L67" i="9"/>
  <c r="M67" i="9"/>
  <c r="C81" i="9"/>
  <c r="N58" i="9"/>
  <c r="P57" i="9"/>
  <c r="D59" i="9"/>
  <c r="M55" i="9"/>
  <c r="D13" i="53"/>
  <c r="D14" i="53"/>
  <c r="B32" i="72"/>
  <c r="G4" i="52"/>
  <c r="B52" i="72"/>
  <c r="D5" i="52"/>
  <c r="B49" i="72"/>
  <c r="E4" i="52"/>
  <c r="B48" i="72"/>
  <c r="F119" i="9"/>
  <c r="F5" i="52"/>
  <c r="B53" i="72"/>
  <c r="H4" i="52"/>
  <c r="C104" i="9"/>
  <c r="B47" i="72"/>
  <c r="D122" i="9"/>
  <c r="D123" i="9"/>
  <c r="D9" i="52"/>
  <c r="H102" i="9"/>
  <c r="D7" i="53"/>
  <c r="B21" i="72"/>
  <c r="E97" i="9"/>
  <c r="G118" i="9"/>
  <c r="F118" i="9"/>
  <c r="F4" i="52"/>
  <c r="B51" i="72"/>
  <c r="D58" i="9"/>
  <c r="D56" i="9"/>
  <c r="M54" i="9"/>
  <c r="C97" i="9"/>
  <c r="D55" i="9"/>
  <c r="M53" i="9"/>
  <c r="N57" i="9"/>
  <c r="C78" i="9"/>
  <c r="C73" i="9"/>
  <c r="C93" i="9"/>
  <c r="C86" i="9"/>
  <c r="H119" i="9"/>
  <c r="H5" i="52"/>
  <c r="D4" i="52"/>
  <c r="E118" i="9"/>
  <c r="D118" i="9"/>
  <c r="D119" i="9"/>
  <c r="M49" i="9"/>
  <c r="L63" i="9"/>
  <c r="M63" i="9"/>
  <c r="M69" i="9"/>
  <c r="H107" i="9"/>
  <c r="H108" i="9"/>
  <c r="D15" i="53"/>
  <c r="B31" i="72"/>
  <c r="C67" i="9"/>
  <c r="C68" i="9"/>
  <c r="D54" i="9"/>
  <c r="C85" i="9"/>
  <c r="C95" i="9"/>
  <c r="C96" i="9"/>
  <c r="E96" i="9"/>
  <c r="C72" i="9"/>
  <c r="C79" i="9"/>
  <c r="C80" i="9"/>
  <c r="E80"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<sst xmlns="http://schemas.openxmlformats.org/spreadsheetml/2006/main" count="7860" uniqueCount="3424">
  <si>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</si>
  <si>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</si>
  <si>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</si>
  <si>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</si>
  <si>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</si>
  <si>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</si>
  <si>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</si>
  <si>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</si>
  <si>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</si>
  <si>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</si>
  <si>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</si>
  <si>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</si>
  <si>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</si>
  <si>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</si>
  <si>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</si>
  <si>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</si>
  <si>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</si>
  <si>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</si>
  <si>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</si>
  <si>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</si>
  <si>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</si>
  <si>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</si>
  <si>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</si>
  <si>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</si>
  <si>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</si>
  <si>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</si>
  <si>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</si>
  <si>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</si>
  <si>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</si>
  <si>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</si>
  <si>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</si>
  <si>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</si>
  <si>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</si>
  <si>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</si>
  <si>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</si>
  <si>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</si>
  <si>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</si>
  <si>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</si>
  <si>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</si>
  <si>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</si>
  <si>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</si>
  <si>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</si>
  <si>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</si>
  <si>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</si>
  <si>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</si>
  <si>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</si>
  <si>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</si>
  <si>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</si>
  <si>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</si>
  <si>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</si>
  <si>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</si>
  <si>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</si>
  <si>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</si>
  <si>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</si>
  <si>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</si>
  <si>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</si>
  <si>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</si>
  <si>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</si>
  <si>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</si>
  <si>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</si>
  <si>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</si>
  <si>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</si>
  <si>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</si>
  <si>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</si>
  <si>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</si>
  <si>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</si>
  <si>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</si>
  <si>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</si>
  <si>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</si>
  <si>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</si>
  <si>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</si>
  <si>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</si>
  <si>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</si>
  <si>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</si>
  <si>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</si>
  <si>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</si>
  <si>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</si>
  <si>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</si>
  <si>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</si>
  <si>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</si>
  <si>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</si>
  <si>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</si>
  <si>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</si>
  <si>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</si>
  <si>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</si>
  <si>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</si>
  <si>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</si>
  <si>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</si>
  <si>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</si>
  <si>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</si>
  <si>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</si>
  <si>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</si>
  <si>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</si>
  <si>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</si>
  <si>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</si>
  <si>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</si>
  <si>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</si>
  <si>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</si>
  <si>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</si>
  <si>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</si>
  <si>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</si>
  <si>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</si>
  <si>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</si>
  <si>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</si>
  <si>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</si>
  <si>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</si>
  <si>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</si>
  <si>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</si>
  <si>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</si>
  <si>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</si>
  <si>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</si>
  <si>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</si>
  <si>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</si>
  <si>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</si>
  <si>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</si>
  <si>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</si>
  <si>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</si>
  <si>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</si>
  <si>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</si>
  <si>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</si>
  <si>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</si>
  <si>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</si>
  <si>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</si>
  <si>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</si>
  <si>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</si>
  <si>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</si>
  <si>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</si>
  <si>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</si>
  <si>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</si>
  <si>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</si>
  <si>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</si>
  <si>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</si>
  <si>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</si>
  <si>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</si>
  <si>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</si>
  <si>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</si>
  <si>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</si>
  <si>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</si>
  <si>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</si>
  <si>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</si>
  <si>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</si>
  <si>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</si>
  <si>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</si>
  <si>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</si>
  <si>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</si>
  <si>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</si>
  <si>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</si>
  <si>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</si>
  <si>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</si>
  <si>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</si>
  <si>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</si>
  <si>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</si>
  <si>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</si>
  <si>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</si>
  <si>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</si>
  <si>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</si>
  <si>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</si>
  <si>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</si>
  <si>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</si>
  <si>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</si>
  <si>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</si>
  <si>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</si>
  <si>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</si>
  <si>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</si>
  <si>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</si>
  <si>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</si>
  <si>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</si>
  <si>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</si>
  <si>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</si>
  <si>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</si>
  <si>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</si>
  <si>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</si>
  <si>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</si>
  <si>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</si>
  <si>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</si>
  <si>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</si>
  <si>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</si>
  <si>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</si>
  <si>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</si>
  <si>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</si>
  <si>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</si>
  <si>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</si>
  <si>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</si>
  <si>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</si>
  <si>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</si>
  <si>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</si>
  <si>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</si>
  <si>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</si>
  <si>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</si>
  <si>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</si>
  <si>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</si>
  <si>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</si>
  <si>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</si>
  <si>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</si>
  <si>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</si>
  <si>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</si>
  <si>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</si>
  <si>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</si>
  <si>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</si>
  <si>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</si>
  <si>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</si>
  <si>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</si>
  <si>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</si>
  <si>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</si>
  <si>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</si>
  <si>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</si>
  <si>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</si>
  <si>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</si>
  <si>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</si>
  <si>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</si>
  <si>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</si>
  <si>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</si>
  <si>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</si>
  <si>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</si>
  <si>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</si>
  <si>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</si>
  <si>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</si>
  <si>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</si>
  <si>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</si>
  <si>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</si>
  <si>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</si>
  <si>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</si>
  <si>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</si>
  <si>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</si>
  <si>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</si>
  <si>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</si>
  <si>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</si>
  <si>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</si>
  <si>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</si>
  <si>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</si>
  <si>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</si>
  <si>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</si>
  <si>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</si>
  <si>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</si>
  <si>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</si>
  <si>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</si>
  <si>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</si>
  <si>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</si>
  <si>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</si>
  <si>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</si>
  <si>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</si>
  <si>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</si>
  <si>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</si>
  <si>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</si>
  <si>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</si>
  <si>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</si>
  <si>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</si>
  <si>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</si>
  <si>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</si>
  <si>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</si>
  <si>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</si>
  <si>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</si>
  <si>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</si>
  <si>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</si>
  <si>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</si>
  <si>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</si>
  <si>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</si>
  <si>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</si>
  <si>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</si>
  <si>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</si>
  <si>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</si>
  <si>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</si>
  <si>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</si>
  <si>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</si>
  <si>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</si>
  <si>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</si>
  <si>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</si>
  <si>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</si>
  <si>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</si>
  <si>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</si>
  <si>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</si>
  <si>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</si>
  <si>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</si>
  <si>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</si>
  <si>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</si>
  <si>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</si>
  <si>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</si>
  <si>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</si>
  <si>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</si>
  <si>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</si>
  <si>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</si>
  <si>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</si>
  <si>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</si>
  <si>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</si>
  <si>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</si>
  <si>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</si>
  <si>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</si>
  <si>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</si>
  <si>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</si>
  <si>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</si>
  <si>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</si>
  <si>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</si>
  <si>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</si>
  <si>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</si>
  <si>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</si>
  <si>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</si>
  <si>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</si>
  <si>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</si>
  <si>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</si>
  <si>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</si>
  <si>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</si>
  <si>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</si>
  <si>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</si>
  <si>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</si>
  <si>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</si>
  <si>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</si>
  <si>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</si>
  <si>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</si>
  <si>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</si>
  <si>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</si>
  <si>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</si>
  <si>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</si>
  <si>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</si>
  <si>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</si>
  <si>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</si>
  <si>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</si>
  <si>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</si>
  <si>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</si>
  <si>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</si>
  <si>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</si>
  <si>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</si>
  <si>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</si>
  <si>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</si>
  <si>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</si>
  <si>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</si>
  <si>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</si>
  <si>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</si>
  <si>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</si>
  <si>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</si>
  <si>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</si>
  <si>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</si>
  <si>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</si>
  <si>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</si>
  <si>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</si>
  <si>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</si>
  <si>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</si>
  <si>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</si>
  <si>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</si>
  <si>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</si>
  <si>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</si>
  <si>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</si>
  <si>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</si>
  <si>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</si>
  <si>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</si>
  <si>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</si>
  <si>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</si>
  <si>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</si>
  <si>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</si>
  <si>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</si>
  <si>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</si>
  <si>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</si>
  <si>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</si>
  <si>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</si>
  <si>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</si>
  <si>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</si>
  <si>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</si>
  <si>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</si>
  <si>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</si>
  <si>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</si>
  <si>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</si>
  <si>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</si>
  <si>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</si>
  <si>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</si>
  <si>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</si>
  <si>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</si>
  <si>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</si>
  <si>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</si>
  <si>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</si>
  <si>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</si>
  <si>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</si>
  <si>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</si>
  <si>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</si>
  <si>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</si>
  <si>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</si>
  <si>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</si>
  <si>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</si>
  <si>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</si>
  <si>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</si>
  <si>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</si>
  <si>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</si>
  <si>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</si>
  <si>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</si>
  <si>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</si>
  <si>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</si>
  <si>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</si>
  <si>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</si>
  <si>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</si>
  <si>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</si>
  <si>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</si>
  <si>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</si>
  <si>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</si>
  <si>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</si>
  <si>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</si>
  <si>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</si>
  <si>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</si>
  <si>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</si>
  <si>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</si>
  <si>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</si>
  <si>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</si>
  <si>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</si>
  <si>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</si>
  <si>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</si>
  <si>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</si>
  <si>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</si>
  <si>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</si>
  <si>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</si>
  <si>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</si>
  <si>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</si>
  <si>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</si>
  <si>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</si>
  <si>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</si>
  <si>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</si>
  <si>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</si>
  <si>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</si>
  <si>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</si>
  <si>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</si>
  <si>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</si>
  <si>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</si>
  <si>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</si>
  <si>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</si>
  <si>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</si>
  <si>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</si>
  <si>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</si>
  <si>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</si>
  <si>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</si>
  <si>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</si>
  <si>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</si>
  <si>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</si>
  <si>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</si>
  <si>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</si>
  <si>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</si>
  <si>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</si>
  <si>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</si>
  <si>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</si>
  <si>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</si>
  <si>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</si>
  <si>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</si>
  <si>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</si>
  <si>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</si>
  <si>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</si>
  <si>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</si>
  <si>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</si>
  <si>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</si>
  <si>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</si>
  <si>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</si>
  <si>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</si>
  <si>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</si>
  <si>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</si>
  <si>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</si>
  <si>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</si>
  <si>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</si>
  <si>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</si>
  <si>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</si>
  <si>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</si>
  <si>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</si>
  <si>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</si>
  <si>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</si>
  <si>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</si>
  <si>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</si>
  <si>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</si>
  <si>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</si>
  <si>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</si>
  <si>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</si>
  <si>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</si>
  <si>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</si>
  <si>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</si>
  <si>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</si>
  <si>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</si>
  <si>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</si>
  <si>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</si>
  <si>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</si>
  <si>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</si>
  <si>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</si>
  <si>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</si>
  <si>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</si>
  <si>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</si>
  <si>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</si>
  <si>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</si>
  <si>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</si>
  <si>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</si>
  <si>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</si>
  <si>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</si>
  <si>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</si>
  <si>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</si>
  <si>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</si>
  <si>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</si>
  <si>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</si>
  <si>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</si>
  <si>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</si>
  <si>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</si>
  <si>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</si>
  <si>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</si>
  <si>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</si>
  <si>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</si>
  <si>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</si>
  <si>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</si>
  <si>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</si>
  <si>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</si>
  <si>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</si>
  <si>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</si>
  <si>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</si>
  <si>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</si>
  <si>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</si>
  <si>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</si>
  <si>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</si>
  <si>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</si>
  <si>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</si>
  <si>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</si>
  <si>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</si>
  <si>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</si>
  <si>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</si>
  <si>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</si>
  <si>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</si>
  <si>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</si>
  <si>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</si>
  <si>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</si>
  <si>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</si>
  <si>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</si>
  <si>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</si>
  <si>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</si>
  <si>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</si>
  <si>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</si>
  <si>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</si>
  <si>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</si>
  <si>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</si>
  <si>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</si>
  <si>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</si>
  <si>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</si>
  <si>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</si>
  <si>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</si>
  <si>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</si>
  <si>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</si>
  <si>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</si>
  <si>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</si>
  <si>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</si>
  <si>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</si>
  <si>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</si>
  <si>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</si>
  <si>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</si>
  <si>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</si>
  <si>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</si>
  <si>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</si>
  <si>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</si>
  <si>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</si>
  <si>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</si>
  <si>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</si>
  <si>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</si>
  <si>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</si>
  <si>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</si>
  <si>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</si>
  <si>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</si>
  <si>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</si>
  <si>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</si>
  <si>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</si>
  <si>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</si>
  <si>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</si>
  <si>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</si>
  <si>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</si>
  <si>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</si>
  <si>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</si>
  <si>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</si>
  <si>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</si>
  <si>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</si>
  <si>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</si>
  <si>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</si>
  <si>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</si>
  <si>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</si>
  <si>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</si>
  <si>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</si>
  <si>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</si>
  <si>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</si>
  <si>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</si>
  <si>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</si>
  <si>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</si>
  <si>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</si>
  <si>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</si>
  <si>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</si>
  <si>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</si>
  <si>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</si>
  <si>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</si>
  <si>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</si>
  <si>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</si>
  <si>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</si>
  <si>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</si>
  <si>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</si>
  <si>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</si>
  <si>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</si>
  <si>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</si>
  <si>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</si>
  <si>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</si>
  <si>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</si>
  <si>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</si>
  <si>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</si>
  <si>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</si>
  <si>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</si>
  <si>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</si>
  <si>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</si>
  <si>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</si>
  <si>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</si>
  <si>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</si>
  <si>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</si>
  <si>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</si>
  <si>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</si>
  <si>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</si>
  <si>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</si>
  <si>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</si>
  <si>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</si>
  <si>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</si>
  <si>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</si>
  <si>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</si>
  <si>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</si>
  <si>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</si>
  <si>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</si>
  <si>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</si>
  <si>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</si>
  <si>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</si>
  <si>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</si>
  <si>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</si>
  <si>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</si>
  <si>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</si>
  <si>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</si>
  <si>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</si>
  <si>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</si>
  <si>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</si>
  <si>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</si>
  <si>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</si>
  <si>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</si>
  <si>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</si>
  <si>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</si>
  <si>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</si>
  <si>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</si>
  <si>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</si>
  <si>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</si>
  <si>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</si>
  <si>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</si>
  <si>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</si>
  <si>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</si>
  <si>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</si>
  <si>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</si>
  <si>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</si>
  <si>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</si>
  <si>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</si>
  <si>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</si>
  <si>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</si>
  <si>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</si>
  <si>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</si>
  <si>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</si>
  <si>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</si>
  <si>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</si>
  <si>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</si>
  <si>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</si>
  <si>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</si>
  <si>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</si>
  <si>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</si>
  <si>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</si>
  <si>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</si>
  <si>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</si>
  <si>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</si>
  <si>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</si>
  <si>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</si>
  <si>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</si>
  <si>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</si>
  <si>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</si>
  <si>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</si>
  <si>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</si>
  <si>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</si>
  <si>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</si>
  <si>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</si>
  <si>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</si>
  <si>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</si>
  <si>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</si>
  <si>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</si>
  <si>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</si>
  <si>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</si>
  <si>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</si>
  <si>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</si>
  <si>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</si>
  <si>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</si>
  <si>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</si>
  <si>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</si>
  <si>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</si>
  <si>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</si>
  <si>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</si>
  <si>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</si>
  <si>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</si>
  <si>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</si>
  <si>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</si>
  <si>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</si>
  <si>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</si>
  <si>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</si>
  <si>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</si>
  <si>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</si>
  <si>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</si>
  <si>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</si>
  <si>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</si>
  <si>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</si>
  <si>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</si>
  <si>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</si>
  <si>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</si>
  <si>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</si>
  <si>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</si>
  <si>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</si>
  <si>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</si>
  <si>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</si>
  <si>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</si>
  <si>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</si>
  <si>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</si>
  <si>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</si>
  <si>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</si>
  <si>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</si>
  <si>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</si>
  <si>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</si>
  <si>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</si>
  <si>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</si>
  <si>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</si>
  <si>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</si>
  <si>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</si>
  <si>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</si>
  <si>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</si>
  <si>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</si>
  <si>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</si>
  <si>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</si>
  <si>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</si>
  <si>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</si>
  <si>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</si>
  <si>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</si>
  <si>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</si>
  <si>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</si>
  <si>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</si>
  <si>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</si>
  <si>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</si>
  <si>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</si>
  <si>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</si>
  <si>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</si>
  <si>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</si>
  <si>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</si>
  <si>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</si>
  <si>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</si>
  <si>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</si>
  <si>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</si>
  <si>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</si>
  <si>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</si>
  <si>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</si>
  <si>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</si>
  <si>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</si>
  <si>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</si>
  <si>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</si>
  <si>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</si>
  <si>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</si>
  <si>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</si>
  <si>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</si>
  <si>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</si>
  <si>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</si>
  <si>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</si>
  <si>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</si>
  <si>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</si>
  <si>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</si>
  <si>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</si>
  <si>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</si>
  <si>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</si>
  <si>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</si>
  <si>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</si>
  <si>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</si>
  <si>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</si>
  <si>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</si>
  <si>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</si>
  <si>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</si>
  <si>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</si>
  <si>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</si>
  <si>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</si>
  <si>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</si>
  <si>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</si>
  <si>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</si>
  <si>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</si>
  <si>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</si>
  <si>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</si>
  <si>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</si>
  <si>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</si>
  <si>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</si>
  <si>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</si>
  <si>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</si>
  <si>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</si>
  <si>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</si>
  <si>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</si>
  <si>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</si>
  <si>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</si>
  <si>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</si>
  <si>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</si>
  <si>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</si>
  <si>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</si>
  <si>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</si>
  <si>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</si>
  <si>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</si>
  <si>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</si>
  <si>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</si>
  <si>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</si>
  <si>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</si>
  <si>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</si>
  <si>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</si>
  <si>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</si>
  <si>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</si>
  <si>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</si>
  <si>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</si>
  <si>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</si>
  <si>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</si>
  <si>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</si>
  <si>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</si>
  <si>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</si>
  <si>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</si>
  <si>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</si>
  <si>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</si>
  <si>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</si>
  <si>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</si>
  <si>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</si>
  <si>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</si>
  <si>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</si>
  <si>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</si>
  <si>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</si>
  <si>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</si>
  <si>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</si>
  <si>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</si>
  <si>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</si>
  <si>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</si>
  <si>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</si>
  <si>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</si>
  <si>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</si>
  <si>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</si>
  <si>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</si>
  <si>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</si>
  <si>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</si>
  <si>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</si>
  <si>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</si>
  <si>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</si>
  <si>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</si>
  <si>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</si>
  <si>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</si>
  <si>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</si>
  <si>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</si>
  <si>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</si>
  <si>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</si>
  <si>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</si>
  <si>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</si>
  <si>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</si>
  <si>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</si>
  <si>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</si>
  <si>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</si>
  <si>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</si>
  <si>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</si>
  <si>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</si>
  <si>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</si>
  <si>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</si>
  <si>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</si>
  <si>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</si>
  <si>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</si>
  <si>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</si>
  <si>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</si>
  <si>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</si>
  <si>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</si>
  <si>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</si>
  <si>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</si>
  <si>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</si>
  <si>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</si>
  <si>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</si>
  <si>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</si>
  <si>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</si>
  <si>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</si>
  <si>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</si>
  <si>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</si>
  <si>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</si>
  <si>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</si>
  <si>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</si>
  <si>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</si>
  <si>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</si>
  <si>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</si>
  <si>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</si>
  <si>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</si>
  <si>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</si>
  <si>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</si>
  <si>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</si>
  <si>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</si>
  <si>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</si>
  <si>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</si>
  <si>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</si>
  <si>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</si>
  <si>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</si>
  <si>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</si>
  <si>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</si>
  <si>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</si>
  <si>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</si>
  <si>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</si>
  <si>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</si>
  <si>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</si>
  <si>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</si>
  <si>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</si>
  <si>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</si>
  <si>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</si>
  <si>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</si>
  <si>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</si>
  <si>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</si>
  <si>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</si>
  <si>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</si>
  <si>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</si>
  <si>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</si>
  <si>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</si>
  <si>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</si>
  <si>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</si>
  <si>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</si>
  <si>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</si>
  <si>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</si>
  <si>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</si>
  <si>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</si>
  <si>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</si>
  <si>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</si>
  <si>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</si>
  <si>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</si>
  <si>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</si>
  <si>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</si>
  <si>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</si>
  <si>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</si>
  <si>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</si>
  <si>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</si>
  <si>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</si>
  <si>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</si>
  <si>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</si>
  <si>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</si>
  <si>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</si>
  <si>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</si>
  <si>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</si>
  <si>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</si>
  <si>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</si>
  <si>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</si>
  <si>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</si>
  <si>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</si>
  <si>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</si>
  <si>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</si>
  <si>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</si>
  <si>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</si>
  <si>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</si>
  <si>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</si>
  <si>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</si>
  <si>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</si>
  <si>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</si>
  <si>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</si>
  <si>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</si>
  <si>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</si>
  <si>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</si>
  <si>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</si>
  <si>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</si>
  <si>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</si>
  <si>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</si>
  <si>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</si>
  <si>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</si>
  <si>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</si>
  <si>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</si>
  <si>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</si>
  <si>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</si>
  <si>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</si>
  <si>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</si>
  <si>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</si>
  <si>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</si>
  <si>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</si>
  <si>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</si>
  <si>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</si>
  <si>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</si>
  <si>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</si>
  <si>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</si>
  <si>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</si>
  <si>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</si>
  <si>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</si>
  <si>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</si>
  <si>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</si>
  <si>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</si>
  <si>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</si>
  <si>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</si>
  <si>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</si>
  <si>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</si>
  <si>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</si>
  <si>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</si>
  <si>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</si>
  <si>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</si>
  <si>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</si>
  <si>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</si>
  <si>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</si>
  <si>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</si>
  <si>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</si>
  <si>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</si>
  <si>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</si>
  <si>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</si>
  <si>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</si>
  <si>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</si>
  <si>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</si>
  <si>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</si>
  <si>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</si>
  <si>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</si>
  <si>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</si>
  <si>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</si>
  <si>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</si>
  <si>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</si>
  <si>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</si>
  <si>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</si>
  <si>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</si>
  <si>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</si>
  <si>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</si>
  <si>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</si>
  <si>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</si>
  <si>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</si>
  <si>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</si>
  <si>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</si>
  <si>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</si>
  <si>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</si>
  <si>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</si>
  <si>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</si>
  <si>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</si>
  <si>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</si>
  <si>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</si>
  <si>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</si>
  <si>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</si>
  <si>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</si>
  <si>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</si>
  <si>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</si>
  <si>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</si>
  <si>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</si>
  <si>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</si>
  <si>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</si>
  <si>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</si>
  <si>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</si>
  <si>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</si>
  <si>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</si>
  <si>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</si>
  <si>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</si>
  <si>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</si>
  <si>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</si>
  <si>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</si>
  <si>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</si>
  <si>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</si>
  <si>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</si>
  <si>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</si>
  <si>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</si>
  <si>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</si>
  <si>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</si>
  <si>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</si>
  <si>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</si>
  <si>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</si>
  <si>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</si>
  <si>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</si>
  <si>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</si>
  <si>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</si>
  <si>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</si>
  <si>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</si>
  <si>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</si>
  <si>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</si>
  <si>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</si>
  <si>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</si>
  <si>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</si>
  <si>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</si>
  <si>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</si>
  <si>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</si>
  <si>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</si>
  <si>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</si>
  <si>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</si>
  <si>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</si>
  <si>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</si>
  <si>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</si>
  <si>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</si>
  <si>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</si>
  <si>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</si>
  <si>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</si>
  <si>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</si>
  <si>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</si>
  <si>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</si>
  <si>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</si>
  <si>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</si>
  <si>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</si>
  <si>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</si>
  <si>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</si>
  <si>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</si>
  <si>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</si>
  <si>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</si>
  <si>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</si>
  <si>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</si>
  <si>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</si>
  <si>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</si>
  <si>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</si>
  <si>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</si>
  <si>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</si>
  <si>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</si>
  <si>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</si>
  <si>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</si>
  <si>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</si>
  <si>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</si>
  <si>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</si>
  <si>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</si>
  <si>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</si>
  <si>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</si>
  <si>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</si>
  <si>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</si>
  <si>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</si>
  <si>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</si>
  <si>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</si>
  <si>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</si>
  <si>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</si>
  <si>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</si>
  <si>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</si>
  <si>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</si>
  <si>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</si>
  <si>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</si>
  <si>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</si>
  <si>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</si>
  <si>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</si>
  <si>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</si>
  <si>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</si>
  <si>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</si>
  <si>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</si>
  <si>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</si>
  <si>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</si>
  <si>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</si>
  <si>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</si>
  <si>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</si>
  <si>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</si>
  <si>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</si>
  <si>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</si>
  <si>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</si>
  <si>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</si>
  <si>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</si>
  <si>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</si>
  <si>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</si>
  <si>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</si>
  <si>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</si>
  <si>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</si>
  <si>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</si>
  <si>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</si>
  <si>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</si>
  <si>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</si>
  <si>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</si>
  <si>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</si>
  <si>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</si>
  <si>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</si>
  <si>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</si>
  <si>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</si>
  <si>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</si>
  <si>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</si>
  <si>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</si>
  <si>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</si>
  <si>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</si>
  <si>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</si>
  <si>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</si>
  <si>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</si>
  <si>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</si>
  <si>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</si>
  <si>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</si>
  <si>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</si>
  <si>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</si>
  <si>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</si>
  <si>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</si>
  <si>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</si>
  <si>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</si>
  <si>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</si>
  <si>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</si>
  <si>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</si>
  <si>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</si>
  <si>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</si>
  <si>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</si>
  <si>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</si>
  <si>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</si>
  <si>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</si>
  <si>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</si>
  <si>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</si>
  <si>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</si>
  <si>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</si>
  <si>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</si>
  <si>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</si>
  <si>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</si>
  <si>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</si>
  <si>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</si>
  <si>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</si>
  <si>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</si>
  <si>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</si>
  <si>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</si>
  <si>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</si>
  <si>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</si>
  <si>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</si>
  <si>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</si>
  <si>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</si>
  <si>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</si>
  <si>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</si>
  <si>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</si>
  <si>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</si>
  <si>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</si>
  <si>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</si>
  <si>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</si>
  <si>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</si>
  <si>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</si>
  <si>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</si>
  <si>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</si>
  <si>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</si>
  <si>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</si>
  <si>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</si>
  <si>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</si>
  <si>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</si>
  <si>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</si>
  <si>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</si>
  <si>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</si>
  <si>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</si>
  <si>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</si>
  <si>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</si>
  <si>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</si>
  <si>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</si>
  <si>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</si>
  <si>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</si>
  <si>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</si>
  <si>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</si>
  <si>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</si>
  <si>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</si>
  <si>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</si>
  <si>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</si>
  <si>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</si>
  <si>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</si>
  <si>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</si>
  <si>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</si>
  <si>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</si>
  <si>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</si>
  <si>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</si>
  <si>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</si>
  <si>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</si>
  <si>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</si>
  <si>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</si>
  <si>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</si>
  <si>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</si>
  <si>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</si>
  <si>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</si>
  <si>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</si>
  <si>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</si>
  <si>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</si>
  <si>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</si>
  <si>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</si>
  <si>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</si>
  <si>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</si>
  <si>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</si>
  <si>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</si>
  <si>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</si>
  <si>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</si>
  <si>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</si>
  <si>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</si>
  <si>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</si>
  <si>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</si>
  <si>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</si>
  <si>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</si>
  <si>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</si>
  <si>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</si>
  <si>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</si>
  <si>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</si>
  <si>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</si>
  <si>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</si>
  <si>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</si>
  <si>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</si>
  <si>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</si>
  <si>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</si>
  <si>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</si>
  <si>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</si>
  <si>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</si>
  <si>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</si>
  <si>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</si>
  <si>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</si>
  <si>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</si>
  <si>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</si>
  <si>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</si>
  <si>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</si>
  <si>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</si>
  <si>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</si>
  <si>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</si>
  <si>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</si>
  <si>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</si>
  <si>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</si>
  <si>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</si>
  <si>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</si>
  <si>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</si>
  <si>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</si>
  <si>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</si>
  <si>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</si>
  <si>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</si>
  <si>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</si>
  <si>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</si>
  <si>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</si>
  <si>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</si>
  <si>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</si>
  <si>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</si>
  <si>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</si>
  <si>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</si>
  <si>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</si>
  <si>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</si>
  <si>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</si>
  <si>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</si>
  <si>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</si>
  <si>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</si>
  <si>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</si>
  <si>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</si>
  <si>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</si>
  <si>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</si>
  <si>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</si>
  <si>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</si>
  <si>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</si>
  <si>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</si>
  <si>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</si>
  <si>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</si>
  <si>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</si>
  <si>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</si>
  <si>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</si>
  <si>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</si>
  <si>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</si>
  <si>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</si>
  <si>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</si>
  <si>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</si>
  <si>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</si>
  <si>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</si>
  <si>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</si>
  <si>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</si>
  <si>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</si>
  <si>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</si>
  <si>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</si>
  <si>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</si>
  <si>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</si>
  <si>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</si>
  <si>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</si>
  <si>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</si>
  <si>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</si>
  <si>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</si>
  <si>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</si>
  <si>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</si>
  <si>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</si>
  <si>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</si>
  <si>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</si>
  <si>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</si>
  <si>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</si>
  <si>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</si>
  <si>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</si>
  <si>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</si>
  <si>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</si>
  <si>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</si>
  <si>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</si>
  <si>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</si>
  <si>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</si>
  <si>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</si>
  <si>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</si>
  <si>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</si>
  <si>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</si>
  <si>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</si>
  <si>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</si>
  <si>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</si>
  <si>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</si>
  <si>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</si>
  <si>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</si>
  <si>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</si>
  <si>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</si>
  <si>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</si>
  <si>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</si>
  <si>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</si>
  <si>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</si>
  <si>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</si>
  <si>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</si>
  <si>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</si>
  <si>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</si>
  <si>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</si>
  <si>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</si>
  <si>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</si>
  <si>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</si>
  <si>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</si>
  <si>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</si>
  <si>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</si>
  <si>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</si>
  <si>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</si>
  <si>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</si>
  <si>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</si>
  <si>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</si>
  <si>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</si>
  <si>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</si>
  <si>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</si>
  <si>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</si>
  <si>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</si>
  <si>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</si>
  <si>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</si>
  <si>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</si>
  <si>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</si>
  <si>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</si>
  <si>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</si>
  <si>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</si>
  <si>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</si>
  <si>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</si>
  <si>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</si>
  <si>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</si>
  <si>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</si>
  <si>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</si>
  <si>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</si>
  <si>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</si>
  <si>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</si>
  <si>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</si>
  <si>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</si>
  <si>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</si>
  <si>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</si>
  <si>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</si>
  <si>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</si>
  <si>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</si>
  <si>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</si>
  <si>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</si>
  <si>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</si>
  <si>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</si>
  <si>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</si>
  <si>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</si>
  <si>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</si>
  <si>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</si>
  <si>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</si>
  <si>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</si>
  <si>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</si>
  <si>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</si>
  <si>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</si>
  <si>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</si>
  <si>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</si>
  <si>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</si>
  <si>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</si>
  <si>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</si>
  <si>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</si>
  <si>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</si>
  <si>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</si>
  <si>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</si>
  <si>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</si>
  <si>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</si>
  <si>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</si>
  <si>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</si>
  <si>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</si>
  <si>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</si>
  <si>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</si>
  <si>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</si>
  <si>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</si>
  <si>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</si>
  <si>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</si>
  <si>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</si>
  <si>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</si>
  <si>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</si>
  <si>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</si>
  <si>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</si>
  <si>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</si>
  <si>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</si>
  <si>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</si>
  <si>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</si>
  <si>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</si>
  <si>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</si>
  <si>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</si>
  <si>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</si>
  <si>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</si>
  <si>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</si>
  <si>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</si>
  <si>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</si>
  <si>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</si>
  <si>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</si>
  <si>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</si>
  <si>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</si>
  <si>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</si>
  <si>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</si>
  <si>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</si>
  <si>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</si>
  <si>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</si>
  <si>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</si>
  <si>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</si>
  <si>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</si>
  <si>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</si>
  <si>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</si>
  <si>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</si>
  <si>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</si>
  <si>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</si>
  <si>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</si>
  <si>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</si>
  <si>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</si>
  <si>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</si>
  <si>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</si>
  <si>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</si>
  <si>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</si>
  <si>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</si>
  <si>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</si>
  <si>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</si>
  <si>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</si>
  <si>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</si>
  <si>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</si>
  <si>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</si>
  <si>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</si>
  <si>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</si>
  <si>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</si>
  <si>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</si>
  <si>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</si>
  <si>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</si>
  <si>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</si>
  <si>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</si>
  <si>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</si>
  <si>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</si>
  <si>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</si>
  <si>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</si>
  <si>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</si>
  <si>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</si>
  <si>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</si>
  <si>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</si>
  <si>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</si>
  <si>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</si>
  <si>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</si>
  <si>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</si>
  <si>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</si>
  <si>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</si>
  <si>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</si>
  <si>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</si>
  <si>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</si>
  <si>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</si>
  <si>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</si>
  <si>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</si>
  <si>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</si>
  <si>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</si>
  <si>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</si>
  <si>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</si>
  <si>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</si>
  <si>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</si>
  <si>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</si>
  <si>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</si>
  <si>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</si>
  <si>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</si>
  <si>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</si>
  <si>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</si>
  <si>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</si>
  <si>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</si>
  <si>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</si>
  <si>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</si>
  <si>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</si>
  <si>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</si>
  <si>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</si>
  <si>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</si>
  <si>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</si>
  <si>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</si>
  <si>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</si>
  <si>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</si>
  <si>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</si>
  <si>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</si>
  <si>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</si>
  <si>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</si>
  <si>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</si>
  <si>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</si>
  <si>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</si>
  <si>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</si>
  <si>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</si>
  <si>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</si>
  <si>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</si>
  <si>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</si>
  <si>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</si>
  <si>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</si>
  <si>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</si>
  <si>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</si>
  <si>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</si>
  <si>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</si>
  <si>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</si>
  <si>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</si>
  <si>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</si>
  <si>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</si>
  <si>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</si>
  <si>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</si>
  <si>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</si>
  <si>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</si>
  <si>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</si>
  <si>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</si>
  <si>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</si>
  <si>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</si>
  <si>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</si>
  <si>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</si>
  <si>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</si>
  <si>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</si>
  <si>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</si>
  <si>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</si>
  <si>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</si>
  <si>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</si>
  <si>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</si>
  <si>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</si>
  <si>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</si>
  <si>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</si>
  <si>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</si>
  <si>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</si>
  <si>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</si>
  <si>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</si>
  <si>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</si>
  <si>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</si>
  <si>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</si>
  <si>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</si>
  <si>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</si>
  <si>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</si>
  <si>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</si>
  <si>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</si>
  <si>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</si>
  <si>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</si>
  <si>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</si>
  <si>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</si>
  <si>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</si>
  <si>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</si>
  <si>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</si>
  <si>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</si>
  <si>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</si>
  <si>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</si>
  <si>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</si>
  <si>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</si>
  <si>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</si>
  <si>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</si>
  <si>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</si>
  <si>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</si>
  <si>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</si>
  <si>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</si>
  <si>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</si>
  <si>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</si>
  <si>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</si>
  <si>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</si>
  <si>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</si>
  <si>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</si>
  <si>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</si>
  <si>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</si>
  <si>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</si>
  <si>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</si>
  <si>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</si>
  <si>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</si>
  <si>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</si>
  <si>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</si>
  <si>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</si>
  <si>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</si>
  <si>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</si>
  <si>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</si>
  <si>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</si>
  <si>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</si>
  <si>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</si>
  <si>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</si>
  <si>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</si>
  <si>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</si>
  <si>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</si>
  <si>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</si>
  <si>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</si>
  <si>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</si>
  <si>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</si>
  <si>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</si>
  <si>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</si>
  <si>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</si>
  <si>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</si>
  <si>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</si>
  <si>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</si>
  <si>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</si>
  <si>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</si>
  <si>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</si>
  <si>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</si>
  <si>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</si>
  <si>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</si>
  <si>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</si>
  <si>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</si>
  <si>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</si>
  <si>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</si>
  <si>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</si>
  <si>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</si>
  <si>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</si>
  <si>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</si>
  <si>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</si>
  <si>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</si>
  <si>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</si>
  <si>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</si>
  <si>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</si>
  <si>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</si>
  <si>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</si>
  <si>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</si>
  <si>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</si>
  <si>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</si>
  <si>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</si>
  <si>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</si>
  <si>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</si>
  <si>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</si>
  <si>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</si>
  <si>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</si>
  <si>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</si>
  <si>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</si>
  <si>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</si>
  <si>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</si>
  <si>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</si>
  <si>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</si>
  <si>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</si>
  <si>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</si>
  <si>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</si>
  <si>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</si>
  <si>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</si>
  <si>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</si>
  <si>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</si>
  <si>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</si>
  <si>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</si>
  <si>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</si>
  <si>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</si>
  <si>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</si>
  <si>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</si>
  <si>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</si>
  <si>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</si>
  <si>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</si>
  <si>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</si>
  <si>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</si>
  <si>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</si>
  <si>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</si>
  <si>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</si>
  <si>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</si>
  <si>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</si>
  <si>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</si>
  <si>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</si>
  <si>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</si>
  <si>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</si>
  <si>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</si>
  <si>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</si>
  <si>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</si>
  <si>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</si>
  <si>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</si>
  <si>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</si>
  <si>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</si>
  <si>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</si>
  <si>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</si>
  <si>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</si>
  <si>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</si>
  <si>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</si>
  <si>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</si>
  <si>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</si>
  <si>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</si>
  <si>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</si>
  <si>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</si>
  <si>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</si>
  <si>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</si>
  <si>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</si>
  <si>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</si>
  <si>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</si>
  <si>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</si>
  <si>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</si>
  <si>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</si>
  <si>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</si>
  <si>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</si>
  <si>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</si>
  <si>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</si>
  <si>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</si>
  <si>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</si>
  <si>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</si>
  <si>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</si>
  <si>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</si>
  <si>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</si>
  <si>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</si>
  <si>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</si>
  <si>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</si>
  <si>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</si>
  <si>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</si>
  <si>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</si>
  <si>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</si>
  <si>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</si>
  <si>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</si>
  <si>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</si>
  <si>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</si>
  <si>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</si>
  <si>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</si>
  <si>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</si>
  <si>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</si>
  <si>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</si>
  <si>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</si>
  <si>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</si>
  <si>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</si>
  <si>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</si>
  <si>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</si>
  <si>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</si>
  <si>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</si>
  <si>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</si>
  <si>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</si>
  <si>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</si>
  <si>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</si>
  <si>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</si>
  <si>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</si>
  <si>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</si>
  <si>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</si>
  <si>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</si>
  <si>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</si>
  <si>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</si>
  <si>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</si>
  <si>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</si>
  <si>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</si>
  <si>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</si>
  <si>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</si>
  <si>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</si>
  <si>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</si>
  <si>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</si>
  <si>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</si>
  <si>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</si>
  <si>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</si>
  <si>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</si>
  <si>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</si>
  <si>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</si>
  <si>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</si>
  <si>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</si>
  <si>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</si>
  <si>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</si>
  <si>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</si>
  <si>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</si>
  <si>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</si>
  <si>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</si>
  <si>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</si>
  <si>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</si>
  <si>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</si>
  <si>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</si>
  <si>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</si>
  <si>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</si>
  <si>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</si>
  <si>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</si>
  <si>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</si>
  <si>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</si>
  <si>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</si>
  <si>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</si>
  <si>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</si>
  <si>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</si>
  <si>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</si>
  <si>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</si>
  <si>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</si>
  <si>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</si>
  <si>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</si>
  <si>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</si>
  <si>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</si>
  <si>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</si>
  <si>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</si>
  <si>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</si>
  <si>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</si>
  <si>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</si>
  <si>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</si>
  <si>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</si>
  <si>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</si>
  <si>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</si>
  <si>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</si>
  <si>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</si>
  <si>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</si>
  <si>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</si>
  <si>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</si>
  <si>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</si>
  <si>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</si>
  <si>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</si>
  <si>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</si>
  <si>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</si>
  <si>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</si>
  <si>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</si>
  <si>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</si>
  <si>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</si>
  <si>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</si>
  <si>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</si>
  <si>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</si>
  <si>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</si>
  <si>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</si>
  <si>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</si>
  <si>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</si>
  <si>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</si>
  <si>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</si>
  <si>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</si>
  <si>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</si>
  <si>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</si>
  <si>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</si>
  <si>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</si>
  <si>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</si>
  <si>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</si>
  <si>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</si>
  <si>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</si>
  <si>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</si>
  <si>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</si>
  <si>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</si>
  <si>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</si>
  <si>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</si>
  <si>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</si>
  <si>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</si>
  <si>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</si>
  <si>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</si>
  <si>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</si>
  <si>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</si>
  <si>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</si>
  <si>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</si>
  <si>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</si>
  <si>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</si>
  <si>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</si>
  <si>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</si>
  <si>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</si>
  <si>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</si>
  <si>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</si>
  <si>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</si>
  <si>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</si>
  <si>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</si>
  <si>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</si>
  <si>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</si>
  <si>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</si>
  <si>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</si>
  <si>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</si>
  <si>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</si>
  <si>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</si>
  <si>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</si>
  <si>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</si>
  <si>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</si>
  <si>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</si>
  <si>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</si>
  <si>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</si>
  <si>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</si>
  <si>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</si>
  <si>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</si>
  <si>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</si>
  <si>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</si>
  <si>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</si>
  <si>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</si>
  <si>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</si>
  <si>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</si>
  <si>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</si>
  <si>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</si>
  <si>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</si>
  <si>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</si>
  <si>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</si>
  <si>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</si>
  <si>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</si>
  <si>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</si>
  <si>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</si>
  <si>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</si>
  <si>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</si>
  <si>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</si>
  <si>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</si>
  <si>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</si>
  <si>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</si>
  <si>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</si>
  <si>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</si>
  <si>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</si>
  <si>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</si>
  <si>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</si>
  <si>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</si>
  <si>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</si>
  <si>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</si>
  <si>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</si>
  <si>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</si>
  <si>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</si>
  <si>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</si>
  <si>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</si>
  <si>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</si>
  <si>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</si>
  <si>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</si>
  <si>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</si>
  <si>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</si>
  <si>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</si>
  <si>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</si>
  <si>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</si>
  <si>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</si>
  <si>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</si>
  <si>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</si>
  <si>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</si>
  <si>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</si>
  <si>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</si>
  <si>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</si>
  <si>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</si>
  <si>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</si>
  <si>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</si>
  <si>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</si>
  <si>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</si>
  <si>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</si>
  <si>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</si>
  <si>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</si>
  <si>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</si>
  <si>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</si>
  <si>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</si>
  <si>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</si>
  <si>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</si>
  <si>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</si>
  <si>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</si>
  <si>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</si>
  <si>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</si>
  <si>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</si>
  <si>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</si>
  <si>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</si>
  <si>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</si>
  <si>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</si>
  <si>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</si>
  <si>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</si>
  <si>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</si>
  <si>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</si>
  <si>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</si>
  <si>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</si>
  <si>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</si>
  <si>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</si>
  <si>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</si>
  <si>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</si>
  <si>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</si>
  <si>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</si>
  <si>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</si>
  <si>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</si>
  <si>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</si>
  <si>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</si>
  <si>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</si>
  <si>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</si>
  <si>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</si>
  <si>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</si>
  <si>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</si>
  <si>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</si>
  <si>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</si>
  <si>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</si>
  <si>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</si>
  <si>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</si>
  <si>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</si>
  <si>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</si>
  <si>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</si>
  <si>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</si>
  <si>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</si>
  <si>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</si>
  <si>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</si>
  <si>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</si>
  <si>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</si>
  <si>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</si>
  <si>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</si>
  <si>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</si>
  <si>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</si>
  <si>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</si>
  <si>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</si>
  <si>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</si>
  <si>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</si>
  <si>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</si>
  <si>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</si>
  <si>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</si>
  <si>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</si>
  <si>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</si>
  <si>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</si>
  <si>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</si>
  <si>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</si>
  <si>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</si>
  <si>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</si>
  <si>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</si>
  <si>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</si>
  <si>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</si>
  <si>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</si>
  <si>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</si>
  <si>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</si>
  <si>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</si>
  <si>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</si>
  <si>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</si>
  <si>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</si>
  <si>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</si>
  <si>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</si>
  <si>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</si>
  <si>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</si>
  <si>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</si>
  <si>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</si>
  <si>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</si>
  <si>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</si>
  <si>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</si>
  <si>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</si>
  <si>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</si>
  <si>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</si>
  <si>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</si>
  <si>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</si>
  <si>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</si>
  <si>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</si>
  <si>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</si>
  <si>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</si>
  <si>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</si>
  <si>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</si>
  <si>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</si>
  <si>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</si>
  <si>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</si>
  <si>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</si>
  <si>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</si>
  <si>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</si>
  <si>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</si>
  <si>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</si>
  <si>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</si>
  <si>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</si>
  <si>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</si>
  <si>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</si>
  <si>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</si>
  <si>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</si>
  <si>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</si>
  <si>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</si>
  <si>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</si>
  <si>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</si>
  <si>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</si>
  <si>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</si>
  <si>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</si>
  <si>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</si>
  <si>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</si>
  <si>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</si>
  <si>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</si>
  <si>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</si>
  <si>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</si>
  <si>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</si>
  <si>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</si>
  <si>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</si>
  <si>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</si>
  <si>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</si>
  <si>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</si>
  <si>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</si>
  <si>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</si>
  <si>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</si>
  <si>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</si>
  <si>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</si>
  <si>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</si>
  <si>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</si>
  <si>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</si>
  <si>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</si>
  <si>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</si>
  <si>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</si>
  <si>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</si>
  <si>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</si>
  <si>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</si>
  <si>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</si>
  <si>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</si>
  <si>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</si>
  <si>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</si>
  <si>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</si>
  <si>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</si>
  <si>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</si>
  <si>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</si>
  <si>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</si>
  <si>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</si>
  <si>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</si>
  <si>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</si>
  <si>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</si>
  <si>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</si>
  <si>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</si>
  <si>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</si>
  <si>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</si>
  <si>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</si>
  <si>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</si>
  <si>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</si>
  <si>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</si>
  <si>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</si>
  <si>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</si>
  <si>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</si>
  <si>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</si>
  <si>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</si>
  <si>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</si>
  <si>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</si>
  <si>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</si>
  <si>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</si>
  <si>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</si>
  <si>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</si>
  <si>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</si>
  <si>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</si>
  <si>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</si>
  <si>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</si>
  <si>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</si>
  <si>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</si>
  <si>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</si>
  <si>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</si>
  <si>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</si>
  <si>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</si>
  <si>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</si>
  <si>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</si>
  <si>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</si>
  <si>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</si>
  <si>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</si>
  <si>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</si>
  <si>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</si>
  <si>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</si>
  <si>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</si>
  <si>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</si>
  <si>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</si>
  <si>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</si>
  <si>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</si>
  <si>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</si>
  <si>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</si>
  <si>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</si>
  <si>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</si>
  <si>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</si>
  <si>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</si>
  <si>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</si>
  <si>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</si>
  <si>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</si>
  <si>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</si>
  <si>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</si>
  <si>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</si>
  <si>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</si>
  <si>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</si>
  <si>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</si>
  <si>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</si>
  <si>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</si>
  <si>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</si>
  <si>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</si>
  <si>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</si>
  <si>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</si>
  <si>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</si>
  <si>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</si>
  <si>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</si>
  <si>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</si>
  <si>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</si>
  <si>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</si>
  <si>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</si>
  <si>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</si>
  <si>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</si>
  <si>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</si>
  <si>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</si>
  <si>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</si>
  <si>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</si>
  <si>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</si>
  <si>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</si>
  <si>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</si>
  <si>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</si>
  <si>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</si>
  <si>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</si>
  <si>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</si>
  <si>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</si>
  <si>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</si>
  <si>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</si>
  <si>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</si>
  <si>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</si>
  <si>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</si>
  <si>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</si>
  <si>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</si>
  <si>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</si>
  <si>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</si>
  <si>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</si>
  <si>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</si>
  <si>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</si>
  <si>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</si>
  <si>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</si>
  <si>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</si>
  <si>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</si>
  <si>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</si>
  <si>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</si>
  <si>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</si>
  <si>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</si>
  <si>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</si>
  <si>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</si>
  <si>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</si>
  <si>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</si>
  <si>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</si>
  <si>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</si>
  <si>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</si>
  <si>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</si>
  <si>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</si>
  <si>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</si>
  <si>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</si>
  <si>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</si>
  <si>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</si>
  <si>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</si>
  <si>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</si>
  <si>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</si>
  <si>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</si>
  <si>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</si>
  <si>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</si>
  <si>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</si>
  <si>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</si>
  <si>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</si>
  <si>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</si>
  <si>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</si>
  <si>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</si>
  <si>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</si>
  <si>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</si>
  <si>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</si>
  <si>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</si>
  <si>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</si>
  <si>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</si>
  <si>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</si>
  <si>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</si>
  <si>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</si>
  <si>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</si>
  <si>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</si>
  <si>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</si>
  <si>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</si>
  <si>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</si>
  <si>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</si>
  <si>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</si>
  <si>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</si>
  <si>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</si>
  <si>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</si>
  <si>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</si>
  <si>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</si>
  <si>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</si>
  <si>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</si>
  <si>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</si>
  <si>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</si>
  <si>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</si>
  <si>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</si>
  <si>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</si>
  <si>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</si>
  <si>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</si>
  <si>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</si>
  <si>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</si>
  <si>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</si>
  <si>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</si>
  <si>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</si>
  <si>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</si>
  <si>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</si>
  <si>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</si>
  <si>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</si>
  <si>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</si>
  <si>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</si>
  <si>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</si>
  <si>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</si>
  <si>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</si>
  <si>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</si>
  <si>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</si>
  <si>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</si>
  <si>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</si>
  <si>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</si>
  <si>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</si>
  <si>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</si>
  <si>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</si>
  <si>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</si>
  <si>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</si>
  <si>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</si>
  <si>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</si>
  <si>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</si>
  <si>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</si>
  <si>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</si>
  <si>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</si>
  <si>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</si>
  <si>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</si>
  <si>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</si>
  <si>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</si>
  <si>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</si>
  <si>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</si>
  <si>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</si>
  <si>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</si>
  <si>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</si>
  <si>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</si>
  <si>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</si>
  <si>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</si>
  <si>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</si>
  <si>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</si>
  <si>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</si>
  <si>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</si>
  <si>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</si>
  <si>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</si>
  <si>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</si>
  <si>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</si>
  <si>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</si>
  <si>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</si>
  <si>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</si>
  <si>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</si>
  <si>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</si>
  <si>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</si>
  <si>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</si>
  <si>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</si>
  <si>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</si>
  <si>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</si>
  <si>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</si>
  <si>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</si>
  <si>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</si>
  <si>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</si>
  <si>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</si>
  <si>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</si>
  <si>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</si>
  <si>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</si>
  <si>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</si>
  <si>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</si>
  <si>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</si>
  <si>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</si>
  <si>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</si>
  <si>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</si>
  <si>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</si>
  <si>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</si>
  <si>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</si>
  <si>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</si>
  <si>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</si>
  <si>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</si>
  <si>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</si>
  <si>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</si>
  <si>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</si>
  <si>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</si>
  <si>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</si>
  <si>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</si>
  <si>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</si>
  <si>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</si>
  <si>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</si>
  <si>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</si>
  <si>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</si>
  <si>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</si>
  <si>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</si>
  <si>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</si>
  <si>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</si>
  <si>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</si>
  <si>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</si>
  <si>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</si>
  <si>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</si>
  <si>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</si>
  <si>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</si>
  <si>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</si>
  <si>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</si>
  <si>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</si>
  <si>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</si>
  <si>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</si>
  <si>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</si>
  <si>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</si>
  <si>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</si>
  <si>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</si>
  <si>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</si>
  <si>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</si>
  <si>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</si>
  <si>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</si>
  <si>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</si>
  <si>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</si>
  <si>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</si>
  <si>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</si>
  <si>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</si>
  <si>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</si>
  <si>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</si>
  <si>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</si>
  <si>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</si>
  <si>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</si>
  <si>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</si>
  <si>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</si>
  <si>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</si>
  <si>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</si>
  <si>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</si>
  <si>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</si>
  <si>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</si>
  <si>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</si>
  <si>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</si>
  <si>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</si>
  <si>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</si>
  <si>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</si>
  <si>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</si>
  <si>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</si>
  <si>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</si>
  <si>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</si>
  <si>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</si>
  <si>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</si>
  <si>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</si>
  <si>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</si>
  <si>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</si>
  <si>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</si>
  <si>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</si>
  <si>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</si>
  <si>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</si>
  <si>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</si>
  <si>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</si>
  <si>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</si>
  <si>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</si>
  <si>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</si>
  <si>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</si>
  <si>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</si>
  <si>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</si>
  <si>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</si>
  <si>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</si>
  <si>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</si>
  <si>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</si>
  <si>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</si>
  <si>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</si>
  <si>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</si>
  <si>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</si>
  <si>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</si>
  <si>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</si>
  <si>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</si>
  <si>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</si>
  <si>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</si>
  <si>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</si>
  <si>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</si>
  <si>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</si>
  <si>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</si>
  <si>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</si>
  <si>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</si>
  <si>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</si>
  <si>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</si>
  <si>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</si>
  <si>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</si>
  <si>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</si>
  <si>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</si>
  <si>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</si>
  <si>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</si>
  <si>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</si>
  <si>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</si>
  <si>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</si>
  <si>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</si>
  <si>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</si>
  <si>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</si>
  <si>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</si>
  <si>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</si>
  <si>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</si>
  <si>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</si>
  <si>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</si>
  <si>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</si>
  <si>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</si>
  <si>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</si>
  <si>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</si>
  <si>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</si>
  <si>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</si>
  <si>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</si>
  <si>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</si>
  <si>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</si>
  <si>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</si>
  <si>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</si>
  <si>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</si>
  <si>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</si>
  <si>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</si>
  <si>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</si>
  <si>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</si>
  <si>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</si>
  <si>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</si>
  <si>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</si>
  <si>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</si>
  <si>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</si>
  <si>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</si>
  <si>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</si>
  <si>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</si>
  <si>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</si>
  <si>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</si>
  <si>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</si>
  <si>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</si>
  <si>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</si>
  <si>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</si>
  <si>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</si>
  <si>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</si>
  <si>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</si>
  <si>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</si>
  <si>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</si>
  <si>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</si>
  <si>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</si>
  <si>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</si>
  <si>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</si>
  <si>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</si>
  <si>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</si>
  <si>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</si>
  <si>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</si>
  <si>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</si>
  <si>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</si>
  <si>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</si>
  <si>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</si>
  <si>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</si>
  <si>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</si>
  <si>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</si>
  <si>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</si>
  <si>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</si>
  <si>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</si>
  <si>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</si>
  <si>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</si>
  <si>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</si>
  <si>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</si>
  <si>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</si>
  <si>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</si>
  <si>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</si>
  <si>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</si>
  <si>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</si>
  <si>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</si>
  <si>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</si>
  <si>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</si>
  <si>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</si>
  <si>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</si>
  <si>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</si>
  <si>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</si>
  <si>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</si>
  <si>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</si>
  <si>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</si>
  <si>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</si>
  <si>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</si>
  <si>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</si>
  <si>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</si>
  <si>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</si>
  <si>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</si>
  <si>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</si>
  <si>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</si>
  <si>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</si>
  <si>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</si>
  <si>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</si>
  <si>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</si>
  <si>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</si>
  <si>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</si>
  <si>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</si>
  <si>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</si>
  <si>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</si>
  <si>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</si>
  <si>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</si>
  <si>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</si>
  <si>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</si>
  <si>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</si>
  <si>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</si>
  <si>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</si>
  <si>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</si>
  <si>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</si>
  <si>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</si>
  <si>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</si>
  <si>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</si>
  <si>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</si>
  <si>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</si>
  <si>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</si>
  <si>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</si>
  <si>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</si>
  <si>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</si>
  <si>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</si>
  <si>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</si>
  <si>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</si>
  <si>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</si>
  <si>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</si>
  <si>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</si>
  <si>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</si>
  <si>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</si>
  <si>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</si>
  <si>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</si>
  <si>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</si>
  <si>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</si>
  <si>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</si>
  <si>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</si>
  <si>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</si>
  <si>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</si>
  <si>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</si>
  <si>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</si>
  <si>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</si>
  <si>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</si>
  <si>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</si>
  <si>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</si>
  <si>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</si>
  <si>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</si>
  <si>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</si>
  <si>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</si>
  <si>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</si>
  <si>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</si>
  <si>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</si>
  <si>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</si>
  <si>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</si>
  <si>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</si>
  <si>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</si>
  <si>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</si>
  <si>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</si>
  <si>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</si>
  <si>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</si>
  <si>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</si>
  <si>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</si>
  <si>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</si>
  <si>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</si>
  <si>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</si>
  <si>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</si>
  <si>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</si>
  <si>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</si>
  <si>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</si>
  <si>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</si>
  <si>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</si>
  <si>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</si>
  <si>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</si>
  <si>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</si>
  <si>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</si>
  <si>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</si>
  <si>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</si>
  <si>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</si>
  <si>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</si>
  <si>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</si>
  <si>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</si>
  <si>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</si>
  <si>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</si>
  <si>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</si>
  <si>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</si>
  <si>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</si>
  <si>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</si>
  <si>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</si>
  <si>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</si>
  <si>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</si>
  <si>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</si>
  <si>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</si>
  <si>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</si>
  <si>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</si>
  <si>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</si>
  <si>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</si>
  <si>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</si>
  <si>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</si>
  <si>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</si>
  <si>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</si>
  <si>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</si>
  <si>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</si>
  <si>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</si>
  <si>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</si>
  <si>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</si>
  <si>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</si>
  <si>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</si>
  <si>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</si>
  <si>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</si>
  <si>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</si>
  <si>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</si>
  <si>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</si>
  <si>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</si>
  <si>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</si>
  <si>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</si>
  <si>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</si>
  <si>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</si>
  <si>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</si>
  <si>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</si>
  <si>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</si>
  <si>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</si>
  <si>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</si>
  <si>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</si>
  <si>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</si>
  <si>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</si>
  <si>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</si>
  <si>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</si>
  <si>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</si>
  <si>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</si>
  <si>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</si>
  <si>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</si>
  <si>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</si>
  <si>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</si>
  <si>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</si>
  <si>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</si>
  <si>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</si>
  <si>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</si>
  <si>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</si>
  <si>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</si>
  <si>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</si>
  <si>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</si>
  <si>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</si>
  <si>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</si>
  <si>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</si>
  <si>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</si>
  <si>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</si>
  <si>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</si>
  <si>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</si>
  <si>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</si>
  <si>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</si>
  <si>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</si>
  <si>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</si>
  <si>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</si>
  <si>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</si>
  <si>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</si>
  <si>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</si>
  <si>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</si>
  <si>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</si>
  <si>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</si>
  <si>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</si>
  <si>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</si>
  <si>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</si>
  <si>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</si>
  <si>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</si>
  <si>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</si>
  <si>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</si>
  <si>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</si>
  <si>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</si>
  <si>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</si>
  <si>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</si>
  <si>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</si>
  <si>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</si>
  <si>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</si>
  <si>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</si>
  <si>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</si>
  <si>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</si>
  <si>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</si>
  <si>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</si>
  <si>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</si>
  <si>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</si>
  <si>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</si>
  <si>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</si>
  <si>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</si>
  <si>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</si>
  <si>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</si>
  <si>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</si>
  <si>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</si>
  <si>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</si>
  <si>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</si>
  <si>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</si>
  <si>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</si>
  <si>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</si>
  <si>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</si>
  <si>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</si>
  <si>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</si>
  <si>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</si>
  <si>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</si>
  <si>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</si>
  <si>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</si>
  <si>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</si>
  <si>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</si>
  <si>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</si>
  <si>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</si>
  <si>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</si>
  <si>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</si>
  <si>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</si>
  <si>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</si>
  <si>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</si>
  <si>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</si>
  <si>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</si>
  <si>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</si>
  <si>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</si>
  <si>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</si>
  <si>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</si>
  <si>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</si>
  <si>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</si>
  <si>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</si>
  <si>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</si>
  <si>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</si>
  <si>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</si>
  <si>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</si>
  <si>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</si>
  <si>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</si>
  <si>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</si>
  <si>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</si>
  <si>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</si>
  <si>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</si>
  <si>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</si>
  <si>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</si>
  <si>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</si>
  <si>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</si>
  <si>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</si>
  <si>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</si>
  <si>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</si>
  <si>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</si>
  <si>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</si>
  <si>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</si>
  <si>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</si>
  <si>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</si>
  <si>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</si>
  <si>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</si>
  <si>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</si>
  <si>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</si>
  <si>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</si>
  <si>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</si>
  <si>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</si>
  <si>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</si>
  <si>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</si>
  <si>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</si>
  <si>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</si>
  <si>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</si>
  <si>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</si>
  <si>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</si>
  <si>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</si>
  <si>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</si>
  <si>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</si>
  <si>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</si>
  <si>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</si>
  <si>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</si>
  <si>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</si>
  <si>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</si>
  <si>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</si>
  <si>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</si>
  <si>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</si>
  <si>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</si>
  <si>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</si>
  <si>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</si>
  <si>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</si>
  <si>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</si>
  <si>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</si>
  <si>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</si>
  <si>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</si>
  <si>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</si>
  <si>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</si>
  <si>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</si>
  <si>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</si>
  <si>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</si>
  <si>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</si>
  <si>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</si>
  <si>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</si>
  <si>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</si>
  <si>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</si>
  <si>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</si>
  <si>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</si>
  <si>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</si>
  <si>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</si>
  <si>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</si>
  <si>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</si>
  <si>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</si>
  <si>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</si>
  <si>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</si>
  <si>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</si>
  <si>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</si>
  <si>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</si>
  <si>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</si>
  <si>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</si>
  <si>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</si>
  <si>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</si>
  <si>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</si>
  <si>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</si>
  <si>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</si>
  <si>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</si>
  <si>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</si>
  <si>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</si>
  <si>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</si>
  <si>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</si>
  <si>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</si>
  <si>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</si>
  <si>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</si>
  <si>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</si>
  <si>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</si>
  <si>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</si>
  <si>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</si>
  <si>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</si>
  <si>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</si>
  <si>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</si>
  <si>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</si>
  <si>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</si>
  <si>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</si>
  <si>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</si>
  <si>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</si>
  <si>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</si>
  <si>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</si>
  <si>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</si>
  <si>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</si>
  <si>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</si>
  <si>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</si>
  <si>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</si>
  <si>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</si>
  <si>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</si>
  <si>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</si>
  <si>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</si>
  <si>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</si>
  <si>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</si>
  <si>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</si>
  <si>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</si>
  <si>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</si>
  <si>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</si>
  <si>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</si>
  <si>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</si>
  <si>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</si>
  <si>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</si>
  <si>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</si>
  <si>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</si>
  <si>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</si>
  <si>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</si>
  <si>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</si>
  <si>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</si>
  <si>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</si>
  <si>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</si>
  <si>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</si>
  <si>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</si>
  <si>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</si>
  <si>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</si>
  <si>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</si>
  <si>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</si>
  <si>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</si>
  <si>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</si>
  <si>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</si>
  <si>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</si>
  <si>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</si>
  <si>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</si>
  <si>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</si>
  <si>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</si>
  <si>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</si>
  <si>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</si>
  <si>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</si>
  <si>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</si>
  <si>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</si>
  <si>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</si>
  <si>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</si>
  <si>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</si>
  <si>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</si>
  <si>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</si>
  <si>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</si>
  <si>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</si>
  <si>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</si>
  <si>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</si>
  <si>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</si>
  <si>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</si>
  <si>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</si>
  <si>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</si>
  <si>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</si>
  <si>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</si>
  <si>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</si>
  <si>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</si>
  <si>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</si>
  <si>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</si>
  <si>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</si>
  <si>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</si>
  <si>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</si>
  <si>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</si>
  <si>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</si>
  <si>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</si>
  <si>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</si>
  <si>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</si>
  <si>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</si>
  <si>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</si>
  <si>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</si>
  <si>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</si>
  <si>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</si>
  <si>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</si>
  <si>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</si>
  <si>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</si>
  <si>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</si>
  <si>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</si>
  <si>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</si>
  <si>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</si>
  <si>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</si>
  <si>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</si>
  <si>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</si>
  <si>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</si>
  <si>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</si>
  <si>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</si>
  <si>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</si>
  <si>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</si>
  <si>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</si>
  <si>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</si>
  <si>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</si>
  <si>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</si>
  <si>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</si>
  <si>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</si>
  <si>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</si>
  <si>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</si>
  <si>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</si>
  <si>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</si>
  <si>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</si>
  <si>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</si>
  <si>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</si>
  <si>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</si>
  <si>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</si>
  <si>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</si>
  <si>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</si>
  <si>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</si>
  <si>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</si>
  <si>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</si>
  <si>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</si>
  <si>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</si>
  <si>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</si>
  <si>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</si>
  <si>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</si>
  <si>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</si>
  <si>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</si>
  <si>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</si>
  <si>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</si>
  <si>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</si>
  <si>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</si>
  <si>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</si>
  <si>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</si>
  <si>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</si>
  <si>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</si>
  <si>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</si>
  <si>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</si>
  <si>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</si>
  <si>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</si>
  <si>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</si>
  <si>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</si>
  <si>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</si>
  <si>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</si>
  <si>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</si>
  <si>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</si>
  <si>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</si>
  <si>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</si>
  <si>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</si>
  <si>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</si>
  <si>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</si>
  <si>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</si>
  <si>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</si>
  <si>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</si>
  <si>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</si>
  <si>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</si>
  <si>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</si>
  <si>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</si>
  <si>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</si>
  <si>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</si>
  <si>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</si>
  <si>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</si>
  <si>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</si>
  <si>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</si>
  <si>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</si>
  <si>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</si>
  <si>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</si>
  <si>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</si>
  <si>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</si>
  <si>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</si>
  <si>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</si>
  <si>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</si>
  <si>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</si>
  <si>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</si>
  <si>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</si>
  <si>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</si>
  <si>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</si>
  <si>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</si>
  <si>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</si>
  <si>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</si>
  <si>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</si>
  <si>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</si>
  <si>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</si>
  <si>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</si>
  <si>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</si>
  <si>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</si>
  <si>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</si>
  <si>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</si>
  <si>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</si>
  <si>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</si>
  <si>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</si>
  <si>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</si>
  <si>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</si>
  <si>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</si>
  <si>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</si>
  <si>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</si>
  <si>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</si>
  <si>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</si>
  <si>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</si>
  <si>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</si>
  <si>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</si>
  <si>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</si>
  <si>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</si>
  <si>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</si>
  <si>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</si>
  <si>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</si>
  <si>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</si>
  <si>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</si>
  <si>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</si>
  <si>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</si>
  <si>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</si>
  <si>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</si>
  <si>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</si>
  <si>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</si>
  <si>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</si>
  <si>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</si>
  <si>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</si>
  <si>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</si>
  <si>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</si>
  <si>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</si>
  <si>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</si>
  <si>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</si>
  <si>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</si>
  <si>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</si>
  <si>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</si>
  <si>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</si>
  <si>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</si>
  <si>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</si>
  <si>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</si>
  <si>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</si>
  <si>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</si>
  <si>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</si>
  <si>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</si>
  <si>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</si>
  <si>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</si>
  <si>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</si>
  <si>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</si>
  <si>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</si>
  <si>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</si>
  <si>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</si>
  <si>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</si>
  <si>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</si>
  <si>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</si>
  <si>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</si>
  <si>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</si>
  <si>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</si>
  <si>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</si>
  <si>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</si>
  <si>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</si>
  <si>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</si>
  <si>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</si>
  <si>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</si>
  <si>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</si>
  <si>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</si>
  <si>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</si>
  <si>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</si>
  <si>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</si>
  <si>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</si>
  <si>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</si>
  <si>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</si>
  <si>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</si>
  <si>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</si>
  <si>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</si>
  <si>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</si>
  <si>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</si>
  <si>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</si>
  <si>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</si>
  <si>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</si>
  <si>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</si>
  <si>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</si>
  <si>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</si>
  <si>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</si>
  <si>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</si>
  <si>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</si>
  <si>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</si>
  <si>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</si>
  <si>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</si>
  <si>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</si>
  <si>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</si>
  <si>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</si>
  <si>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</si>
  <si>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</si>
  <si>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</si>
  <si>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</si>
  <si>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</si>
  <si>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</si>
  <si>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</si>
  <si>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</si>
  <si>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</si>
  <si>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</si>
  <si>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</si>
  <si>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</si>
  <si>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</si>
  <si>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</si>
  <si>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</si>
  <si>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</si>
  <si>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</si>
  <si>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</si>
  <si>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</si>
  <si>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</si>
  <si>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</si>
  <si>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</si>
  <si>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</si>
  <si>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</si>
  <si>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</si>
  <si>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</si>
  <si>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</si>
  <si>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</si>
  <si>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</si>
  <si>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</si>
  <si>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</si>
  <si>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</si>
  <si>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</si>
  <si>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</si>
  <si>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</si>
  <si>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</si>
  <si>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</si>
  <si>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</si>
  <si>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</si>
  <si>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</si>
  <si>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</si>
  <si>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</si>
  <si>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</si>
  <si>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</si>
  <si>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</si>
  <si>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</si>
  <si>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</si>
  <si>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</si>
  <si>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</si>
  <si>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</si>
  <si>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</si>
  <si>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</si>
  <si>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</si>
  <si>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</si>
  <si>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</si>
  <si>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</si>
  <si>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</si>
  <si>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</si>
  <si>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</si>
  <si>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</si>
  <si>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</si>
  <si>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</si>
  <si>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</si>
  <si>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</si>
  <si>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</si>
  <si>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</si>
  <si>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</si>
  <si>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</si>
  <si>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</si>
  <si>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</si>
  <si>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</si>
  <si>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</si>
  <si>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</si>
  <si>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</si>
  <si>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</si>
  <si>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</si>
  <si>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</si>
  <si>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</si>
  <si>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</si>
  <si>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</si>
  <si>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</si>
  <si>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</si>
  <si>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</si>
  <si>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</si>
  <si>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</si>
  <si>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</si>
  <si>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</si>
  <si>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</si>
  <si>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</si>
  <si>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</si>
  <si>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</si>
  <si>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</si>
  <si>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</si>
  <si>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</si>
  <si>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</si>
  <si>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</si>
  <si>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</si>
  <si>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</si>
  <si>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</si>
  <si>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</si>
  <si>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</si>
  <si>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</si>
  <si>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</si>
  <si>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</si>
  <si>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</si>
  <si>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</si>
  <si>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</si>
  <si>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</si>
  <si>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</si>
  <si>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</si>
  <si>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</si>
  <si>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</si>
  <si>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</si>
  <si>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</si>
  <si>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</si>
  <si>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</si>
  <si>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</si>
  <si>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</si>
  <si>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</si>
  <si>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</si>
  <si>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</si>
  <si>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</si>
  <si>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</si>
  <si>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</si>
  <si>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</si>
  <si>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</si>
  <si>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</si>
  <si>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</si>
  <si>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</si>
  <si>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</si>
  <si>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</si>
  <si>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</si>
  <si>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</si>
  <si>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</si>
  <si>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</si>
  <si>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</si>
  <si>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</si>
  <si>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</si>
  <si>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</si>
  <si>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</si>
  <si>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</si>
  <si>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</si>
  <si>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</si>
  <si>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</si>
  <si>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</si>
  <si>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</si>
  <si>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</si>
  <si>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</si>
  <si>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</si>
  <si>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</si>
  <si>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</si>
  <si>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</si>
  <si>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</si>
  <si>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</si>
  <si>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</si>
  <si>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</si>
  <si>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</si>
  <si>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</si>
  <si>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</si>
  <si>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</si>
  <si>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</si>
  <si>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</si>
  <si>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</si>
  <si>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</si>
  <si>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</si>
  <si>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</si>
  <si>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</si>
  <si>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</si>
  <si>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</si>
  <si>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</si>
  <si>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</si>
  <si>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</si>
  <si>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</si>
  <si>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</si>
  <si>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</si>
  <si>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</si>
  <si>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</si>
  <si>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</si>
  <si>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</si>
  <si>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</si>
  <si>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</si>
  <si>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</si>
  <si>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</si>
  <si>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</si>
  <si>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</si>
  <si>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</si>
  <si>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</si>
  <si>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</si>
  <si>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</si>
  <si>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</si>
  <si>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</si>
  <si>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</si>
  <si>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</si>
  <si>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</si>
  <si>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</si>
  <si>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</si>
  <si>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</si>
  <si>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</si>
  <si>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</si>
  <si>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</si>
  <si>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</si>
  <si>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</si>
  <si>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</si>
  <si>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</si>
  <si>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</si>
  <si>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</si>
  <si>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</si>
  <si>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</si>
  <si>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</si>
  <si>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</si>
  <si>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</si>
  <si>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</si>
  <si>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</si>
  <si>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</si>
  <si>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</si>
  <si>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</si>
  <si>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</si>
  <si>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</si>
  <si>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</si>
  <si>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</si>
  <si>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</si>
  <si>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</si>
  <si>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</si>
  <si>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</si>
  <si>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</si>
  <si>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</si>
  <si>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</si>
  <si>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</si>
  <si>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</si>
  <si>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</si>
  <si>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</si>
  <si>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</si>
  <si>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</si>
  <si>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</si>
  <si>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</si>
  <si>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</si>
  <si>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</si>
  <si>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</si>
  <si>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</si>
  <si>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</si>
  <si>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</si>
  <si>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</si>
  <si>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</si>
  <si>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</si>
  <si>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</si>
  <si>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</si>
  <si>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</si>
  <si>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</si>
  <si>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</si>
  <si>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</si>
  <si>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</si>
  <si>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</si>
  <si>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</si>
  <si>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</si>
  <si>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</si>
  <si>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</si>
  <si>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</si>
  <si>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</si>
  <si>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</si>
  <si>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</si>
  <si>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</si>
  <si>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</si>
  <si>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</si>
  <si>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</si>
  <si>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</si>
  <si>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</si>
  <si>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</si>
  <si>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</si>
  <si>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</si>
  <si>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</si>
  <si>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</si>
  <si>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</si>
  <si>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</si>
  <si>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</si>
  <si>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</si>
  <si>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</si>
  <si>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</si>
  <si>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自然人</t>
  </si>
  <si>
    <r>
      <rPr>
        <sz val="10"/>
        <color theme="9" tint="-0.249977111117893"/>
        <rFont val="宋体"/>
        <family val="3"/>
        <charset val="134"/>
      </rPr>
      <t>东城区崇文门外大街</t>
    </r>
    <r>
      <rPr>
        <sz val="10"/>
        <color theme="9" tint="-0.249977111117893"/>
        <rFont val="Arial"/>
        <family val="2"/>
      </rPr>
      <t>5</t>
    </r>
    <r>
      <rPr>
        <sz val="10"/>
        <color theme="9" tint="-0.249977111117893"/>
        <rFont val="宋体"/>
        <family val="3"/>
        <charset val="134"/>
      </rPr>
      <t>号</t>
    </r>
    <r>
      <rPr>
        <sz val="10"/>
        <color theme="9" tint="-0.249977111117893"/>
        <rFont val="Arial"/>
        <family val="2"/>
      </rPr>
      <t>5-1</t>
    </r>
    <r>
      <rPr>
        <sz val="10"/>
        <color theme="9" tint="-0.249977111117893"/>
        <rFont val="宋体"/>
        <family val="3"/>
        <charset val="134"/>
      </rPr>
      <t>幢</t>
    </r>
    <r>
      <rPr>
        <sz val="10"/>
        <color theme="9" tint="-0.249977111117893"/>
        <rFont val="Arial"/>
        <family val="2"/>
      </rPr>
      <t>4</t>
    </r>
    <r>
      <rPr>
        <sz val="10"/>
        <color theme="9" tint="-0.249977111117893"/>
        <rFont val="宋体"/>
        <family val="3"/>
        <charset val="134"/>
      </rPr>
      <t>层</t>
    </r>
    <r>
      <rPr>
        <sz val="10"/>
        <color theme="9" tint="-0.249977111117893"/>
        <rFont val="Arial"/>
        <family val="2"/>
      </rPr>
      <t>501</t>
    </r>
    <r>
      <rPr>
        <sz val="10"/>
        <color theme="9" tint="-0.249977111117893"/>
        <rFont val="宋体"/>
        <family val="3"/>
        <charset val="134"/>
      </rPr>
      <t>办公用房</t>
    </r>
    <phoneticPr fontId="6" type="noConversion"/>
  </si>
  <si>
    <t>去年</t>
    <phoneticPr fontId="134" type="noConversion"/>
  </si>
  <si>
    <t>去年正式报告2024-1-0022</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</si>
</sst>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95" fillId="0" borderId="0" xfId="0" applyFont="1">
      <alignment vertical="center"/>
    </xf>
    <xf numFmtId="0" fontId="272" fillId="12" borderId="0" xfId="12" applyFont="1" applyFill="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9"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13</xdr:col>
      <xdr:colOff>203058</xdr:colOff>
      <xdr:row>42</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118458" cy="4114800"/>
        </a:xfrm>
        <a:prstGeom prst="rect">
          <a:avLst/>
        </a:prstGeom>
      </xdr:spPr>
    </xdr:pic>
    <xdr:clientData/>
  </xdr:twoCellAnchor>
  <xdr:twoCellAnchor editAs="oneCell">
    <xdr:from>
      <xdr:col>0</xdr:col>
      <xdr:colOff>0</xdr:colOff>
      <xdr:row>43</xdr:row>
      <xdr:rowOff>28576</xdr:rowOff>
    </xdr:from>
    <xdr:to>
      <xdr:col>11</xdr:col>
      <xdr:colOff>303109</xdr:colOff>
      <xdr:row>73</xdr:row>
      <xdr:rowOff>28576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86276"/>
          <a:ext cx="7846909" cy="5143500"/>
        </a:xfrm>
        <a:prstGeom prst="rect">
          <a:avLst/>
        </a:prstGeom>
      </xdr:spPr>
    </xdr:pic>
    <xdr:clientData/>
  </xdr:twoCellAnchor>
  <xdr:twoCellAnchor editAs="oneCell">
    <xdr:from>
      <xdr:col>11</xdr:col>
      <xdr:colOff>352425</xdr:colOff>
      <xdr:row>43</xdr:row>
      <xdr:rowOff>47625</xdr:rowOff>
    </xdr:from>
    <xdr:to>
      <xdr:col>17</xdr:col>
      <xdr:colOff>37625</xdr:colOff>
      <xdr:row>63</xdr:row>
      <xdr:rowOff>151959</xdr:rowOff>
    </xdr:to>
    <xdr:pic>
      <xdr:nvPicPr>
        <xdr:cNvPr id="4" name="图片 3"/>
        <xdr:cNvPicPr>
          <a:picLocks noChangeAspect="1"/>
        </xdr:cNvPicPr>
      </xdr:nvPicPr>
      <xdr:blipFill>
        <a:blip xmlns:r="http://schemas.openxmlformats.org/officeDocument/2006/relationships" r:embed="rId3"/>
        <a:stretch>
          <a:fillRect/>
        </a:stretch>
      </xdr:blipFill>
      <xdr:spPr>
        <a:xfrm>
          <a:off x="7896225" y="4505325"/>
          <a:ext cx="3800000" cy="3533334"/>
        </a:xfrm>
        <a:prstGeom prst="rect">
          <a:avLst/>
        </a:prstGeom>
      </xdr:spPr>
    </xdr:pic>
    <xdr:clientData/>
  </xdr:twoCellAnchor>
  <xdr:twoCellAnchor editAs="oneCell">
    <xdr:from>
      <xdr:col>0</xdr:col>
      <xdr:colOff>0</xdr:colOff>
      <xdr:row>74</xdr:row>
      <xdr:rowOff>57150</xdr:rowOff>
    </xdr:from>
    <xdr:to>
      <xdr:col>12</xdr:col>
      <xdr:colOff>438150</xdr:colOff>
      <xdr:row>96</xdr:row>
      <xdr:rowOff>126719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829800"/>
          <a:ext cx="8667750" cy="3841469"/>
        </a:xfrm>
        <a:prstGeom prst="rect">
          <a:avLst/>
        </a:prstGeom>
      </xdr:spPr>
    </xdr:pic>
    <xdr:clientData/>
  </xdr:twoCellAnchor>
  <xdr:twoCellAnchor editAs="oneCell">
    <xdr:from>
      <xdr:col>0</xdr:col>
      <xdr:colOff>0</xdr:colOff>
      <xdr:row>98</xdr:row>
      <xdr:rowOff>0</xdr:rowOff>
    </xdr:from>
    <xdr:to>
      <xdr:col>13</xdr:col>
      <xdr:colOff>287371</xdr:colOff>
      <xdr:row>121</xdr:row>
      <xdr:rowOff>38100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887450"/>
          <a:ext cx="9202771" cy="3981450"/>
        </a:xfrm>
        <a:prstGeom prst="rect">
          <a:avLst/>
        </a:prstGeom>
      </xdr:spPr>
    </xdr:pic>
    <xdr:clientData/>
  </xdr:twoCellAnchor>
  <xdr:twoCellAnchor editAs="oneCell">
    <xdr:from>
      <xdr:col>0</xdr:col>
      <xdr:colOff>0</xdr:colOff>
      <xdr:row>122</xdr:row>
      <xdr:rowOff>0</xdr:rowOff>
    </xdr:from>
    <xdr:to>
      <xdr:col>12</xdr:col>
      <xdr:colOff>102884</xdr:colOff>
      <xdr:row>143</xdr:row>
      <xdr:rowOff>66675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002250"/>
          <a:ext cx="8332484" cy="3667125"/>
        </a:xfrm>
        <a:prstGeom prst="rect">
          <a:avLst/>
        </a:prstGeom>
      </xdr:spPr>
    </xdr:pic>
    <xdr:clientData/>
  </xdr:twoCellAnchor>
  <xdr:twoCellAnchor editAs="oneCell">
    <xdr:from>
      <xdr:col>0</xdr:col>
      <xdr:colOff>0</xdr:colOff>
      <xdr:row>144</xdr:row>
      <xdr:rowOff>0</xdr:rowOff>
    </xdr:from>
    <xdr:to>
      <xdr:col>12</xdr:col>
      <xdr:colOff>246591</xdr:colOff>
      <xdr:row>174</xdr:row>
      <xdr:rowOff>170786</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1774150"/>
          <a:ext cx="8476191" cy="5314286"/>
        </a:xfrm>
        <a:prstGeom prst="rect">
          <a:avLst/>
        </a:prstGeom>
      </xdr:spPr>
    </xdr:pic>
    <xdr:clientData/>
  </xdr:twoCellAnchor>
  <xdr:twoCellAnchor editAs="oneCell">
    <xdr:from>
      <xdr:col>0</xdr:col>
      <xdr:colOff>0</xdr:colOff>
      <xdr:row>176</xdr:row>
      <xdr:rowOff>0</xdr:rowOff>
    </xdr:from>
    <xdr:to>
      <xdr:col>5</xdr:col>
      <xdr:colOff>380524</xdr:colOff>
      <xdr:row>204</xdr:row>
      <xdr:rowOff>142257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260550"/>
          <a:ext cx="3809524" cy="4942857"/>
        </a:xfrm>
        <a:prstGeom prst="rect">
          <a:avLst/>
        </a:prstGeom>
      </xdr:spPr>
    </xdr:pic>
    <xdr:clientData/>
  </xdr:twoCellAnchor>
  <xdr:twoCellAnchor editAs="oneCell">
    <xdr:from>
      <xdr:col>6</xdr:col>
      <xdr:colOff>0</xdr:colOff>
      <xdr:row>176</xdr:row>
      <xdr:rowOff>0</xdr:rowOff>
    </xdr:from>
    <xdr:to>
      <xdr:col>11</xdr:col>
      <xdr:colOff>685286</xdr:colOff>
      <xdr:row>198</xdr:row>
      <xdr:rowOff>94767</xdr:rowOff>
    </xdr:to>
    <xdr:pic>
      <xdr:nvPicPr>
        <xdr:cNvPr id="10" name="图片 9"/>
        <xdr:cNvPicPr>
          <a:picLocks noChangeAspect="1"/>
        </xdr:cNvPicPr>
      </xdr:nvPicPr>
      <xdr:blipFill>
        <a:blip xmlns:r="http://schemas.openxmlformats.org/officeDocument/2006/relationships" r:embed="rId9"/>
        <a:stretch>
          <a:fillRect/>
        </a:stretch>
      </xdr:blipFill>
      <xdr:spPr>
        <a:xfrm>
          <a:off x="4114800" y="27260550"/>
          <a:ext cx="4114286" cy="3866667"/>
        </a:xfrm>
        <a:prstGeom prst="rect">
          <a:avLst/>
        </a:prstGeom>
      </xdr:spPr>
    </xdr:pic>
    <xdr:clientData/>
  </xdr:twoCellAnchor>
  <xdr:twoCellAnchor editAs="oneCell">
    <xdr:from>
      <xdr:col>0</xdr:col>
      <xdr:colOff>0</xdr:colOff>
      <xdr:row>205</xdr:row>
      <xdr:rowOff>1</xdr:rowOff>
    </xdr:from>
    <xdr:to>
      <xdr:col>11</xdr:col>
      <xdr:colOff>25209</xdr:colOff>
      <xdr:row>224</xdr:row>
      <xdr:rowOff>95251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2232601"/>
          <a:ext cx="7569009" cy="3352800"/>
        </a:xfrm>
        <a:prstGeom prst="rect">
          <a:avLst/>
        </a:prstGeom>
      </xdr:spPr>
    </xdr:pic>
    <xdr:clientData/>
  </xdr:twoCellAnchor>
  <xdr:twoCellAnchor editAs="oneCell">
    <xdr:from>
      <xdr:col>0</xdr:col>
      <xdr:colOff>0</xdr:colOff>
      <xdr:row>2</xdr:row>
      <xdr:rowOff>47625</xdr:rowOff>
    </xdr:from>
    <xdr:to>
      <xdr:col>9</xdr:col>
      <xdr:colOff>27800</xdr:colOff>
      <xdr:row>16</xdr:row>
      <xdr:rowOff>133039</xdr:rowOff>
    </xdr:to>
    <xdr:pic>
      <xdr:nvPicPr>
        <xdr:cNvPr id="20" name="图片 19"/>
        <xdr:cNvPicPr>
          <a:picLocks noChangeAspect="1"/>
        </xdr:cNvPicPr>
      </xdr:nvPicPr>
      <xdr:blipFill>
        <a:blip xmlns:r="http://schemas.openxmlformats.org/officeDocument/2006/relationships" r:embed="rId11"/>
        <a:stretch>
          <a:fillRect/>
        </a:stretch>
      </xdr:blipFill>
      <xdr:spPr>
        <a:xfrm>
          <a:off x="0" y="390525"/>
          <a:ext cx="6200000" cy="2485714"/>
        </a:xfrm>
        <a:prstGeom prst="rect">
          <a:avLst/>
        </a:prstGeom>
      </xdr:spPr>
    </xdr:pic>
    <xdr:clientData/>
  </xdr:twoCellAnchor>
  <xdr:twoCellAnchor editAs="oneCell">
    <xdr:from>
      <xdr:col>9</xdr:col>
      <xdr:colOff>95250</xdr:colOff>
      <xdr:row>0</xdr:row>
      <xdr:rowOff>19051</xdr:rowOff>
    </xdr:from>
    <xdr:to>
      <xdr:col>17</xdr:col>
      <xdr:colOff>151580</xdr:colOff>
      <xdr:row>16</xdr:row>
      <xdr:rowOff>11015</xdr:rowOff>
    </xdr:to>
    <xdr:pic>
      <xdr:nvPicPr>
        <xdr:cNvPr id="21" name="图片 20"/>
        <xdr:cNvPicPr>
          <a:picLocks noChangeAspect="1"/>
        </xdr:cNvPicPr>
      </xdr:nvPicPr>
      <xdr:blipFill>
        <a:blip xmlns:r="http://schemas.openxmlformats.org/officeDocument/2006/relationships" r:embed="rId12"/>
        <a:stretch>
          <a:fillRect/>
        </a:stretch>
      </xdr:blipFill>
      <xdr:spPr>
        <a:xfrm>
          <a:off x="6267450" y="19051"/>
          <a:ext cx="5542730" cy="27351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5</xdr:col>
      <xdr:colOff>618619</xdr:colOff>
      <xdr:row>52</xdr:row>
      <xdr:rowOff>37474</xdr:rowOff>
    </xdr:to>
    <xdr:pic>
      <xdr:nvPicPr>
        <xdr:cNvPr id="12" name="图片 11"/>
        <xdr:cNvPicPr>
          <a:picLocks noChangeAspect="1"/>
        </xdr:cNvPicPr>
      </xdr:nvPicPr>
      <xdr:blipFill>
        <a:blip xmlns:r="http://schemas.openxmlformats.org/officeDocument/2006/relationships" r:embed="rId1"/>
        <a:stretch>
          <a:fillRect/>
        </a:stretch>
      </xdr:blipFill>
      <xdr:spPr>
        <a:xfrm>
          <a:off x="0" y="35833050"/>
          <a:ext cx="4047619" cy="5009524"/>
        </a:xfrm>
        <a:prstGeom prst="rect">
          <a:avLst/>
        </a:prstGeom>
      </xdr:spPr>
    </xdr:pic>
    <xdr:clientData/>
  </xdr:twoCellAnchor>
  <xdr:twoCellAnchor editAs="oneCell">
    <xdr:from>
      <xdr:col>6</xdr:col>
      <xdr:colOff>0</xdr:colOff>
      <xdr:row>23</xdr:row>
      <xdr:rowOff>0</xdr:rowOff>
    </xdr:from>
    <xdr:to>
      <xdr:col>11</xdr:col>
      <xdr:colOff>418619</xdr:colOff>
      <xdr:row>43</xdr:row>
      <xdr:rowOff>151953</xdr:rowOff>
    </xdr:to>
    <xdr:pic>
      <xdr:nvPicPr>
        <xdr:cNvPr id="13" name="图片 12"/>
        <xdr:cNvPicPr>
          <a:picLocks noChangeAspect="1"/>
        </xdr:cNvPicPr>
      </xdr:nvPicPr>
      <xdr:blipFill>
        <a:blip xmlns:r="http://schemas.openxmlformats.org/officeDocument/2006/relationships" r:embed="rId2"/>
        <a:stretch>
          <a:fillRect/>
        </a:stretch>
      </xdr:blipFill>
      <xdr:spPr>
        <a:xfrm>
          <a:off x="4114800" y="35833050"/>
          <a:ext cx="3847619" cy="3580953"/>
        </a:xfrm>
        <a:prstGeom prst="rect">
          <a:avLst/>
        </a:prstGeom>
      </xdr:spPr>
    </xdr:pic>
    <xdr:clientData/>
  </xdr:twoCellAnchor>
  <xdr:twoCellAnchor editAs="oneCell">
    <xdr:from>
      <xdr:col>11</xdr:col>
      <xdr:colOff>438150</xdr:colOff>
      <xdr:row>22</xdr:row>
      <xdr:rowOff>133350</xdr:rowOff>
    </xdr:from>
    <xdr:to>
      <xdr:col>17</xdr:col>
      <xdr:colOff>228112</xdr:colOff>
      <xdr:row>43</xdr:row>
      <xdr:rowOff>66234</xdr:rowOff>
    </xdr:to>
    <xdr:pic>
      <xdr:nvPicPr>
        <xdr:cNvPr id="14" name="图片 13"/>
        <xdr:cNvPicPr>
          <a:picLocks noChangeAspect="1"/>
        </xdr:cNvPicPr>
      </xdr:nvPicPr>
      <xdr:blipFill>
        <a:blip xmlns:r="http://schemas.openxmlformats.org/officeDocument/2006/relationships" r:embed="rId3"/>
        <a:stretch>
          <a:fillRect/>
        </a:stretch>
      </xdr:blipFill>
      <xdr:spPr>
        <a:xfrm>
          <a:off x="7981950" y="35794950"/>
          <a:ext cx="3904762" cy="3533334"/>
        </a:xfrm>
        <a:prstGeom prst="rect">
          <a:avLst/>
        </a:prstGeom>
      </xdr:spPr>
    </xdr:pic>
    <xdr:clientData/>
  </xdr:twoCellAnchor>
  <xdr:twoCellAnchor editAs="oneCell">
    <xdr:from>
      <xdr:col>6</xdr:col>
      <xdr:colOff>0</xdr:colOff>
      <xdr:row>44</xdr:row>
      <xdr:rowOff>0</xdr:rowOff>
    </xdr:from>
    <xdr:to>
      <xdr:col>11</xdr:col>
      <xdr:colOff>647191</xdr:colOff>
      <xdr:row>51</xdr:row>
      <xdr:rowOff>37945</xdr:rowOff>
    </xdr:to>
    <xdr:pic>
      <xdr:nvPicPr>
        <xdr:cNvPr id="15" name="图片 14"/>
        <xdr:cNvPicPr>
          <a:picLocks noChangeAspect="1"/>
        </xdr:cNvPicPr>
      </xdr:nvPicPr>
      <xdr:blipFill>
        <a:blip xmlns:r="http://schemas.openxmlformats.org/officeDocument/2006/relationships" r:embed="rId4"/>
        <a:stretch>
          <a:fillRect/>
        </a:stretch>
      </xdr:blipFill>
      <xdr:spPr>
        <a:xfrm>
          <a:off x="4114800" y="39433500"/>
          <a:ext cx="4076191" cy="1238095"/>
        </a:xfrm>
        <a:prstGeom prst="rect">
          <a:avLst/>
        </a:prstGeom>
      </xdr:spPr>
    </xdr:pic>
    <xdr:clientData/>
  </xdr:twoCellAnchor>
  <xdr:twoCellAnchor editAs="oneCell">
    <xdr:from>
      <xdr:col>12</xdr:col>
      <xdr:colOff>0</xdr:colOff>
      <xdr:row>44</xdr:row>
      <xdr:rowOff>0</xdr:rowOff>
    </xdr:from>
    <xdr:to>
      <xdr:col>17</xdr:col>
      <xdr:colOff>475762</xdr:colOff>
      <xdr:row>52</xdr:row>
      <xdr:rowOff>18876</xdr:rowOff>
    </xdr:to>
    <xdr:pic>
      <xdr:nvPicPr>
        <xdr:cNvPr id="16" name="图片 15"/>
        <xdr:cNvPicPr>
          <a:picLocks noChangeAspect="1"/>
        </xdr:cNvPicPr>
      </xdr:nvPicPr>
      <xdr:blipFill>
        <a:blip xmlns:r="http://schemas.openxmlformats.org/officeDocument/2006/relationships" r:embed="rId5"/>
        <a:stretch>
          <a:fillRect/>
        </a:stretch>
      </xdr:blipFill>
      <xdr:spPr>
        <a:xfrm>
          <a:off x="8229600" y="39433500"/>
          <a:ext cx="3904762" cy="1390476"/>
        </a:xfrm>
        <a:prstGeom prst="rect">
          <a:avLst/>
        </a:prstGeom>
      </xdr:spPr>
    </xdr:pic>
    <xdr:clientData/>
  </xdr:twoCellAnchor>
  <xdr:twoCellAnchor editAs="oneCell">
    <xdr:from>
      <xdr:col>0</xdr:col>
      <xdr:colOff>0</xdr:colOff>
      <xdr:row>53</xdr:row>
      <xdr:rowOff>0</xdr:rowOff>
    </xdr:from>
    <xdr:to>
      <xdr:col>5</xdr:col>
      <xdr:colOff>256715</xdr:colOff>
      <xdr:row>73</xdr:row>
      <xdr:rowOff>85286</xdr:rowOff>
    </xdr:to>
    <xdr:pic>
      <xdr:nvPicPr>
        <xdr:cNvPr id="17" name="图片 16"/>
        <xdr:cNvPicPr>
          <a:picLocks noChangeAspect="1"/>
        </xdr:cNvPicPr>
      </xdr:nvPicPr>
      <xdr:blipFill>
        <a:blip xmlns:r="http://schemas.openxmlformats.org/officeDocument/2006/relationships" r:embed="rId6"/>
        <a:stretch>
          <a:fillRect/>
        </a:stretch>
      </xdr:blipFill>
      <xdr:spPr>
        <a:xfrm>
          <a:off x="0" y="40976550"/>
          <a:ext cx="3685715" cy="3514286"/>
        </a:xfrm>
        <a:prstGeom prst="rect">
          <a:avLst/>
        </a:prstGeom>
      </xdr:spPr>
    </xdr:pic>
    <xdr:clientData/>
  </xdr:twoCellAnchor>
  <xdr:twoCellAnchor editAs="oneCell">
    <xdr:from>
      <xdr:col>6</xdr:col>
      <xdr:colOff>0</xdr:colOff>
      <xdr:row>53</xdr:row>
      <xdr:rowOff>0</xdr:rowOff>
    </xdr:from>
    <xdr:to>
      <xdr:col>11</xdr:col>
      <xdr:colOff>361476</xdr:colOff>
      <xdr:row>73</xdr:row>
      <xdr:rowOff>94810</xdr:rowOff>
    </xdr:to>
    <xdr:pic>
      <xdr:nvPicPr>
        <xdr:cNvPr id="18" name="图片 17"/>
        <xdr:cNvPicPr>
          <a:picLocks noChangeAspect="1"/>
        </xdr:cNvPicPr>
      </xdr:nvPicPr>
      <xdr:blipFill>
        <a:blip xmlns:r="http://schemas.openxmlformats.org/officeDocument/2006/relationships" r:embed="rId7"/>
        <a:stretch>
          <a:fillRect/>
        </a:stretch>
      </xdr:blipFill>
      <xdr:spPr>
        <a:xfrm>
          <a:off x="4114800" y="40976550"/>
          <a:ext cx="3790476" cy="3523810"/>
        </a:xfrm>
        <a:prstGeom prst="rect">
          <a:avLst/>
        </a:prstGeom>
      </xdr:spPr>
    </xdr:pic>
    <xdr:clientData/>
  </xdr:twoCellAnchor>
  <xdr:twoCellAnchor editAs="oneCell">
    <xdr:from>
      <xdr:col>12</xdr:col>
      <xdr:colOff>0</xdr:colOff>
      <xdr:row>53</xdr:row>
      <xdr:rowOff>0</xdr:rowOff>
    </xdr:from>
    <xdr:to>
      <xdr:col>17</xdr:col>
      <xdr:colOff>456715</xdr:colOff>
      <xdr:row>73</xdr:row>
      <xdr:rowOff>104334</xdr:rowOff>
    </xdr:to>
    <xdr:pic>
      <xdr:nvPicPr>
        <xdr:cNvPr id="19" name="图片 18"/>
        <xdr:cNvPicPr>
          <a:picLocks noChangeAspect="1"/>
        </xdr:cNvPicPr>
      </xdr:nvPicPr>
      <xdr:blipFill>
        <a:blip xmlns:r="http://schemas.openxmlformats.org/officeDocument/2006/relationships" r:embed="rId8"/>
        <a:stretch>
          <a:fillRect/>
        </a:stretch>
      </xdr:blipFill>
      <xdr:spPr>
        <a:xfrm>
          <a:off x="8229600" y="40976550"/>
          <a:ext cx="3885715" cy="3533334"/>
        </a:xfrm>
        <a:prstGeom prst="rect">
          <a:avLst/>
        </a:prstGeom>
      </xdr:spPr>
    </xdr:pic>
    <xdr:clientData/>
  </xdr:twoCellAnchor>
  <xdr:twoCellAnchor editAs="oneCell">
    <xdr:from>
      <xdr:col>0</xdr:col>
      <xdr:colOff>0</xdr:colOff>
      <xdr:row>2</xdr:row>
      <xdr:rowOff>152400</xdr:rowOff>
    </xdr:from>
    <xdr:to>
      <xdr:col>9</xdr:col>
      <xdr:colOff>284943</xdr:colOff>
      <xdr:row>20</xdr:row>
      <xdr:rowOff>171062</xdr:rowOff>
    </xdr:to>
    <xdr:pic>
      <xdr:nvPicPr>
        <xdr:cNvPr id="20" name="图片 19"/>
        <xdr:cNvPicPr>
          <a:picLocks noChangeAspect="1"/>
        </xdr:cNvPicPr>
      </xdr:nvPicPr>
      <xdr:blipFill>
        <a:blip xmlns:r="http://schemas.openxmlformats.org/officeDocument/2006/relationships" r:embed="rId9"/>
        <a:stretch>
          <a:fillRect/>
        </a:stretch>
      </xdr:blipFill>
      <xdr:spPr>
        <a:xfrm>
          <a:off x="0" y="495300"/>
          <a:ext cx="6457143" cy="3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北京市东城区崇文门外大街5号5-1幢4层501办公用房房地产抵押价值预评估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受贵公司委托，我公司对北京市东城区崇文门外大街5号5-1幢4层501办公用房房地产抵押价值进行了预评估。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东城区崇文门外大街5号5-1幢4层501办公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2025年9月2日（评估专业人员实地查勘之日）</v>
      </c>
    </row>
    <row r="13" spans="1:2" s="1203" customFormat="1">
      <c r="A13" s="1201" t="s">
        <v>529</v>
      </c>
      <c r="B13" s="1202" t="str">
        <f>'预评函-1'!A18</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北京市东城区崇文门外大街5号5-1幢4层501办公用房房地产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崇文门外大街5号5-1幢4层501办公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9" t="s">
        <v>2580</v>
      </c>
      <c r="J2" s="3519"/>
      <c r="K2" s="3519"/>
      <c r="L2" s="3519"/>
      <c r="M2" s="3519"/>
      <c r="N2" s="3519"/>
      <c r="O2" s="3519"/>
      <c r="P2" s="3519"/>
      <c r="Q2" s="3519"/>
      <c r="R2" s="3519"/>
    </row>
    <row r="3" spans="1:18">
      <c r="A3" s="3020" t="s">
        <v>2501</v>
      </c>
      <c r="B3" s="3021">
        <f>项目基本情况!D3</f>
        <v>45902</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1.29</v>
      </c>
      <c r="D5" s="3025">
        <f>IF(ISERROR(ROUND(POWER(1+E5,A5-C5)*(POWER(1+E5,C5)-1)/(POWER(1+E5,A5)-1),3)),0,ROUND(POWER(1+E5,A5-C5)*(POWER(1+E5,C5)-1)/(POWER(1+E5,A5)-1),4))</f>
        <v>6.2300000000000001E-2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11.3</v>
      </c>
      <c r="D6" s="3025">
        <f>IF(ISERROR(ROUND(POWER(1+E6,A6-C6)*(POWER(1+E6,C6)-1)/(POWER(1+E6,A6)-1),3)),0,ROUND(POWER(1+E6,A6-C6)*(POWER(1+E6,C6)-1)/(POWER(1+E6,A6)-1),4))</f>
        <v>0.41660000000000003</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31.31</v>
      </c>
      <c r="D7" s="3025">
        <f>IF(ISERROR(ROUND(POWER(1+E7,A7-C7)*(POWER(1+E7,C7)-1)/(POWER(1+E7,A7)-1),3)),0,ROUND(POWER(1+E7,A7-C7)*(POWER(1+E7,C7)-1)/(POWER(1+E7,A7)-1),4))</f>
        <v>0.75560000000000005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1" sqref="B1:I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8" t="str">
        <f>IF(B10="北京市","北京市",C10)&amp;F10&amp;IF(结果表!G1="在建","出让国有建设用地使用权及在建建筑物",IF(结果表!G1="土地","出让国有建设用地使用权",))&amp;B9&amp;"预评估"</f>
        <v>北京市东城区崇文门外大街5号5-1幢4层501办公用房房地产抵押价值预评估</v>
      </c>
      <c r="C1" s="3529"/>
      <c r="D1" s="3529"/>
      <c r="E1" s="3529"/>
      <c r="F1" s="3529"/>
      <c r="G1" s="3529"/>
      <c r="H1" s="3529"/>
      <c r="I1" s="353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北京市东城区崇文门外大街5号5-1幢4层501办公用房房地产抵押价值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北京市东城区崇文门外大街5号5-1幢4层501办公用房房地产</v>
      </c>
      <c r="T2" s="1745"/>
      <c r="U2" s="1745"/>
      <c r="V2" s="1745"/>
      <c r="W2" s="1745"/>
      <c r="X2" s="1745"/>
      <c r="Y2" s="1745"/>
      <c r="Z2" s="1745"/>
      <c r="AA2" s="1745"/>
      <c r="AB2" s="1745"/>
    </row>
    <row r="3" spans="1:30">
      <c r="A3" s="302" t="s">
        <v>2170</v>
      </c>
      <c r="B3" s="2373">
        <v>45902</v>
      </c>
      <c r="C3" s="2374" t="s">
        <v>2171</v>
      </c>
      <c r="D3" s="2373">
        <f>B3</f>
        <v>45902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3417</v>
      </c>
      <c r="C8" s="2390"/>
      <c r="D8" s="3531" t="s">
        <v>2177</v>
      </c>
      <c r="E8" s="2391" t="s">
        <v>3418</v>
      </c>
      <c r="F8" s="2392"/>
      <c r="G8" s="2663"/>
      <c r="H8" s="2663"/>
      <c r="I8" s="2663"/>
      <c r="J8" s="2439"/>
      <c r="K8" s="2614"/>
      <c r="L8" s="2613"/>
      <c r="M8" s="2613"/>
      <c r="N8" s="2439"/>
      <c r="O8" s="2450"/>
      <c r="P8" s="2439"/>
      <c r="Q8" s="2439"/>
      <c r="R8" s="2439"/>
    </row>
    <row r="9" spans="1:30" ht="13.5" thickBot="1">
      <c r="A9" s="2393" t="s">
        <v>2178</v>
      </c>
      <c r="B9" s="2394" t="s">
        <v>3418</v>
      </c>
      <c r="C9" s="2395"/>
      <c r="D9" s="3532"/>
      <c r="E9" s="2394"/>
      <c r="F9" s="2396"/>
      <c r="G9" s="2665"/>
      <c r="H9" s="2665"/>
      <c r="I9" s="2665"/>
      <c r="J9" s="2439"/>
      <c r="K9" s="2616"/>
      <c r="L9" s="2613"/>
      <c r="M9" s="2613"/>
      <c r="N9" s="2439"/>
      <c r="O9" s="2450"/>
      <c r="P9" s="2439"/>
      <c r="Q9" s="2439"/>
      <c r="R9" s="2439"/>
    </row>
    <row r="10" spans="1:30" ht="13.5" thickTop="1">
      <c r="A10" s="2397" t="s">
        <v>2179</v>
      </c>
      <c r="B10" s="2398" t="s">
        <v>3419</v>
      </c>
      <c r="C10" s="2399"/>
      <c r="D10" s="2382"/>
      <c r="E10" s="2400" t="s">
        <v>2180</v>
      </c>
      <c r="F10" s="2666" t="s">
        <v>3421</v>
      </c>
      <c r="G10" s="2667"/>
      <c r="H10" s="2668"/>
      <c r="I10" s="2669"/>
      <c r="J10" s="2439"/>
      <c r="K10" s="2616"/>
      <c r="L10" s="2613"/>
      <c r="M10" s="2613"/>
      <c r="N10" s="2439"/>
      <c r="O10" s="2450"/>
      <c r="P10" s="2439"/>
      <c r="Q10" s="2439"/>
      <c r="R10" s="2439"/>
    </row>
    <row r="11" spans="1:30">
      <c r="A11" s="2401" t="s">
        <v>2181</v>
      </c>
      <c r="B11" s="2402" t="s">
        <v>3420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8"/>
      <c r="C16" s="3539"/>
      <c r="D16" s="3540"/>
      <c r="E16" s="2413" t="s">
        <v>2194</v>
      </c>
      <c r="F16" s="3541"/>
      <c r="G16" s="3542"/>
      <c r="H16" s="3542"/>
      <c r="I16" s="3543"/>
      <c r="J16" s="2439"/>
      <c r="K16" s="2617"/>
      <c r="L16" s="2451"/>
      <c r="M16" s="2451"/>
      <c r="N16" s="2509"/>
      <c r="O16" s="2451"/>
      <c r="P16" s="2509"/>
      <c r="Q16" s="2439"/>
      <c r="R16" s="2439"/>
    </row>
    <row r="17" spans="1:28">
      <c r="A17" s="313" t="s">
        <v>2195</v>
      </c>
      <c r="B17" s="302" t="s">
        <v>2196</v>
      </c>
      <c r="C17" s="8">
        <f>'数据-汇总表'!E3</f>
        <v>0</v>
      </c>
      <c r="D17" s="2322" t="s">
        <v>2197</v>
      </c>
      <c r="E17" s="3544" t="s">
        <v>2198</v>
      </c>
      <c r="F17" s="3545"/>
      <c r="G17" s="3545"/>
      <c r="H17" s="3545"/>
      <c r="I17" s="3546"/>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7" t="s">
        <v>2202</v>
      </c>
      <c r="F18" s="3548"/>
      <c r="G18" s="3548"/>
      <c r="H18" s="3548"/>
      <c r="I18" s="354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4" t="s">
        <v>2206</v>
      </c>
      <c r="C20" s="3535"/>
      <c r="D20" s="3536" t="s">
        <v>2207</v>
      </c>
      <c r="E20" s="3537"/>
      <c r="F20" s="2647" t="s">
        <v>1056</v>
      </c>
      <c r="G20" s="2664"/>
      <c r="H20" s="2664"/>
      <c r="I20" s="2664"/>
      <c r="J20" s="2439"/>
      <c r="K20" s="353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2"/>
      <c r="B30" s="302" t="s">
        <v>2218</v>
      </c>
      <c r="C30" s="3523"/>
      <c r="D30" s="3524"/>
      <c r="E30" s="2664"/>
      <c r="F30" s="2664"/>
      <c r="G30" s="2664"/>
      <c r="H30" s="2664"/>
      <c r="I30" s="2664"/>
      <c r="J30" s="2439"/>
      <c r="K30" s="2616"/>
      <c r="L30" s="2613"/>
      <c r="M30" s="2613"/>
      <c r="N30" s="2439"/>
      <c r="O30" s="2450"/>
      <c r="P30" s="2439"/>
      <c r="Q30" s="2439"/>
      <c r="R30" s="2439"/>
      <c r="S30" s="2439"/>
      <c r="T30" s="2439"/>
      <c r="U30" s="2439"/>
      <c r="V30" s="2439"/>
    </row>
    <row r="31" spans="1:28">
      <c r="A31" s="352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0" t="s">
        <v>2228</v>
      </c>
      <c r="T34" s="2428" t="str">
        <f>NUMBERSTRING(7-K34,1)&amp;"通"</f>
        <v>七通</v>
      </c>
      <c r="U34" s="2439"/>
      <c r="V34" s="2439"/>
    </row>
    <row r="35" spans="1:30">
      <c r="A35" s="2429"/>
      <c r="B35" s="3527" t="s">
        <v>2229</v>
      </c>
      <c r="C35" s="3527"/>
      <c r="D35" s="3527"/>
      <c r="E35" s="352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9" t="s">
        <v>1131</v>
      </c>
      <c r="B2" s="3559"/>
      <c r="C2" s="3559"/>
      <c r="D2" s="796" t="s">
        <v>1107</v>
      </c>
      <c r="E2" s="1639" t="s">
        <v>1108</v>
      </c>
      <c r="F2" s="2659"/>
      <c r="G2" s="2650"/>
      <c r="H2" s="2651"/>
      <c r="I2" s="2325" t="s">
        <v>1132</v>
      </c>
      <c r="J2" s="2659"/>
      <c r="K2" s="2659"/>
      <c r="L2" s="2659"/>
      <c r="M2" s="2659"/>
      <c r="N2" s="2661"/>
      <c r="O2" s="2659"/>
      <c r="P2" s="2659"/>
    </row>
    <row r="3" spans="1:16" ht="15.75" thickBot="1">
      <c r="A3" s="3560" t="s">
        <v>1105</v>
      </c>
      <c r="B3" s="3560"/>
      <c r="C3" s="3560"/>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1"/>
      <c r="B4" s="3562"/>
      <c r="C4" s="356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4" t="s">
        <v>1110</v>
      </c>
      <c r="C5" s="3564"/>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4" t="s">
        <v>1111</v>
      </c>
      <c r="C6" s="3564"/>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6"/>
      <c r="B7" s="3557"/>
      <c r="C7" s="355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3" t="s">
        <v>1135</v>
      </c>
      <c r="L16" s="3554"/>
      <c r="M16" s="3554"/>
      <c r="N16" s="3554"/>
      <c r="O16" s="3554"/>
      <c r="P16" s="3555"/>
    </row>
    <row r="17" spans="1:19" ht="15">
      <c r="A17" s="1650" t="s">
        <v>1136</v>
      </c>
      <c r="B17" s="1651" t="s">
        <v>1137</v>
      </c>
      <c r="C17" s="1652" t="s">
        <v>1138</v>
      </c>
      <c r="D17" s="1653" t="s">
        <v>1126</v>
      </c>
      <c r="E17" s="1654" t="s">
        <v>1127</v>
      </c>
      <c r="F17" s="1655"/>
      <c r="G17" s="1656"/>
      <c r="H17" s="1657" t="s">
        <v>1139</v>
      </c>
      <c r="I17" s="1658" t="s">
        <v>1124</v>
      </c>
      <c r="J17" s="1139"/>
      <c r="K17" s="3550" t="s">
        <v>1140</v>
      </c>
      <c r="L17" s="3551"/>
      <c r="M17" s="3552"/>
      <c r="N17" s="3550" t="s">
        <v>1141</v>
      </c>
      <c r="O17" s="3551"/>
      <c r="P17" s="355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43" sqref="G4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45902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5" t="s">
        <v>2286</v>
      </c>
      <c r="B1" s="3566"/>
      <c r="C1" s="3566"/>
      <c r="D1" s="3566"/>
      <c r="E1" s="3566"/>
      <c r="F1" s="3566"/>
      <c r="G1" s="356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workbookViewId="0">
      <selection activeCell="K3" sqref="K3"/>
    </sheetView>
  </sheetViews>
  <sheetFormatPr defaultRowHeight="13.5"/>
  <sheetData>
    <row r="2" spans="2:2">
      <c r="B2" s="3819" t="s">
        <v>3422</v>
      </c>
    </row>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
  <sheetViews>
    <sheetView workbookViewId="0">
      <selection activeCell="M8" sqref="M8"/>
    </sheetView>
  </sheetViews>
  <sheetFormatPr defaultRowHeight="13.5"/>
  <sheetData>
    <row r="2" spans="3:3">
      <c r="C2" s="3819" t="s">
        <v>3422</v>
      </c>
    </row>
  </sheetData>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493.95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45902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1521</v>
      </c>
      <c r="C5" s="2512">
        <f ca="1">IF(B5=D14,结果表!H102,ROUND(B5*10000/$B$1,0))</f>
        <v>0</v>
      </c>
      <c r="D5" s="2512" t="e">
        <f>ROUND(B5*10000/$B$2,0)</f>
        <v>#DIV/0!</v>
      </c>
      <c r="E5" s="2686"/>
      <c r="F5" s="2687"/>
      <c r="G5" s="2687"/>
      <c r="H5" s="2688"/>
      <c r="I5" s="2688"/>
      <c r="J5" s="2688"/>
      <c r="K5" s="2688"/>
    </row>
    <row r="6" spans="1:11" ht="16.5">
      <c r="A6" s="2512" t="s">
        <v>656</v>
      </c>
      <c r="B6" s="2512">
        <f>SUM(G14:G23)</f>
        <v>1521</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f>ROUND(D14*1.1,0)</f>
        <v>1673</v>
      </c>
      <c r="E11" s="2686"/>
      <c r="F11" s="2687"/>
      <c r="G11" s="2687"/>
      <c r="H11" s="2688"/>
      <c r="I11" s="2688"/>
      <c r="J11" s="2688"/>
      <c r="K11" s="2688"/>
    </row>
    <row r="12" spans="1:11" ht="33">
      <c r="A12" s="2686"/>
      <c r="B12" s="2686"/>
      <c r="C12" s="2686" t="s">
        <v>3423</v>
      </c>
      <c r="D12" s="3820">
        <v>1652</v>
      </c>
      <c r="E12" s="3820">
        <v>33439</v>
      </c>
      <c r="F12" s="2687">
        <f>ROUND(E14*1.1,0)</f>
        <v>33880</v>
      </c>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493.95</v>
      </c>
      <c r="C14" s="2518"/>
      <c r="D14" s="2518">
        <f>ROUND(B14*E14/10000,0)</f>
        <v>1521</v>
      </c>
      <c r="E14" s="2518">
        <v>30800</v>
      </c>
      <c r="F14" s="2518" t="e">
        <f>ROUND(D14*10000/C14,0)</f>
        <v>#DIV/0!</v>
      </c>
      <c r="G14" s="2518">
        <f>D14</f>
        <v>1521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8" t="str">
        <f>项目基本情况!B1</f>
        <v>北京市东城区崇文门外大街5号5-1幢4层501办公用房房地产抵押价值预评估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1" t="str">
        <f>项目基本情况!S2</f>
        <v>北京市东城区崇文门外大街5号5-1幢4层501办公用房房地产</v>
      </c>
      <c r="B2" s="3602"/>
      <c r="C2" s="3602"/>
      <c r="D2" s="3602"/>
      <c r="E2" s="3602"/>
      <c r="F2" s="3602"/>
      <c r="G2" s="3602"/>
      <c r="H2" s="3602"/>
      <c r="I2" s="3603"/>
    </row>
    <row r="3" spans="1:12" ht="12.75">
      <c r="A3" s="3605" t="s">
        <v>1264</v>
      </c>
      <c r="B3" s="3606"/>
      <c r="C3" s="3606"/>
      <c r="D3" s="3606"/>
      <c r="E3" s="3606"/>
      <c r="F3" s="3606"/>
      <c r="G3" s="3606"/>
      <c r="H3" s="3606"/>
      <c r="I3" s="3606"/>
    </row>
    <row r="4" spans="1:12" ht="14.25">
      <c r="A4" s="1754" t="s">
        <v>1265</v>
      </c>
      <c r="B4" s="1755" t="s">
        <v>1266</v>
      </c>
      <c r="C4" s="1756"/>
      <c r="D4" s="1756"/>
      <c r="E4" s="3607" t="s">
        <v>1267</v>
      </c>
      <c r="F4" s="3608"/>
      <c r="G4" s="3608"/>
      <c r="H4" s="3608"/>
      <c r="I4" s="3609"/>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1" t="s">
        <v>1268</v>
      </c>
      <c r="B5" s="3568">
        <v>25</v>
      </c>
      <c r="C5" s="3584"/>
      <c r="D5" s="3604"/>
      <c r="E5" s="131" t="s">
        <v>1269</v>
      </c>
      <c r="F5" s="1757"/>
      <c r="G5" s="1757"/>
      <c r="H5" s="1757"/>
      <c r="I5" s="1373"/>
    </row>
    <row r="6" spans="1:12" ht="12.75">
      <c r="A6" s="3581"/>
      <c r="B6" s="3568"/>
      <c r="C6" s="3585"/>
      <c r="D6" s="3604"/>
      <c r="E6" s="131" t="s">
        <v>1270</v>
      </c>
      <c r="F6" s="1757"/>
      <c r="G6" s="1757"/>
      <c r="H6" s="1757"/>
      <c r="I6" s="1373"/>
    </row>
    <row r="7" spans="1:12" ht="12.75">
      <c r="A7" s="3581"/>
      <c r="B7" s="3568"/>
      <c r="C7" s="3586"/>
      <c r="D7" s="3604"/>
      <c r="E7" s="131" t="s">
        <v>1271</v>
      </c>
      <c r="F7" s="1757"/>
      <c r="G7" s="1757"/>
      <c r="H7" s="1757"/>
      <c r="I7" s="1373"/>
    </row>
    <row r="8" spans="1:12" ht="12.75">
      <c r="A8" s="3581" t="s">
        <v>1272</v>
      </c>
      <c r="B8" s="3568">
        <v>15</v>
      </c>
      <c r="C8" s="3584"/>
      <c r="D8" s="3604"/>
      <c r="E8" s="131" t="s">
        <v>1273</v>
      </c>
      <c r="F8" s="1757"/>
      <c r="G8" s="1757"/>
      <c r="H8" s="1757"/>
      <c r="I8" s="1373"/>
    </row>
    <row r="9" spans="1:12" ht="12.75">
      <c r="A9" s="3581"/>
      <c r="B9" s="3568"/>
      <c r="C9" s="3586"/>
      <c r="D9" s="3604"/>
      <c r="E9" s="131" t="s">
        <v>1274</v>
      </c>
      <c r="F9" s="1757"/>
      <c r="G9" s="1757"/>
      <c r="H9" s="1757"/>
      <c r="I9" s="1373"/>
    </row>
    <row r="10" spans="1:12" ht="12.75">
      <c r="A10" s="3581" t="s">
        <v>1275</v>
      </c>
      <c r="B10" s="3568">
        <v>15</v>
      </c>
      <c r="C10" s="3584"/>
      <c r="D10" s="3604"/>
      <c r="E10" s="131" t="s">
        <v>1276</v>
      </c>
      <c r="F10" s="1757"/>
      <c r="G10" s="1757"/>
      <c r="H10" s="1757"/>
      <c r="I10" s="1373"/>
    </row>
    <row r="11" spans="1:12" ht="12.75">
      <c r="A11" s="3581"/>
      <c r="B11" s="3568"/>
      <c r="C11" s="3586"/>
      <c r="D11" s="3604"/>
      <c r="E11" s="131" t="s">
        <v>1277</v>
      </c>
      <c r="F11" s="1757"/>
      <c r="G11" s="1757"/>
      <c r="H11" s="1757"/>
      <c r="I11" s="1373"/>
    </row>
    <row r="12" spans="1:12" ht="12.75">
      <c r="A12" s="3581" t="s">
        <v>1278</v>
      </c>
      <c r="B12" s="3568">
        <v>15</v>
      </c>
      <c r="C12" s="3584"/>
      <c r="D12" s="3604"/>
      <c r="E12" s="131" t="s">
        <v>1279</v>
      </c>
      <c r="F12" s="1757"/>
      <c r="G12" s="1757"/>
      <c r="H12" s="1757"/>
      <c r="I12" s="1373"/>
    </row>
    <row r="13" spans="1:12" ht="12.75">
      <c r="A13" s="3581"/>
      <c r="B13" s="3568"/>
      <c r="C13" s="3586"/>
      <c r="D13" s="3604"/>
      <c r="E13" s="131" t="s">
        <v>1280</v>
      </c>
      <c r="F13" s="1757"/>
      <c r="G13" s="1757"/>
      <c r="H13" s="1757"/>
      <c r="I13" s="1373"/>
    </row>
    <row r="14" spans="1:12" ht="12.75">
      <c r="A14" s="3581" t="s">
        <v>1281</v>
      </c>
      <c r="B14" s="3568">
        <v>30</v>
      </c>
      <c r="C14" s="3584"/>
      <c r="D14" s="3604"/>
      <c r="E14" s="131" t="s">
        <v>1282</v>
      </c>
      <c r="F14" s="1757"/>
      <c r="G14" s="1757"/>
      <c r="H14" s="1757"/>
      <c r="I14" s="1373"/>
    </row>
    <row r="15" spans="1:12" ht="12.75">
      <c r="A15" s="3581"/>
      <c r="B15" s="3568"/>
      <c r="C15" s="3585"/>
      <c r="D15" s="3604"/>
      <c r="E15" s="131" t="s">
        <v>1283</v>
      </c>
      <c r="F15" s="1757"/>
      <c r="G15" s="1757"/>
      <c r="H15" s="1757"/>
      <c r="I15" s="1373"/>
    </row>
    <row r="16" spans="1:12" ht="12.75">
      <c r="A16" s="3581"/>
      <c r="B16" s="3568"/>
      <c r="C16" s="3586"/>
      <c r="D16" s="3604"/>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1" t="s">
        <v>2131</v>
      </c>
      <c r="F18" s="3592"/>
      <c r="G18" s="3592"/>
      <c r="H18" s="3592"/>
      <c r="I18" s="359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5" t="s">
        <v>1299</v>
      </c>
      <c r="B24" s="1762" t="s">
        <v>1291</v>
      </c>
      <c r="C24" s="136">
        <f>IF(B30=0,0,D30)</f>
        <v>0</v>
      </c>
      <c r="D24" s="1769"/>
      <c r="E24" s="129"/>
      <c r="F24" s="129"/>
      <c r="G24" s="129"/>
      <c r="H24" s="129"/>
      <c r="I24" s="129"/>
    </row>
    <row r="25" spans="1:36" ht="14.25">
      <c r="A25" s="357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5" t="s">
        <v>1312</v>
      </c>
      <c r="B36" s="1787" t="s">
        <v>1313</v>
      </c>
      <c r="C36" s="145"/>
      <c r="D36" s="1788"/>
      <c r="E36" s="1789"/>
      <c r="F36" s="1790"/>
      <c r="G36" s="129"/>
      <c r="H36" s="129"/>
      <c r="I36" s="129"/>
    </row>
    <row r="37" spans="1:15" ht="15.75" thickBot="1">
      <c r="A37" s="3596"/>
      <c r="B37" s="1674" t="s">
        <v>1314</v>
      </c>
      <c r="C37" s="147"/>
      <c r="D37" s="1139"/>
      <c r="E37" s="1139"/>
      <c r="F37" s="1790"/>
      <c r="G37" s="129"/>
      <c r="H37" s="129"/>
      <c r="I37" s="129"/>
    </row>
    <row r="38" spans="1:15" ht="15.75" thickBot="1">
      <c r="A38" s="359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2" t="s">
        <v>1326</v>
      </c>
      <c r="B45" s="3573"/>
      <c r="C45" s="3574"/>
      <c r="D45" s="155" t="e">
        <f ca="1">ROUND(H101*F45,0)</f>
        <v>#REF!</v>
      </c>
      <c r="E45" s="156" t="s">
        <v>1327</v>
      </c>
      <c r="F45" s="157">
        <v>1</v>
      </c>
      <c r="G45" s="158" t="s">
        <v>1328</v>
      </c>
      <c r="H45" s="129"/>
      <c r="I45" s="129"/>
      <c r="J45" s="3650" t="s">
        <v>1329</v>
      </c>
      <c r="K45" s="3650"/>
      <c r="L45" s="3650"/>
      <c r="M45" s="3650"/>
      <c r="N45" s="3650"/>
      <c r="O45" s="3650"/>
    </row>
    <row r="46" spans="1:15" ht="14.25" customHeight="1">
      <c r="A46" s="3569" t="s">
        <v>1330</v>
      </c>
      <c r="B46" s="3570"/>
      <c r="C46" s="3570"/>
      <c r="D46" s="3570"/>
      <c r="E46" s="3570"/>
      <c r="F46" s="3570"/>
      <c r="G46" s="3571"/>
      <c r="H46" s="1806"/>
      <c r="I46" s="159"/>
      <c r="J46" s="2523">
        <v>1</v>
      </c>
      <c r="K46" s="3631" t="s">
        <v>1331</v>
      </c>
      <c r="L46" s="3631"/>
      <c r="M46" s="3651"/>
      <c r="N46" s="3651"/>
      <c r="O46" s="3651"/>
    </row>
    <row r="47" spans="1:15" ht="12" customHeight="1">
      <c r="A47" s="160" t="s">
        <v>1332</v>
      </c>
      <c r="B47" s="161"/>
      <c r="C47" s="162"/>
      <c r="D47" s="1087" t="s">
        <v>1333</v>
      </c>
      <c r="E47" s="302" t="s">
        <v>1334</v>
      </c>
      <c r="F47" s="163" t="s">
        <v>1335</v>
      </c>
      <c r="G47" s="2546" t="s">
        <v>1336</v>
      </c>
      <c r="H47" s="2547"/>
      <c r="I47" s="159"/>
      <c r="J47" s="2523">
        <v>2</v>
      </c>
      <c r="K47" s="3631" t="s">
        <v>1337</v>
      </c>
      <c r="L47" s="3631"/>
      <c r="M47" s="3652">
        <f>'数据-取费表'!B2</f>
        <v>45902</v>
      </c>
      <c r="N47" s="3652"/>
      <c r="O47" s="3652"/>
    </row>
    <row r="48" spans="1:15" ht="25.5">
      <c r="A48" s="3600" t="s">
        <v>1338</v>
      </c>
      <c r="B48" s="3583"/>
      <c r="C48" s="3583"/>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1" t="s">
        <v>1340</v>
      </c>
      <c r="L48" s="3631"/>
      <c r="M48" s="3653" t="e">
        <f ca="1">H101</f>
        <v>#REF!</v>
      </c>
      <c r="N48" s="3653"/>
      <c r="O48" s="3653"/>
    </row>
    <row r="49" spans="1:35" ht="25.5" customHeight="1">
      <c r="A49" s="2333" t="s">
        <v>1341</v>
      </c>
      <c r="B49" s="3567" t="s">
        <v>1342</v>
      </c>
      <c r="C49" s="3567"/>
      <c r="D49" s="1590">
        <v>0</v>
      </c>
      <c r="E49" s="324" t="s">
        <v>1343</v>
      </c>
      <c r="F49" s="2424" t="s">
        <v>28</v>
      </c>
      <c r="G49" s="3637"/>
      <c r="H49" s="2310" t="s">
        <v>2134</v>
      </c>
      <c r="I49" s="2311"/>
      <c r="J49" s="2523">
        <v>4</v>
      </c>
      <c r="K49" s="3631" t="str">
        <f>IF(项目基本情况!E8="房地产抵押价值","房地产抵押价值","抵押担保权已注销时的房地产抵押价值")</f>
        <v>房地产抵押价值</v>
      </c>
      <c r="L49" s="3631"/>
      <c r="M49" s="3653" t="str">
        <f ca="1">IF(项目基本情况!E8="房地产抵押价值",H107,H109)</f>
        <v>——</v>
      </c>
      <c r="N49" s="3653"/>
      <c r="O49" s="3653"/>
    </row>
    <row r="50" spans="1:35" ht="25.5" customHeight="1">
      <c r="A50" s="2551"/>
      <c r="B50" s="3567" t="s">
        <v>1344</v>
      </c>
      <c r="C50" s="3567"/>
      <c r="D50" s="2552"/>
      <c r="E50" s="332"/>
      <c r="F50" s="2424"/>
      <c r="G50" s="3638"/>
      <c r="H50" s="2312" t="s">
        <v>2135</v>
      </c>
      <c r="I50" s="2311"/>
      <c r="J50" s="3650" t="s">
        <v>1345</v>
      </c>
      <c r="K50" s="3650"/>
      <c r="L50" s="3650"/>
      <c r="M50" s="3650"/>
      <c r="N50" s="3650"/>
      <c r="O50" s="3650"/>
    </row>
    <row r="51" spans="1:35" ht="20.45" customHeight="1">
      <c r="A51" s="2553"/>
      <c r="B51" s="3567" t="s">
        <v>1346</v>
      </c>
      <c r="C51" s="3567"/>
      <c r="D51" s="1087"/>
      <c r="E51" s="327"/>
      <c r="F51" s="2424"/>
      <c r="G51" s="3639"/>
      <c r="H51" s="2312" t="s">
        <v>2136</v>
      </c>
      <c r="I51" s="2311"/>
      <c r="J51" s="2524" t="s">
        <v>1347</v>
      </c>
      <c r="K51" s="3631" t="s">
        <v>1348</v>
      </c>
      <c r="L51" s="3631"/>
      <c r="M51" s="2524" t="s">
        <v>1349</v>
      </c>
      <c r="N51" s="2524" t="s">
        <v>1350</v>
      </c>
      <c r="O51" s="2524" t="s">
        <v>1351</v>
      </c>
    </row>
    <row r="52" spans="1:35" ht="24" customHeight="1">
      <c r="A52" s="2335" t="s">
        <v>1352</v>
      </c>
      <c r="B52" s="3567" t="s">
        <v>1353</v>
      </c>
      <c r="C52" s="3567"/>
      <c r="D52" s="1087" t="e">
        <f ca="1">ROUND(D45*'数据-取费表'!B41/(1+'数据-取费表'!C42),0)</f>
        <v>#REF!</v>
      </c>
      <c r="E52" s="2334" t="s">
        <v>1354</v>
      </c>
      <c r="F52" s="2554">
        <f>'数据-取费表'!B41</f>
        <v>0</v>
      </c>
      <c r="G52" s="2555"/>
      <c r="H52" s="2544"/>
      <c r="I52" s="1807"/>
      <c r="J52" s="2523">
        <v>1</v>
      </c>
      <c r="K52" s="3632" t="s">
        <v>1355</v>
      </c>
      <c r="L52" s="3632"/>
      <c r="M52" s="2525" t="b">
        <f>D48</f>
        <v>0</v>
      </c>
      <c r="N52" s="2523" t="str">
        <f>E48</f>
        <v>销售额×税（费）率</v>
      </c>
      <c r="O52" s="2526">
        <f>F48</f>
        <v>0</v>
      </c>
    </row>
    <row r="53" spans="1:35" ht="12" customHeight="1">
      <c r="A53" s="2335" t="s">
        <v>1356</v>
      </c>
      <c r="B53" s="3593" t="s">
        <v>2291</v>
      </c>
      <c r="C53" s="3594"/>
      <c r="D53" s="1087" t="e">
        <f ca="1">ROUND(D45*'数据-取费表'!B41/(1+'数据-取费表'!C42),0)</f>
        <v>#REF!</v>
      </c>
      <c r="E53" s="2334" t="s">
        <v>1354</v>
      </c>
      <c r="F53" s="2554">
        <f>'数据-取费表'!B41</f>
        <v>0</v>
      </c>
      <c r="G53" s="2555"/>
      <c r="H53" s="2544"/>
      <c r="I53" s="1807"/>
      <c r="J53" s="2523">
        <v>2</v>
      </c>
      <c r="K53" s="3632" t="s">
        <v>1357</v>
      </c>
      <c r="L53" s="3632"/>
      <c r="M53" s="2525" t="e">
        <f t="shared" ref="M53:O54" ca="1" si="0">D55</f>
        <v>#REF!</v>
      </c>
      <c r="N53" s="2523" t="str">
        <f t="shared" si="0"/>
        <v>销售额×税（费）率</v>
      </c>
      <c r="O53" s="2526" t="str">
        <f t="shared" si="0"/>
        <v>免征</v>
      </c>
    </row>
    <row r="54" spans="1:35" ht="12" customHeight="1">
      <c r="A54" s="2335" t="s">
        <v>1358</v>
      </c>
      <c r="B54" s="3593" t="s">
        <v>2292</v>
      </c>
      <c r="C54" s="3594"/>
      <c r="D54" s="1087" t="e">
        <f ca="1">C68</f>
        <v>#REF!</v>
      </c>
      <c r="E54" s="327" t="s">
        <v>1359</v>
      </c>
      <c r="F54" s="2554">
        <f>'数据-取费表'!B41</f>
        <v>0</v>
      </c>
      <c r="G54" s="2555"/>
      <c r="H54" s="2556"/>
      <c r="I54" s="1807"/>
      <c r="J54" s="2523">
        <v>3</v>
      </c>
      <c r="K54" s="3632" t="s">
        <v>1360</v>
      </c>
      <c r="L54" s="3632"/>
      <c r="M54" s="2525" t="e">
        <f t="shared" ca="1" si="0"/>
        <v>#REF!</v>
      </c>
      <c r="N54" s="2523" t="str">
        <f t="shared" si="0"/>
        <v>增值额×税（费）率</v>
      </c>
      <c r="O54" s="2527" t="str">
        <f t="shared" si="0"/>
        <v>免征</v>
      </c>
    </row>
    <row r="55" spans="1:35" ht="24" customHeight="1">
      <c r="A55" s="3582" t="s">
        <v>1361</v>
      </c>
      <c r="B55" s="3583"/>
      <c r="C55" s="3583"/>
      <c r="D55" s="2324" t="e">
        <f ca="1">IF(H55="个人住宅",0,ROUND(D45*I55,0))</f>
        <v>#REF!</v>
      </c>
      <c r="E55" s="2334" t="s">
        <v>1362</v>
      </c>
      <c r="F55" s="2554" t="str">
        <f>IF(H55="正常",I55,"免征")</f>
        <v>免征</v>
      </c>
      <c r="G55" s="2555"/>
      <c r="H55" s="2550"/>
      <c r="I55" s="165">
        <f>'数据-取费表'!B49</f>
        <v>0</v>
      </c>
      <c r="J55" s="2523">
        <f>IF(H59="非个人房产","",4)</f>
        <v>4</v>
      </c>
      <c r="K55" s="3632" t="str">
        <f>IF(H59="非个人房产","——","个人所得税")</f>
        <v>个人所得税</v>
      </c>
      <c r="L55" s="3632"/>
      <c r="M55" s="2528" t="e">
        <f ca="1">D59</f>
        <v>#REF!</v>
      </c>
      <c r="N55" s="2040" t="str">
        <f>E59</f>
        <v>差额计税</v>
      </c>
      <c r="O55" s="2529">
        <f>F59</f>
        <v>0.01</v>
      </c>
    </row>
    <row r="56" spans="1:35" ht="24.75">
      <c r="A56" s="3582" t="s">
        <v>1363</v>
      </c>
      <c r="B56" s="3583"/>
      <c r="C56" s="3583"/>
      <c r="D56" s="2324" t="e">
        <f ca="1">IF(H56="个人住宅",D57,D58)</f>
        <v>#REF!</v>
      </c>
      <c r="E56" s="2334" t="s">
        <v>1364</v>
      </c>
      <c r="F56" s="2554" t="str">
        <f>IF(H56="正常",F58,"免征")</f>
        <v>免征</v>
      </c>
      <c r="G56" s="2557" t="s">
        <v>1365</v>
      </c>
      <c r="H56" s="2558"/>
      <c r="I56" s="1808"/>
      <c r="J56" s="2523" t="str">
        <f>IF(项目基本情况!K6="上海银行",IF(J55="",4,J55+1),"")</f>
        <v/>
      </c>
      <c r="K56" s="3655" t="str">
        <f>IF(项目基本情况!K6="上海银行","其他处置费用","")</f>
        <v/>
      </c>
      <c r="L56" s="3656"/>
      <c r="M56" s="2525" t="str">
        <f>IF(项目基本情况!K6="上海银行",M69,"")</f>
        <v/>
      </c>
      <c r="N56" s="3655" t="str">
        <f>IF(项目基本情况!K6="上海银行","包含处置中涉及的律师、诉讼、拍卖、评估等费用","")</f>
        <v/>
      </c>
      <c r="O56" s="3658"/>
    </row>
    <row r="57" spans="1:35" ht="12.75">
      <c r="A57" s="2335" t="s">
        <v>1341</v>
      </c>
      <c r="B57" s="3593" t="s">
        <v>1366</v>
      </c>
      <c r="C57" s="3594"/>
      <c r="D57" s="1590">
        <v>0</v>
      </c>
      <c r="E57" s="324" t="s">
        <v>1343</v>
      </c>
      <c r="F57" s="302"/>
      <c r="G57" s="2555"/>
      <c r="H57" s="2559"/>
      <c r="I57" s="1808"/>
      <c r="J57" s="3632">
        <f>IF(AND(J55="",J56=""),4,IF(项目基本情况!K6="上海银行",结果表!J56+1,结果表!J55+1))</f>
        <v>5</v>
      </c>
      <c r="K57" s="3632" t="s">
        <v>1367</v>
      </c>
      <c r="L57" s="2530" t="s">
        <v>1368</v>
      </c>
      <c r="M57" s="2531"/>
      <c r="N57" s="2532">
        <f ca="1">SUMIF(M52:M56,"&lt;9e307")</f>
        <v>0</v>
      </c>
      <c r="O57" s="2533"/>
      <c r="P57" s="2690" t="e">
        <f ca="1">N57/M49</f>
        <v>#VALUE!</v>
      </c>
    </row>
    <row r="58" spans="1:35" ht="24.75">
      <c r="A58" s="2335" t="s">
        <v>1352</v>
      </c>
      <c r="B58" s="3593" t="s">
        <v>1369</v>
      </c>
      <c r="C58" s="3567"/>
      <c r="D58" s="2324" t="e">
        <f ca="1">IF(H58="转让取得",C81,C97)</f>
        <v>#REF!</v>
      </c>
      <c r="E58" s="2334" t="s">
        <v>1364</v>
      </c>
      <c r="F58" s="302" t="s">
        <v>28</v>
      </c>
      <c r="G58" s="2555"/>
      <c r="H58" s="2558"/>
      <c r="I58" s="1808"/>
      <c r="J58" s="3632"/>
      <c r="K58" s="3632"/>
      <c r="L58" s="2530" t="s">
        <v>1370</v>
      </c>
      <c r="M58" s="2534"/>
      <c r="N58" s="2535" t="str">
        <f ca="1">NUMBERSTRING(INT(N57*10000),2)&amp;"元整"</f>
        <v>零元整</v>
      </c>
      <c r="O58" s="2536"/>
    </row>
    <row r="59" spans="1:35" ht="24.75" thickBot="1">
      <c r="A59" s="3635" t="s">
        <v>1371</v>
      </c>
      <c r="B59" s="3636"/>
      <c r="C59" s="363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3">
        <f>J57+1</f>
        <v>6</v>
      </c>
      <c r="K59" s="3632" t="s">
        <v>1372</v>
      </c>
      <c r="L59" s="2523" t="s">
        <v>1368</v>
      </c>
      <c r="M59" s="2537"/>
      <c r="N59" s="2538" t="e">
        <f ca="1">M49-N57</f>
        <v>#VALUE!</v>
      </c>
      <c r="O59" s="2539"/>
    </row>
    <row r="60" spans="1:35" ht="12" customHeight="1">
      <c r="A60" s="1809"/>
      <c r="B60" s="1747"/>
      <c r="C60" s="1747"/>
      <c r="D60" s="1747"/>
      <c r="E60" s="1578"/>
      <c r="F60" s="1808"/>
      <c r="G60" s="1808"/>
      <c r="H60" s="1810"/>
      <c r="I60" s="129"/>
      <c r="J60" s="3634"/>
      <c r="K60" s="3632"/>
      <c r="L60" s="2530" t="s">
        <v>1370</v>
      </c>
      <c r="M60" s="2534"/>
      <c r="N60" s="2535" t="e">
        <f ca="1">NUMBERSTRING(INT(N59*10000),2)&amp;"元整"</f>
        <v>#VALUE!</v>
      </c>
      <c r="O60" s="2536"/>
    </row>
    <row r="61" spans="1:35" ht="13.5" thickBot="1">
      <c r="A61" s="3580" t="s">
        <v>1373</v>
      </c>
      <c r="B61" s="3580"/>
      <c r="C61" s="3580"/>
      <c r="D61" s="3580"/>
      <c r="E61" s="3580"/>
      <c r="F61" s="1808"/>
      <c r="G61" s="1808"/>
      <c r="H61" s="1810"/>
      <c r="I61" s="129"/>
      <c r="J61" s="2523">
        <f>J59+1</f>
        <v>7</v>
      </c>
      <c r="K61" s="3632" t="s">
        <v>1374</v>
      </c>
      <c r="L61" s="3632"/>
      <c r="M61" s="2540"/>
      <c r="N61" s="2541" t="e">
        <f ca="1">ROUND(N59*10000/'数据-汇总表'!E3,0)</f>
        <v>#VALUE!</v>
      </c>
      <c r="O61" s="2542"/>
    </row>
    <row r="62" spans="1:35" ht="12.75">
      <c r="A62" s="3598" t="s">
        <v>1375</v>
      </c>
      <c r="B62" s="3599"/>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57"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7"/>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57"/>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57"/>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7"/>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57"/>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57"/>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9" t="s">
        <v>1394</v>
      </c>
      <c r="B70" s="3620"/>
      <c r="C70" s="3620"/>
      <c r="D70" s="3620"/>
      <c r="E70" s="3620"/>
      <c r="F70" s="3620"/>
      <c r="G70" s="3620"/>
      <c r="H70" s="362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8" t="s">
        <v>1375</v>
      </c>
      <c r="B71" s="359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3" t="s">
        <v>1402</v>
      </c>
      <c r="F76" s="3567"/>
      <c r="G76" s="3567"/>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77" t="s">
        <v>1406</v>
      </c>
      <c r="F78" s="3578"/>
      <c r="G78" s="3578"/>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9" t="s">
        <v>1410</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9" t="s">
        <v>2129</v>
      </c>
      <c r="H90" s="366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7" t="s">
        <v>1419</v>
      </c>
      <c r="F91" s="3578"/>
      <c r="G91" s="357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7" t="s">
        <v>1422</v>
      </c>
      <c r="F92" s="3578"/>
      <c r="G92" s="3578"/>
      <c r="H92" s="358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77" t="s">
        <v>1406</v>
      </c>
      <c r="F93" s="3578"/>
      <c r="G93" s="3578"/>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8" t="s">
        <v>1426</v>
      </c>
      <c r="F94" s="3589"/>
      <c r="G94" s="3589"/>
      <c r="H94" s="359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1" t="s">
        <v>1428</v>
      </c>
      <c r="B100" s="3562"/>
      <c r="C100" s="3562"/>
      <c r="D100" s="3579"/>
      <c r="E100" s="3562" t="s">
        <v>1429</v>
      </c>
      <c r="F100" s="3562"/>
      <c r="G100" s="3562"/>
      <c r="H100" s="3579"/>
      <c r="I100" s="129"/>
    </row>
    <row r="101" spans="1:35" ht="18.75" customHeight="1">
      <c r="A101" s="3640" t="s">
        <v>1430</v>
      </c>
      <c r="B101" s="3641"/>
      <c r="C101" s="2585">
        <f>C4</f>
        <v>0</v>
      </c>
      <c r="D101" s="2586">
        <f>D4</f>
        <v>0</v>
      </c>
      <c r="E101" s="3654" t="s">
        <v>1431</v>
      </c>
      <c r="F101" s="3611"/>
      <c r="G101" s="1827" t="s">
        <v>1432</v>
      </c>
      <c r="H101" s="2595" t="e">
        <f ca="1">H118</f>
        <v>#REF!</v>
      </c>
      <c r="I101" s="129"/>
    </row>
    <row r="102" spans="1:35" ht="18.75" customHeight="1">
      <c r="A102" s="3613" t="s">
        <v>1433</v>
      </c>
      <c r="B102" s="2584" t="s">
        <v>1432</v>
      </c>
      <c r="C102" s="2585" t="e">
        <f ca="1">IF(D32="楼面单价",ROUND(C19,0),C19)</f>
        <v>#REF!</v>
      </c>
      <c r="D102" s="2586" t="e">
        <f ca="1">IF(D32="楼面单价",ROUND(D19,0),D19)</f>
        <v>#REF!</v>
      </c>
      <c r="E102" s="3654"/>
      <c r="F102" s="3611"/>
      <c r="G102" s="1827" t="s">
        <v>1434</v>
      </c>
      <c r="H102" s="2555" t="e">
        <f ca="1">I118</f>
        <v>#REF!</v>
      </c>
      <c r="I102" s="129"/>
    </row>
    <row r="103" spans="1:35" ht="42.75" customHeight="1">
      <c r="A103" s="3613"/>
      <c r="B103" s="2584" t="s">
        <v>1434</v>
      </c>
      <c r="C103" s="2587" t="e">
        <f ca="1">C20</f>
        <v>#REF!</v>
      </c>
      <c r="D103" s="2588" t="e">
        <f ca="1">D20</f>
        <v>#REF!</v>
      </c>
      <c r="E103" s="3648" t="s">
        <v>1435</v>
      </c>
      <c r="F103" s="3649"/>
      <c r="G103" s="1828" t="s">
        <v>1436</v>
      </c>
      <c r="H103" s="2595">
        <f>IF(D36="正常操作",H104+H105+H106,H105+H106)</f>
        <v>0</v>
      </c>
      <c r="I103" s="129"/>
    </row>
    <row r="104" spans="1:35" ht="18.75" customHeight="1">
      <c r="A104" s="361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0" t="str">
        <f>IF(项目基本情况!E8="已注销","——","3.房地产抵押价值")</f>
        <v>3.房地产抵押价值</v>
      </c>
      <c r="F107" s="3611"/>
      <c r="G107" s="1827" t="s">
        <v>1432</v>
      </c>
      <c r="H107" s="2595" t="e">
        <f ca="1">IF(E107="——","——",H101-H103)</f>
        <v>#REF!</v>
      </c>
      <c r="I107" s="129"/>
    </row>
    <row r="108" spans="1:35" ht="18.75" customHeight="1">
      <c r="A108" s="129"/>
      <c r="B108" s="129"/>
      <c r="C108" s="129"/>
      <c r="D108" s="129"/>
      <c r="E108" s="3610"/>
      <c r="F108" s="3611"/>
      <c r="G108" s="1827" t="s">
        <v>1434</v>
      </c>
      <c r="H108" s="2555">
        <f ca="1">IF(H107=H101,H102,ROUND(H107*10000/'数据-汇总表'!E3,0))</f>
        <v>0</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611"/>
      <c r="G109" s="1827" t="s">
        <v>1432</v>
      </c>
      <c r="H109" s="2598" t="str">
        <f>IF(E109="——","——",H101-H105-H106)</f>
        <v>——</v>
      </c>
      <c r="I109" s="129"/>
    </row>
    <row r="110" spans="1:35" ht="18.75" customHeight="1">
      <c r="A110" s="129"/>
      <c r="B110" s="129"/>
      <c r="C110" s="129"/>
      <c r="D110" s="129"/>
      <c r="E110" s="3610"/>
      <c r="F110" s="3611"/>
      <c r="G110" s="1827" t="s">
        <v>1434</v>
      </c>
      <c r="H110" s="2555" t="str">
        <f>IF(H109="——","——",ROUND(H109*10000/'数据-汇总表'!E3,0))</f>
        <v>——</v>
      </c>
      <c r="I110" s="129"/>
    </row>
    <row r="111" spans="1:35" ht="18.75" customHeight="1">
      <c r="A111" s="129"/>
      <c r="B111" s="129"/>
      <c r="C111" s="129"/>
      <c r="D111" s="129"/>
      <c r="E111" s="3642" t="str">
        <f>IF(项目基本情况!E9="抵押净值",IF(OR(项目基本情况!E8="已注销",项目基本情况!E8="房地产抵押价值"),"4.抵押净值","5.抵押净值"),"——")</f>
        <v>——</v>
      </c>
      <c r="F111" s="3612"/>
      <c r="G111" s="1827" t="s">
        <v>1432</v>
      </c>
      <c r="H111" s="2595" t="str">
        <f>IF(E111="——","——",N59)</f>
        <v>——</v>
      </c>
      <c r="I111" s="129"/>
    </row>
    <row r="112" spans="1:35" ht="18.75" customHeight="1" thickBot="1">
      <c r="A112" s="129"/>
      <c r="B112" s="129"/>
      <c r="C112" s="129"/>
      <c r="D112" s="129"/>
      <c r="E112" s="3643"/>
      <c r="F112" s="3644"/>
      <c r="G112" s="1830" t="s">
        <v>1434</v>
      </c>
      <c r="H112" s="2599" t="str">
        <f>IF(E111="——","——",N61)</f>
        <v>——</v>
      </c>
      <c r="I112" s="129"/>
    </row>
    <row r="113" spans="1:27" ht="18.75" customHeight="1">
      <c r="A113" s="129"/>
      <c r="B113" s="129"/>
      <c r="C113" s="129"/>
      <c r="D113" s="129"/>
      <c r="E113" s="3615" t="s">
        <v>1440</v>
      </c>
      <c r="F113" s="3615"/>
      <c r="G113" s="3615"/>
      <c r="H113" s="3615"/>
      <c r="I113" s="129"/>
    </row>
    <row r="114" spans="1:27" ht="3.75" customHeight="1">
      <c r="A114" s="1747"/>
      <c r="B114" s="1747"/>
      <c r="C114" s="1747"/>
      <c r="D114" s="1747"/>
      <c r="E114" s="1809"/>
      <c r="F114" s="1809"/>
      <c r="G114" s="1809"/>
      <c r="H114" s="1809"/>
      <c r="I114" s="1747"/>
    </row>
    <row r="115" spans="1:27" ht="18.75" customHeight="1">
      <c r="A115" s="3625" t="s">
        <v>1442</v>
      </c>
      <c r="B115" s="3626"/>
      <c r="C115" s="3626"/>
      <c r="D115" s="3626"/>
      <c r="E115" s="3626"/>
      <c r="F115" s="3626"/>
      <c r="G115" s="3626"/>
      <c r="H115" s="3626"/>
      <c r="I115" s="3627"/>
    </row>
    <row r="116" spans="1:27" ht="27" customHeight="1">
      <c r="A116" s="3581" t="s">
        <v>1443</v>
      </c>
      <c r="B116" s="3616" t="s">
        <v>1444</v>
      </c>
      <c r="C116" s="3616" t="s">
        <v>1445</v>
      </c>
      <c r="D116" s="3629" t="s">
        <v>1446</v>
      </c>
      <c r="E116" s="3630"/>
      <c r="F116" s="3624" t="s">
        <v>1447</v>
      </c>
      <c r="G116" s="3624"/>
      <c r="H116" s="3581" t="s">
        <v>1448</v>
      </c>
      <c r="I116" s="3581"/>
    </row>
    <row r="117" spans="1:27" ht="18.75" customHeight="1">
      <c r="A117" s="3581"/>
      <c r="B117" s="3617"/>
      <c r="C117" s="3617"/>
      <c r="D117" s="2329" t="s">
        <v>1449</v>
      </c>
      <c r="E117" s="2329" t="s">
        <v>1450</v>
      </c>
      <c r="F117" s="2329" t="s">
        <v>1449</v>
      </c>
      <c r="G117" s="2329" t="s">
        <v>1451</v>
      </c>
      <c r="H117" s="2329" t="s">
        <v>1449</v>
      </c>
      <c r="I117" s="2329" t="s">
        <v>1451</v>
      </c>
    </row>
    <row r="118" spans="1:27" ht="24.75" customHeight="1">
      <c r="A118" s="2600" t="str">
        <f>项目基本情况!S2</f>
        <v>北京市东城区崇文门外大街5号5-1幢4层501办公用房房地产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1" t="s">
        <v>1452</v>
      </c>
      <c r="B119" s="3581"/>
      <c r="C119" s="3581"/>
      <c r="D119" s="3621" t="e">
        <f ca="1">NUMBERSTRING(INT(D118*10000),2)&amp;"元整"</f>
        <v>#REF!</v>
      </c>
      <c r="E119" s="3623"/>
      <c r="F119" s="3621" t="e">
        <f ca="1">NUMBERSTRING(INT(F118*10000),2)&amp;"元整"</f>
        <v>#REF!</v>
      </c>
      <c r="G119" s="3623"/>
      <c r="H119" s="3621" t="e">
        <f ca="1">NUMBERSTRING(INT(H118*10000),2)&amp;"元整"</f>
        <v>#REF!</v>
      </c>
      <c r="I119" s="3623"/>
    </row>
    <row r="120" spans="1:27" ht="18.75" customHeight="1">
      <c r="A120" s="3645" t="str">
        <f>IF(项目基本情况!B9="房地产市场价值","",MID(E103,3,LEN(E103)-2))</f>
        <v>估价师知悉的法定优先受偿款</v>
      </c>
      <c r="B120" s="3646"/>
      <c r="C120" s="3647"/>
      <c r="D120" s="3645">
        <f>H103</f>
        <v>0</v>
      </c>
      <c r="E120" s="3646"/>
      <c r="F120" s="3646"/>
      <c r="G120" s="3646"/>
      <c r="H120" s="3646"/>
      <c r="I120" s="364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1" t="s">
        <v>1452</v>
      </c>
      <c r="B121" s="3622"/>
      <c r="C121" s="3623"/>
      <c r="D121" s="3621" t="str">
        <f>IF(D120=0,"零元整",NUMBERSTRING(INT(D120*10000),2)&amp;"元整")</f>
        <v>零元整</v>
      </c>
      <c r="E121" s="3622"/>
      <c r="F121" s="3622"/>
      <c r="G121" s="3622"/>
      <c r="H121" s="3622"/>
      <c r="I121" s="3623"/>
      <c r="AA121" s="725"/>
    </row>
    <row r="122" spans="1:27" ht="18.75" customHeight="1">
      <c r="A122" s="3612" t="str">
        <f>IF(项目基本情况!B9="房地产市场价值","",MID(E107,3,LEN(E107)-2))</f>
        <v>房地产抵押价值</v>
      </c>
      <c r="B122" s="3612"/>
      <c r="C122" s="3612"/>
      <c r="D122" s="3645" t="e">
        <f ca="1">H107</f>
        <v>#REF!</v>
      </c>
      <c r="E122" s="3646"/>
      <c r="F122" s="3646"/>
      <c r="G122" s="3646"/>
      <c r="H122" s="3646"/>
      <c r="I122" s="3647"/>
      <c r="AA122" s="725"/>
    </row>
    <row r="123" spans="1:27" ht="18.75" customHeight="1">
      <c r="A123" s="3581" t="s">
        <v>1452</v>
      </c>
      <c r="B123" s="3581"/>
      <c r="C123" s="3581"/>
      <c r="D123" s="3621" t="e">
        <f ca="1">NUMBERSTRING(INT(D122*10000),2)&amp;"元整"</f>
        <v>#REF!</v>
      </c>
      <c r="E123" s="3622"/>
      <c r="F123" s="3622"/>
      <c r="G123" s="3622"/>
      <c r="H123" s="3622"/>
      <c r="I123" s="3623"/>
      <c r="AA123" s="725"/>
    </row>
    <row r="124" spans="1:27" ht="18.75" customHeight="1">
      <c r="A124" s="3612" t="str">
        <f>IF(项目基本情况!B9="房地产市场价值","",MID(E109,3,LEN(E109)-2))</f>
        <v/>
      </c>
      <c r="B124" s="3612"/>
      <c r="C124" s="3612"/>
      <c r="D124" s="3645" t="str">
        <f>H109</f>
        <v>——</v>
      </c>
      <c r="E124" s="3646"/>
      <c r="F124" s="3646"/>
      <c r="G124" s="3646"/>
      <c r="H124" s="3646"/>
      <c r="I124" s="3647"/>
      <c r="AA124" s="725"/>
    </row>
    <row r="125" spans="1:27" ht="18.75" customHeight="1">
      <c r="A125" s="3581" t="s">
        <v>1452</v>
      </c>
      <c r="B125" s="3581"/>
      <c r="C125" s="3581"/>
      <c r="D125" s="3621" t="e">
        <f>NUMBERSTRING(INT(D124*10000),2)&amp;"元整"</f>
        <v>#VALUE!</v>
      </c>
      <c r="E125" s="3622"/>
      <c r="F125" s="3622"/>
      <c r="G125" s="3622"/>
      <c r="H125" s="3622"/>
      <c r="I125" s="3623"/>
      <c r="AA125" s="725"/>
    </row>
    <row r="126" spans="1:27" ht="18.75" customHeight="1">
      <c r="A126" s="3612" t="str">
        <f>IF(项目基本情况!B9="房地产市场价值","",MID(E111,3,LEN(E111)-2))</f>
        <v/>
      </c>
      <c r="B126" s="3612"/>
      <c r="C126" s="3612"/>
      <c r="D126" s="3645" t="str">
        <f>H111</f>
        <v>——</v>
      </c>
      <c r="E126" s="3646"/>
      <c r="F126" s="3646"/>
      <c r="G126" s="3646"/>
      <c r="H126" s="3646"/>
      <c r="I126" s="3647"/>
      <c r="AA126" s="725"/>
    </row>
    <row r="127" spans="1:27" ht="18.75" customHeight="1">
      <c r="A127" s="3581" t="s">
        <v>1452</v>
      </c>
      <c r="B127" s="3581"/>
      <c r="C127" s="3581"/>
      <c r="D127" s="3621" t="e">
        <f>NUMBERSTRING(INT(D126*10000),2)&amp;"元整"</f>
        <v>#VALUE!</v>
      </c>
      <c r="E127" s="3622"/>
      <c r="F127" s="3622"/>
      <c r="G127" s="3622"/>
      <c r="H127" s="3622"/>
      <c r="I127" s="3623"/>
      <c r="AA127" s="725"/>
    </row>
    <row r="128" spans="1:27" ht="21.75" customHeight="1">
      <c r="A128" s="3628" t="s">
        <v>1453</v>
      </c>
      <c r="B128" s="3628"/>
      <c r="C128" s="3628"/>
      <c r="D128" s="3628"/>
      <c r="E128" s="3628"/>
      <c r="F128" s="3628"/>
      <c r="G128" s="3628"/>
      <c r="H128" s="3628"/>
      <c r="I128" s="362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1" t="s">
        <v>1544</v>
      </c>
    </row>
    <row r="43" spans="1:7" ht="13.5" customHeight="1">
      <c r="A43" s="780" t="s">
        <v>347</v>
      </c>
      <c r="B43" s="215" t="s">
        <v>1545</v>
      </c>
      <c r="C43" s="238" t="e">
        <f ca="1">ROUND(IF('数据-取费表'!B22&lt;=1,C39*F22*'数据-取费表'!B21/2,C39*(POWER((1+F22),'数据-取费表'!B21/2)-1)),0)</f>
        <v>#VALUE!</v>
      </c>
      <c r="D43" s="238"/>
      <c r="E43" s="238"/>
      <c r="F43" s="239"/>
      <c r="G43" s="3662"/>
    </row>
    <row r="44" spans="1:7" ht="13.5" customHeight="1">
      <c r="A44" s="780" t="s">
        <v>348</v>
      </c>
      <c r="B44" s="215" t="s">
        <v>1546</v>
      </c>
      <c r="C44" s="238" t="e">
        <f ca="1">ROUND(IF('数据-取费表'!B22&lt;=1,C40*F22*'数据-取费表'!B21/2,C40*(POWER((1+F22),'数据-取费表'!B21/2)-1)),4)</f>
        <v>#VALUE!</v>
      </c>
      <c r="D44" s="238"/>
      <c r="E44" s="238"/>
      <c r="F44" s="239"/>
      <c r="G44" s="366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1" t="s">
        <v>1591</v>
      </c>
    </row>
    <row r="43" spans="1:7" ht="13.5" customHeight="1">
      <c r="A43" s="780" t="s">
        <v>347</v>
      </c>
      <c r="B43" s="215" t="s">
        <v>1545</v>
      </c>
      <c r="C43" s="238" t="e">
        <f ca="1">ROUND(IF('数据-取费表'!B22&lt;=1,C39*F22*'数据-取费表'!B20/2,C39*(POWER((1+F22),'数据-取费表'!B20/2)-1)),0)</f>
        <v>#VALUE!</v>
      </c>
      <c r="D43" s="238"/>
      <c r="E43" s="238"/>
      <c r="F43" s="239"/>
      <c r="G43" s="3662"/>
    </row>
    <row r="44" spans="1:7" ht="13.5" customHeight="1">
      <c r="A44" s="780" t="s">
        <v>348</v>
      </c>
      <c r="B44" s="215" t="s">
        <v>1546</v>
      </c>
      <c r="C44" s="238" t="e">
        <f ca="1">ROUND(IF('数据-取费表'!B22&lt;=1,C40*F22*'数据-取费表'!B20/2,C40*(POWER((1+F22),'数据-取费表'!B20/2)-1)),4)</f>
        <v>#VALUE!</v>
      </c>
      <c r="D44" s="238"/>
      <c r="E44" s="238"/>
      <c r="F44" s="239"/>
      <c r="G44" s="366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6" t="s">
        <v>694</v>
      </c>
      <c r="C6" s="1074">
        <f ca="1">ROUND(F6*F8*F7*(1-F9)/10000,0)</f>
        <v>0</v>
      </c>
      <c r="D6" s="155" t="s">
        <v>2109</v>
      </c>
      <c r="E6" s="302" t="s">
        <v>696</v>
      </c>
      <c r="F6" s="303">
        <f ca="1">INDIRECT("'数据-取费表'!u"&amp;$G$1)</f>
        <v>0</v>
      </c>
      <c r="G6" s="1384"/>
      <c r="H6" s="1069" t="s">
        <v>398</v>
      </c>
      <c r="I6" s="3666" t="s">
        <v>694</v>
      </c>
      <c r="J6" s="301">
        <f ca="1">ROUND(M6*M8*M7*(1-M9)/10000,0)</f>
        <v>0</v>
      </c>
      <c r="K6" s="155" t="s">
        <v>2108</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0</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6" t="s">
        <v>694</v>
      </c>
      <c r="C6" s="1074">
        <f ca="1">ROUND(F6*F8*F7*(1-F9),0)</f>
        <v>0</v>
      </c>
      <c r="D6" s="155" t="s">
        <v>2106</v>
      </c>
      <c r="E6" s="302" t="s">
        <v>696</v>
      </c>
      <c r="F6" s="303">
        <f ca="1">INDIRECT("'数据-取费表'!u"&amp;$G$1)</f>
        <v>0</v>
      </c>
      <c r="G6" s="1384"/>
      <c r="H6" s="1069" t="s">
        <v>398</v>
      </c>
      <c r="I6" s="3666" t="s">
        <v>694</v>
      </c>
      <c r="J6" s="301">
        <f ca="1">ROUND(M6*M8*M7*(1-M9),0)</f>
        <v>0</v>
      </c>
      <c r="K6" s="1376" t="s">
        <v>2107</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0</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5" t="s">
        <v>2317</v>
      </c>
      <c r="K2" s="3676"/>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7" t="s">
        <v>2327</v>
      </c>
      <c r="K3" s="3678"/>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7" t="s">
        <v>2329</v>
      </c>
      <c r="K4" s="3678"/>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3" t="s">
        <v>2333</v>
      </c>
      <c r="B6" s="3684"/>
      <c r="C6" s="3685"/>
      <c r="D6" s="2870"/>
      <c r="E6" s="2871"/>
      <c r="F6" s="2872"/>
      <c r="G6" s="2873"/>
      <c r="H6" s="2848"/>
      <c r="I6" s="2849"/>
      <c r="J6" s="3669">
        <v>1</v>
      </c>
      <c r="K6" s="367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69"/>
      <c r="K7" s="3671"/>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6" t="s">
        <v>2347</v>
      </c>
      <c r="C8" s="3687"/>
      <c r="D8" s="2889" t="s">
        <v>2348</v>
      </c>
      <c r="E8" s="2890" t="s">
        <v>2349</v>
      </c>
      <c r="F8" s="2891" t="s">
        <v>2350</v>
      </c>
      <c r="G8" s="2892"/>
      <c r="H8" s="2848"/>
      <c r="I8" s="2849"/>
      <c r="J8" s="3669"/>
      <c r="K8" s="3671"/>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6" t="s">
        <v>2353</v>
      </c>
      <c r="C9" s="3687"/>
      <c r="D9" s="2889">
        <f>ROUND(D6*E9,0)</f>
        <v>0</v>
      </c>
      <c r="E9" s="2893"/>
      <c r="F9" s="2894" t="s">
        <v>2354</v>
      </c>
      <c r="G9" s="2873"/>
      <c r="H9" s="2848"/>
      <c r="I9" s="2849"/>
      <c r="J9" s="3669"/>
      <c r="K9" s="3671"/>
      <c r="L9" s="2883" t="s">
        <v>2355</v>
      </c>
      <c r="M9" s="2884"/>
      <c r="N9" s="2860"/>
      <c r="O9" s="2885"/>
      <c r="P9" s="2885"/>
      <c r="Q9" s="2886">
        <v>365</v>
      </c>
      <c r="R9" s="2887">
        <f t="shared" si="0"/>
        <v>0</v>
      </c>
      <c r="S9" s="2841"/>
      <c r="T9" s="2841"/>
      <c r="U9" s="2841"/>
      <c r="V9" s="2849"/>
    </row>
    <row r="10" spans="1:22" s="2853" customFormat="1" ht="13.15" customHeight="1">
      <c r="A10" s="2888">
        <v>2</v>
      </c>
      <c r="B10" s="3686" t="s">
        <v>2356</v>
      </c>
      <c r="C10" s="3687"/>
      <c r="D10" s="2889">
        <f>ROUND(D6*E10,0)</f>
        <v>0</v>
      </c>
      <c r="E10" s="2893"/>
      <c r="F10" s="2894" t="s">
        <v>2357</v>
      </c>
      <c r="G10" s="2873"/>
      <c r="H10" s="2848"/>
      <c r="I10" s="2849"/>
      <c r="J10" s="3669"/>
      <c r="K10" s="3671"/>
      <c r="L10" s="2883" t="s">
        <v>2358</v>
      </c>
      <c r="M10" s="2884"/>
      <c r="N10" s="2860"/>
      <c r="O10" s="2885"/>
      <c r="P10" s="2885"/>
      <c r="Q10" s="2886">
        <v>365</v>
      </c>
      <c r="R10" s="2887">
        <f t="shared" si="0"/>
        <v>0</v>
      </c>
      <c r="S10" s="2841"/>
      <c r="T10" s="2841"/>
      <c r="U10" s="2841"/>
      <c r="V10" s="2849"/>
    </row>
    <row r="11" spans="1:22" s="2853" customFormat="1" ht="13.15" customHeight="1">
      <c r="A11" s="2888">
        <v>3</v>
      </c>
      <c r="B11" s="3686" t="s">
        <v>2359</v>
      </c>
      <c r="C11" s="3687"/>
      <c r="D11" s="2889">
        <f>D12+D14+D15+D16</f>
        <v>0</v>
      </c>
      <c r="E11" s="2895" t="e">
        <f>D11/D6</f>
        <v>#DIV/0!</v>
      </c>
      <c r="F11" s="2891"/>
      <c r="G11" s="2892"/>
      <c r="H11" s="2848"/>
      <c r="I11" s="2849"/>
      <c r="J11" s="3669"/>
      <c r="K11" s="3671"/>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79" t="s">
        <v>2362</v>
      </c>
      <c r="C12" s="3680"/>
      <c r="D12" s="2897">
        <f>ROUND(D13*1.2%*(1-30%),0)</f>
        <v>0</v>
      </c>
      <c r="E12" s="2898">
        <v>1.2E-2</v>
      </c>
      <c r="F12" s="2891" t="s">
        <v>2363</v>
      </c>
      <c r="G12" s="2892"/>
      <c r="H12" s="2848"/>
      <c r="I12" s="2849"/>
      <c r="J12" s="3669"/>
      <c r="K12" s="3671"/>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69"/>
      <c r="K13" s="3671"/>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79" t="s">
        <v>2368</v>
      </c>
      <c r="C14" s="3680"/>
      <c r="D14" s="2897">
        <f>ROUND(E14*B5/10000,0)</f>
        <v>0</v>
      </c>
      <c r="E14" s="2886"/>
      <c r="F14" s="2891" t="s">
        <v>2369</v>
      </c>
      <c r="G14" s="2892"/>
      <c r="H14" s="2848"/>
      <c r="I14" s="2849"/>
      <c r="J14" s="3669"/>
      <c r="K14" s="367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79" t="s">
        <v>2372</v>
      </c>
      <c r="C15" s="3680"/>
      <c r="D15" s="2897">
        <f>ROUND(D6*E15,0)</f>
        <v>0</v>
      </c>
      <c r="E15" s="2898">
        <v>5.5E-2</v>
      </c>
      <c r="F15" s="2891" t="s">
        <v>2373</v>
      </c>
      <c r="G15" s="2873"/>
      <c r="H15" s="2848"/>
      <c r="I15" s="2849"/>
      <c r="J15" s="3669">
        <v>2</v>
      </c>
      <c r="K15" s="367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79" t="s">
        <v>2381</v>
      </c>
      <c r="C16" s="3680"/>
      <c r="D16" s="2908">
        <f>D6*E16</f>
        <v>0</v>
      </c>
      <c r="E16" s="2909"/>
      <c r="F16" s="2894" t="s">
        <v>2382</v>
      </c>
      <c r="G16" s="2873"/>
      <c r="H16" s="2848"/>
      <c r="I16" s="2849"/>
      <c r="J16" s="3669"/>
      <c r="K16" s="3671"/>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1" t="s">
        <v>2384</v>
      </c>
      <c r="C17" s="3682"/>
      <c r="D17" s="2911">
        <f>ROUND(D6*E17,0)</f>
        <v>0</v>
      </c>
      <c r="E17" s="2912"/>
      <c r="F17" s="2913" t="s">
        <v>2385</v>
      </c>
      <c r="G17" s="2873"/>
      <c r="H17" s="2848"/>
      <c r="I17" s="2849"/>
      <c r="J17" s="3669"/>
      <c r="K17" s="3671"/>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69"/>
      <c r="K18" s="3671"/>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69"/>
      <c r="K19" s="367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9">
        <v>3</v>
      </c>
      <c r="K20" s="367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69"/>
      <c r="K21" s="3671"/>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69"/>
      <c r="K22" s="3671"/>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69"/>
      <c r="K23" s="3671"/>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69"/>
      <c r="K24" s="367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5" t="s">
        <v>2317</v>
      </c>
      <c r="K32" s="3676"/>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7" t="s">
        <v>2327</v>
      </c>
      <c r="K33" s="3678"/>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7" t="s">
        <v>2329</v>
      </c>
      <c r="K34" s="367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69">
        <v>1</v>
      </c>
      <c r="K36" s="3670"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69"/>
      <c r="K37" s="3671"/>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9"/>
      <c r="K38" s="3671"/>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69"/>
      <c r="K39" s="3671"/>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69"/>
      <c r="K40" s="3672"/>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3">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8" t="s">
        <v>1654</v>
      </c>
      <c r="C5" s="3689"/>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8" t="s">
        <v>1667</v>
      </c>
      <c r="D4" s="3709"/>
      <c r="E4" s="3710" t="s">
        <v>1668</v>
      </c>
      <c r="F4" s="3711"/>
      <c r="G4" s="3708" t="s">
        <v>1669</v>
      </c>
      <c r="H4" s="3709"/>
      <c r="I4" s="3708" t="s">
        <v>1670</v>
      </c>
      <c r="J4" s="3709"/>
      <c r="K4" s="1889" t="s">
        <v>1671</v>
      </c>
      <c r="L4" s="2715"/>
      <c r="M4" s="2716"/>
      <c r="N4" s="2716"/>
      <c r="O4" s="2716"/>
      <c r="P4" s="3712" t="s">
        <v>1672</v>
      </c>
      <c r="Q4" s="3713"/>
      <c r="R4" s="3718" t="s">
        <v>1668</v>
      </c>
      <c r="S4" s="3719"/>
      <c r="T4" s="3718" t="s">
        <v>1669</v>
      </c>
      <c r="U4" s="3719"/>
      <c r="V4" s="3724" t="s">
        <v>1670</v>
      </c>
      <c r="W4" s="3724"/>
      <c r="X4" s="1355"/>
      <c r="Y4" s="3718" t="s">
        <v>1672</v>
      </c>
      <c r="Z4" s="3719"/>
      <c r="AA4" s="3705" t="s">
        <v>1668</v>
      </c>
      <c r="AB4" s="3705" t="s">
        <v>1669</v>
      </c>
      <c r="AC4" s="3705" t="s">
        <v>1670</v>
      </c>
    </row>
    <row r="5" spans="1:29" ht="15">
      <c r="A5" s="358"/>
      <c r="B5" s="359"/>
      <c r="C5" s="3727" t="s">
        <v>1673</v>
      </c>
      <c r="D5" s="3728"/>
      <c r="E5" s="3734" t="s">
        <v>1674</v>
      </c>
      <c r="F5" s="3735"/>
      <c r="G5" s="3727" t="s">
        <v>1675</v>
      </c>
      <c r="H5" s="3728"/>
      <c r="I5" s="3727" t="s">
        <v>1676</v>
      </c>
      <c r="J5" s="3728"/>
      <c r="K5" s="1890"/>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1890"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45902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9" t="s">
        <v>1680</v>
      </c>
      <c r="Q7" s="3731"/>
      <c r="R7" s="701" t="s">
        <v>20</v>
      </c>
      <c r="S7" s="702">
        <f t="shared" ref="S7:S15" si="0">F7</f>
        <v>0</v>
      </c>
      <c r="T7" s="701" t="s">
        <v>20</v>
      </c>
      <c r="U7" s="702">
        <f t="shared" ref="U7:U15" si="1">H7</f>
        <v>0</v>
      </c>
      <c r="V7" s="701" t="s">
        <v>20</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9" t="s">
        <v>1683</v>
      </c>
      <c r="Q8" s="3730"/>
      <c r="R8" s="701" t="s">
        <v>20</v>
      </c>
      <c r="S8" s="702">
        <f t="shared" si="0"/>
        <v>100</v>
      </c>
      <c r="T8" s="701" t="s">
        <v>20</v>
      </c>
      <c r="U8" s="702">
        <f t="shared" si="1"/>
        <v>100</v>
      </c>
      <c r="V8" s="701" t="s">
        <v>20</v>
      </c>
      <c r="W8" s="702">
        <f t="shared" si="2"/>
        <v>100</v>
      </c>
      <c r="X8" s="703"/>
      <c r="Y8" s="3729" t="s">
        <v>1683</v>
      </c>
      <c r="Z8" s="373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4"/>
      <c r="Q11" s="1343" t="str">
        <f t="shared" si="6"/>
        <v>容积率</v>
      </c>
      <c r="R11" s="701" t="s">
        <v>18</v>
      </c>
      <c r="S11" s="702" t="e">
        <f t="shared" si="0"/>
        <v>#N/A</v>
      </c>
      <c r="T11" s="701" t="s">
        <v>18</v>
      </c>
      <c r="U11" s="702" t="e">
        <f t="shared" si="1"/>
        <v>#N/A</v>
      </c>
      <c r="V11" s="701" t="s">
        <v>18</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4"/>
      <c r="Q12" s="1343">
        <f t="shared" si="6"/>
        <v>111</v>
      </c>
      <c r="R12" s="701" t="s">
        <v>18</v>
      </c>
      <c r="S12" s="702">
        <f t="shared" si="0"/>
        <v>100</v>
      </c>
      <c r="T12" s="701" t="s">
        <v>18</v>
      </c>
      <c r="U12" s="702">
        <f t="shared" si="1"/>
        <v>100</v>
      </c>
      <c r="V12" s="701" t="s">
        <v>18</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4"/>
      <c r="Q13" s="1343">
        <f t="shared" si="6"/>
        <v>111</v>
      </c>
      <c r="R13" s="701" t="s">
        <v>18</v>
      </c>
      <c r="S13" s="702">
        <f t="shared" si="0"/>
        <v>100</v>
      </c>
      <c r="T13" s="701" t="s">
        <v>18</v>
      </c>
      <c r="U13" s="702">
        <f t="shared" si="1"/>
        <v>100</v>
      </c>
      <c r="V13" s="701" t="s">
        <v>18</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4"/>
      <c r="Q14" s="1343">
        <f t="shared" si="6"/>
        <v>111</v>
      </c>
      <c r="R14" s="701" t="s">
        <v>18</v>
      </c>
      <c r="S14" s="702">
        <f t="shared" si="0"/>
        <v>100</v>
      </c>
      <c r="T14" s="701" t="s">
        <v>18</v>
      </c>
      <c r="U14" s="702">
        <f t="shared" si="1"/>
        <v>100</v>
      </c>
      <c r="V14" s="701" t="s">
        <v>18</v>
      </c>
      <c r="W14" s="702">
        <f t="shared" si="2"/>
        <v>100</v>
      </c>
      <c r="X14" s="703"/>
      <c r="Y14" s="356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2" t="s">
        <v>1691</v>
      </c>
      <c r="Q15" s="1352" t="str">
        <f t="shared" si="6"/>
        <v>居住社区成熟度</v>
      </c>
      <c r="R15" s="705" t="s">
        <v>18</v>
      </c>
      <c r="S15" s="706">
        <f t="shared" si="0"/>
        <v>100</v>
      </c>
      <c r="T15" s="705" t="s">
        <v>18</v>
      </c>
      <c r="U15" s="706">
        <f t="shared" si="1"/>
        <v>100</v>
      </c>
      <c r="V15" s="705" t="s">
        <v>18</v>
      </c>
      <c r="W15" s="706">
        <f t="shared" si="2"/>
        <v>100</v>
      </c>
      <c r="X15" s="1355"/>
      <c r="Y15" s="369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3"/>
      <c r="Q16" s="1352"/>
      <c r="R16" s="705"/>
      <c r="S16" s="706"/>
      <c r="T16" s="705"/>
      <c r="U16" s="706"/>
      <c r="V16" s="705"/>
      <c r="W16" s="706"/>
      <c r="X16" s="1355"/>
      <c r="Y16" s="369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3"/>
      <c r="Q17" s="1352" t="str">
        <f>B17</f>
        <v>交通便捷度</v>
      </c>
      <c r="R17" s="705" t="s">
        <v>18</v>
      </c>
      <c r="S17" s="706">
        <f>F17</f>
        <v>100</v>
      </c>
      <c r="T17" s="705" t="s">
        <v>18</v>
      </c>
      <c r="U17" s="706">
        <f>H17</f>
        <v>100</v>
      </c>
      <c r="V17" s="705" t="s">
        <v>18</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3"/>
      <c r="Q18" s="1352"/>
      <c r="R18" s="705"/>
      <c r="S18" s="706"/>
      <c r="T18" s="705"/>
      <c r="U18" s="706"/>
      <c r="V18" s="705"/>
      <c r="W18" s="706"/>
      <c r="X18" s="1355"/>
      <c r="Y18" s="369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3"/>
      <c r="Q19" s="1352" t="str">
        <f>B19</f>
        <v>公共配套设施</v>
      </c>
      <c r="R19" s="705" t="s">
        <v>18</v>
      </c>
      <c r="S19" s="706">
        <f>F19</f>
        <v>100</v>
      </c>
      <c r="T19" s="705" t="s">
        <v>18</v>
      </c>
      <c r="U19" s="706">
        <f>H19</f>
        <v>100</v>
      </c>
      <c r="V19" s="705" t="s">
        <v>18</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3"/>
      <c r="Q20" s="1352"/>
      <c r="R20" s="705"/>
      <c r="S20" s="706"/>
      <c r="T20" s="705"/>
      <c r="U20" s="706"/>
      <c r="V20" s="705"/>
      <c r="W20" s="706"/>
      <c r="X20" s="1355"/>
      <c r="Y20" s="369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3"/>
      <c r="Q22" s="1352"/>
      <c r="R22" s="705"/>
      <c r="S22" s="706"/>
      <c r="T22" s="705"/>
      <c r="U22" s="706"/>
      <c r="V22" s="705"/>
      <c r="W22" s="706"/>
      <c r="X22" s="1355"/>
      <c r="Y22" s="369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3"/>
      <c r="Q23" s="1352" t="str">
        <f>B23</f>
        <v>自然及人文环境</v>
      </c>
      <c r="R23" s="705" t="s">
        <v>18</v>
      </c>
      <c r="S23" s="706">
        <f>F23</f>
        <v>100</v>
      </c>
      <c r="T23" s="705" t="s">
        <v>18</v>
      </c>
      <c r="U23" s="706">
        <f>H23</f>
        <v>100</v>
      </c>
      <c r="V23" s="705" t="s">
        <v>18</v>
      </c>
      <c r="W23" s="706">
        <f>J23</f>
        <v>100</v>
      </c>
      <c r="X23" s="1355"/>
      <c r="Y23" s="369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3"/>
      <c r="Q26" s="1352" t="str">
        <f t="shared" si="11"/>
        <v>朝向</v>
      </c>
      <c r="R26" s="705" t="s">
        <v>18</v>
      </c>
      <c r="S26" s="706">
        <f t="shared" si="12"/>
        <v>100</v>
      </c>
      <c r="T26" s="705" t="s">
        <v>18</v>
      </c>
      <c r="U26" s="706">
        <f t="shared" si="13"/>
        <v>100</v>
      </c>
      <c r="V26" s="705" t="s">
        <v>18</v>
      </c>
      <c r="W26" s="706">
        <f t="shared" si="14"/>
        <v>100</v>
      </c>
      <c r="X26" s="1355"/>
      <c r="Y26" s="369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3"/>
      <c r="Q27" s="1343">
        <f t="shared" si="11"/>
        <v>111</v>
      </c>
      <c r="R27" s="701" t="s">
        <v>18</v>
      </c>
      <c r="S27" s="702">
        <f t="shared" si="12"/>
        <v>100</v>
      </c>
      <c r="T27" s="701" t="s">
        <v>18</v>
      </c>
      <c r="U27" s="702">
        <f t="shared" si="13"/>
        <v>100</v>
      </c>
      <c r="V27" s="701" t="s">
        <v>18</v>
      </c>
      <c r="W27" s="702">
        <f t="shared" si="14"/>
        <v>100</v>
      </c>
      <c r="X27" s="703"/>
      <c r="Y27" s="369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3"/>
      <c r="Q28" s="1352">
        <f t="shared" si="11"/>
        <v>111</v>
      </c>
      <c r="R28" s="705" t="s">
        <v>18</v>
      </c>
      <c r="S28" s="706">
        <f t="shared" si="12"/>
        <v>100</v>
      </c>
      <c r="T28" s="705" t="s">
        <v>18</v>
      </c>
      <c r="U28" s="706">
        <f t="shared" si="13"/>
        <v>100</v>
      </c>
      <c r="V28" s="705" t="s">
        <v>18</v>
      </c>
      <c r="W28" s="706">
        <f t="shared" si="14"/>
        <v>100</v>
      </c>
      <c r="X28" s="1355"/>
      <c r="Y28" s="369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3"/>
      <c r="Q29" s="1352">
        <f t="shared" si="11"/>
        <v>111</v>
      </c>
      <c r="R29" s="705" t="s">
        <v>18</v>
      </c>
      <c r="S29" s="706">
        <f t="shared" si="12"/>
        <v>100</v>
      </c>
      <c r="T29" s="705" t="s">
        <v>18</v>
      </c>
      <c r="U29" s="706">
        <f t="shared" si="13"/>
        <v>100</v>
      </c>
      <c r="V29" s="705" t="s">
        <v>18</v>
      </c>
      <c r="W29" s="706">
        <f t="shared" si="14"/>
        <v>100</v>
      </c>
      <c r="X29" s="1355"/>
      <c r="Y29" s="369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3"/>
      <c r="Q30" s="1352">
        <f t="shared" si="11"/>
        <v>111</v>
      </c>
      <c r="R30" s="705" t="s">
        <v>18</v>
      </c>
      <c r="S30" s="706">
        <f t="shared" si="12"/>
        <v>100</v>
      </c>
      <c r="T30" s="705" t="s">
        <v>18</v>
      </c>
      <c r="U30" s="706">
        <f t="shared" si="13"/>
        <v>100</v>
      </c>
      <c r="V30" s="705" t="s">
        <v>18</v>
      </c>
      <c r="W30" s="706">
        <f t="shared" si="14"/>
        <v>100</v>
      </c>
      <c r="X30" s="1355"/>
      <c r="Y30" s="369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3"/>
      <c r="Q31" s="1352">
        <f t="shared" si="11"/>
        <v>111</v>
      </c>
      <c r="R31" s="705" t="s">
        <v>18</v>
      </c>
      <c r="S31" s="706">
        <f t="shared" si="12"/>
        <v>100</v>
      </c>
      <c r="T31" s="705" t="s">
        <v>18</v>
      </c>
      <c r="U31" s="706">
        <f t="shared" si="13"/>
        <v>100</v>
      </c>
      <c r="V31" s="705" t="s">
        <v>18</v>
      </c>
      <c r="W31" s="706">
        <f t="shared" si="14"/>
        <v>100</v>
      </c>
      <c r="X31" s="1355"/>
      <c r="Y31" s="369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7" t="s">
        <v>1696</v>
      </c>
      <c r="Q32" s="1352" t="str">
        <f t="shared" si="11"/>
        <v>建筑类型</v>
      </c>
      <c r="R32" s="705" t="s">
        <v>18</v>
      </c>
      <c r="S32" s="706">
        <f t="shared" si="12"/>
        <v>100</v>
      </c>
      <c r="T32" s="705" t="s">
        <v>18</v>
      </c>
      <c r="U32" s="706">
        <f t="shared" si="13"/>
        <v>100</v>
      </c>
      <c r="V32" s="705" t="s">
        <v>18</v>
      </c>
      <c r="W32" s="706">
        <f t="shared" si="14"/>
        <v>100</v>
      </c>
      <c r="X32" s="1355"/>
      <c r="Y32" s="370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8"/>
      <c r="Q34" s="1352" t="str">
        <f t="shared" si="11"/>
        <v>建筑结构</v>
      </c>
      <c r="R34" s="705" t="s">
        <v>18</v>
      </c>
      <c r="S34" s="706">
        <f t="shared" si="12"/>
        <v>100</v>
      </c>
      <c r="T34" s="705" t="s">
        <v>18</v>
      </c>
      <c r="U34" s="706">
        <f t="shared" si="13"/>
        <v>100</v>
      </c>
      <c r="V34" s="705" t="s">
        <v>18</v>
      </c>
      <c r="W34" s="706">
        <f t="shared" si="14"/>
        <v>100</v>
      </c>
      <c r="X34" s="1355"/>
      <c r="Y34" s="370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8"/>
      <c r="Q35" s="1352" t="str">
        <f t="shared" si="11"/>
        <v>建筑品质</v>
      </c>
      <c r="R35" s="705" t="s">
        <v>18</v>
      </c>
      <c r="S35" s="706">
        <f t="shared" si="12"/>
        <v>100</v>
      </c>
      <c r="T35" s="705" t="s">
        <v>18</v>
      </c>
      <c r="U35" s="706">
        <f t="shared" si="13"/>
        <v>100</v>
      </c>
      <c r="V35" s="705" t="s">
        <v>18</v>
      </c>
      <c r="W35" s="706">
        <f t="shared" si="14"/>
        <v>100</v>
      </c>
      <c r="X35" s="1355"/>
      <c r="Y35" s="370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8"/>
      <c r="Q36" s="1352" t="str">
        <f t="shared" si="11"/>
        <v>公共部分装修</v>
      </c>
      <c r="R36" s="705" t="s">
        <v>18</v>
      </c>
      <c r="S36" s="706">
        <f t="shared" si="12"/>
        <v>100</v>
      </c>
      <c r="T36" s="705" t="s">
        <v>18</v>
      </c>
      <c r="U36" s="706">
        <f t="shared" si="13"/>
        <v>100</v>
      </c>
      <c r="V36" s="705" t="s">
        <v>18</v>
      </c>
      <c r="W36" s="706">
        <f t="shared" si="14"/>
        <v>100</v>
      </c>
      <c r="X36" s="1355"/>
      <c r="Y36" s="370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8"/>
      <c r="Q37" s="1343"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8" t="s">
        <v>1696</v>
      </c>
      <c r="Q38" s="1352" t="str">
        <f t="shared" si="11"/>
        <v>物业管理</v>
      </c>
      <c r="R38" s="705" t="s">
        <v>18</v>
      </c>
      <c r="S38" s="706">
        <f t="shared" si="12"/>
        <v>100</v>
      </c>
      <c r="T38" s="705" t="s">
        <v>18</v>
      </c>
      <c r="U38" s="706">
        <f t="shared" si="13"/>
        <v>100</v>
      </c>
      <c r="V38" s="705" t="s">
        <v>18</v>
      </c>
      <c r="W38" s="706">
        <f t="shared" si="14"/>
        <v>100</v>
      </c>
      <c r="X38" s="1355"/>
      <c r="Y38" s="370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8"/>
      <c r="Q39" s="1352" t="str">
        <f t="shared" si="11"/>
        <v>市政基础设施</v>
      </c>
      <c r="R39" s="705" t="s">
        <v>18</v>
      </c>
      <c r="S39" s="706">
        <f t="shared" si="12"/>
        <v>100</v>
      </c>
      <c r="T39" s="705" t="s">
        <v>18</v>
      </c>
      <c r="U39" s="706">
        <f t="shared" si="13"/>
        <v>100</v>
      </c>
      <c r="V39" s="705" t="s">
        <v>18</v>
      </c>
      <c r="W39" s="706">
        <f t="shared" si="14"/>
        <v>100</v>
      </c>
      <c r="X39" s="1355"/>
      <c r="Y39" s="370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8"/>
      <c r="Q40" s="1352" t="str">
        <f t="shared" si="11"/>
        <v>房型</v>
      </c>
      <c r="R40" s="705" t="s">
        <v>18</v>
      </c>
      <c r="S40" s="706">
        <f t="shared" si="12"/>
        <v>100</v>
      </c>
      <c r="T40" s="705" t="s">
        <v>18</v>
      </c>
      <c r="U40" s="706">
        <f t="shared" si="13"/>
        <v>100</v>
      </c>
      <c r="V40" s="705" t="s">
        <v>18</v>
      </c>
      <c r="W40" s="706">
        <f t="shared" si="14"/>
        <v>100</v>
      </c>
      <c r="X40" s="1355"/>
      <c r="Y40" s="370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8"/>
      <c r="Q42" s="1352" t="str">
        <f t="shared" si="11"/>
        <v>内部装修</v>
      </c>
      <c r="R42" s="705" t="s">
        <v>18</v>
      </c>
      <c r="S42" s="706">
        <f t="shared" si="12"/>
        <v>100</v>
      </c>
      <c r="T42" s="705" t="s">
        <v>18</v>
      </c>
      <c r="U42" s="706">
        <f t="shared" si="13"/>
        <v>100</v>
      </c>
      <c r="V42" s="705" t="s">
        <v>18</v>
      </c>
      <c r="W42" s="706">
        <f t="shared" si="14"/>
        <v>100</v>
      </c>
      <c r="X42" s="1355"/>
      <c r="Y42" s="370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8"/>
      <c r="Q43" s="1352" t="str">
        <f t="shared" si="11"/>
        <v>内部装修维护情况</v>
      </c>
      <c r="R43" s="705" t="s">
        <v>18</v>
      </c>
      <c r="S43" s="706">
        <f t="shared" si="12"/>
        <v>100</v>
      </c>
      <c r="T43" s="705" t="s">
        <v>18</v>
      </c>
      <c r="U43" s="706">
        <f t="shared" si="13"/>
        <v>100</v>
      </c>
      <c r="V43" s="705" t="s">
        <v>18</v>
      </c>
      <c r="W43" s="706">
        <f t="shared" si="14"/>
        <v>100</v>
      </c>
      <c r="X43" s="1355"/>
      <c r="Y43" s="370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8"/>
      <c r="Q44" s="1343">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8"/>
      <c r="Q45" s="1352">
        <f t="shared" si="11"/>
        <v>111</v>
      </c>
      <c r="R45" s="705" t="s">
        <v>18</v>
      </c>
      <c r="S45" s="706">
        <f t="shared" si="12"/>
        <v>100</v>
      </c>
      <c r="T45" s="705" t="s">
        <v>18</v>
      </c>
      <c r="U45" s="706">
        <f t="shared" si="13"/>
        <v>100</v>
      </c>
      <c r="V45" s="705" t="s">
        <v>18</v>
      </c>
      <c r="W45" s="706">
        <f t="shared" si="14"/>
        <v>100</v>
      </c>
      <c r="X45" s="1355"/>
      <c r="Y45" s="370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9"/>
      <c r="Q46" s="1352">
        <f t="shared" si="11"/>
        <v>111</v>
      </c>
      <c r="R46" s="705" t="s">
        <v>17</v>
      </c>
      <c r="S46" s="706">
        <f t="shared" si="12"/>
        <v>100</v>
      </c>
      <c r="T46" s="705" t="s">
        <v>17</v>
      </c>
      <c r="U46" s="706">
        <f t="shared" si="13"/>
        <v>100</v>
      </c>
      <c r="V46" s="705" t="s">
        <v>17</v>
      </c>
      <c r="W46" s="706">
        <f t="shared" si="14"/>
        <v>100</v>
      </c>
      <c r="X46" s="1355"/>
      <c r="Y46" s="370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3" t="str">
        <f>A47</f>
        <v>成交单价（元/平方米）</v>
      </c>
      <c r="Q47" s="3693"/>
      <c r="R47" s="3694">
        <f>E47</f>
        <v>0</v>
      </c>
      <c r="S47" s="3694"/>
      <c r="T47" s="3694">
        <f>G47</f>
        <v>0</v>
      </c>
      <c r="U47" s="3694"/>
      <c r="V47" s="3694">
        <f>I47</f>
        <v>0</v>
      </c>
      <c r="W47" s="369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24"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24"/>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24"/>
      <c r="AC6" s="3707"/>
    </row>
    <row r="7" spans="1:29" s="108" customFormat="1" ht="15.75" thickBot="1">
      <c r="A7" s="362" t="s">
        <v>1679</v>
      </c>
      <c r="B7" s="363"/>
      <c r="C7" s="364">
        <f>'数据-取费表'!B2</f>
        <v>45902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4"/>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2" t="s">
        <v>1691</v>
      </c>
      <c r="Q15" s="1352" t="str">
        <f t="shared" si="6"/>
        <v>商业繁华度</v>
      </c>
      <c r="R15" s="705" t="s">
        <v>14</v>
      </c>
      <c r="S15" s="706">
        <f t="shared" si="0"/>
        <v>100</v>
      </c>
      <c r="T15" s="705" t="s">
        <v>14</v>
      </c>
      <c r="U15" s="706">
        <f t="shared" si="1"/>
        <v>100</v>
      </c>
      <c r="V15" s="705" t="s">
        <v>14</v>
      </c>
      <c r="W15" s="706">
        <f t="shared" si="2"/>
        <v>100</v>
      </c>
      <c r="X15" s="1355"/>
      <c r="Y15" s="369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3"/>
      <c r="Q22" s="1352"/>
      <c r="R22" s="705"/>
      <c r="S22" s="706"/>
      <c r="T22" s="705"/>
      <c r="U22" s="706"/>
      <c r="V22" s="705"/>
      <c r="W22" s="706"/>
      <c r="X22" s="1355"/>
      <c r="Y22" s="369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3"/>
      <c r="Q23" s="1352" t="str">
        <f>B23</f>
        <v>自然及人文环境</v>
      </c>
      <c r="R23" s="705" t="s">
        <v>14</v>
      </c>
      <c r="S23" s="706">
        <f>F23</f>
        <v>100</v>
      </c>
      <c r="T23" s="705" t="s">
        <v>14</v>
      </c>
      <c r="U23" s="706">
        <f>H23</f>
        <v>100</v>
      </c>
      <c r="V23" s="705" t="s">
        <v>14</v>
      </c>
      <c r="W23" s="706">
        <f>J23</f>
        <v>100</v>
      </c>
      <c r="X23" s="1355"/>
      <c r="Y23" s="369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3"/>
      <c r="Q25" s="1352" t="str">
        <f t="shared" ref="Q25:Q46" si="11">B25</f>
        <v>临街状况</v>
      </c>
      <c r="R25" s="705" t="s">
        <v>14</v>
      </c>
      <c r="S25" s="706">
        <f>F25</f>
        <v>100</v>
      </c>
      <c r="T25" s="705" t="s">
        <v>14</v>
      </c>
      <c r="U25" s="706">
        <f>H25</f>
        <v>100</v>
      </c>
      <c r="V25" s="705" t="s">
        <v>14</v>
      </c>
      <c r="W25" s="706">
        <f>J25</f>
        <v>100</v>
      </c>
      <c r="X25" s="1355"/>
      <c r="Y25" s="369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3"/>
      <c r="Q26" s="1352" t="str">
        <f t="shared" si="11"/>
        <v>平面位置/可视性</v>
      </c>
      <c r="R26" s="705" t="s">
        <v>14</v>
      </c>
      <c r="S26" s="706">
        <f>F26</f>
        <v>100</v>
      </c>
      <c r="T26" s="705" t="s">
        <v>14</v>
      </c>
      <c r="U26" s="706">
        <f>H26</f>
        <v>100</v>
      </c>
      <c r="V26" s="705" t="s">
        <v>14</v>
      </c>
      <c r="W26" s="706">
        <f>J26</f>
        <v>100</v>
      </c>
      <c r="X26" s="1355"/>
      <c r="Y26" s="369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3"/>
      <c r="Q27" s="1343" t="str">
        <f t="shared" si="11"/>
        <v>人流量</v>
      </c>
      <c r="R27" s="701" t="s">
        <v>14</v>
      </c>
      <c r="S27" s="702">
        <f>F27</f>
        <v>100</v>
      </c>
      <c r="T27" s="701" t="s">
        <v>14</v>
      </c>
      <c r="U27" s="702">
        <f>H27</f>
        <v>100</v>
      </c>
      <c r="V27" s="701" t="s">
        <v>14</v>
      </c>
      <c r="W27" s="702">
        <f>J27</f>
        <v>100</v>
      </c>
      <c r="X27" s="703"/>
      <c r="Y27" s="369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3"/>
      <c r="Q29" s="1352">
        <f t="shared" si="11"/>
        <v>111</v>
      </c>
      <c r="R29" s="705" t="s">
        <v>14</v>
      </c>
      <c r="S29" s="706">
        <f t="shared" si="12"/>
        <v>100</v>
      </c>
      <c r="T29" s="705" t="s">
        <v>14</v>
      </c>
      <c r="U29" s="706">
        <f t="shared" si="13"/>
        <v>100</v>
      </c>
      <c r="V29" s="705" t="s">
        <v>14</v>
      </c>
      <c r="W29" s="706">
        <f t="shared" si="14"/>
        <v>100</v>
      </c>
      <c r="X29" s="1355"/>
      <c r="Y29" s="369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7" t="s">
        <v>1696</v>
      </c>
      <c r="Q32" s="1352" t="str">
        <f t="shared" si="11"/>
        <v>商业类型</v>
      </c>
      <c r="R32" s="705" t="s">
        <v>14</v>
      </c>
      <c r="S32" s="706">
        <f t="shared" si="12"/>
        <v>100</v>
      </c>
      <c r="T32" s="705" t="s">
        <v>14</v>
      </c>
      <c r="U32" s="706">
        <f t="shared" si="13"/>
        <v>100</v>
      </c>
      <c r="V32" s="705" t="s">
        <v>14</v>
      </c>
      <c r="W32" s="706">
        <f t="shared" si="14"/>
        <v>100</v>
      </c>
      <c r="X32" s="1355"/>
      <c r="Y32" s="370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8"/>
      <c r="Q34" s="1352" t="str">
        <f t="shared" si="11"/>
        <v>建筑结构</v>
      </c>
      <c r="R34" s="705" t="s">
        <v>14</v>
      </c>
      <c r="S34" s="706">
        <f t="shared" si="12"/>
        <v>100</v>
      </c>
      <c r="T34" s="705" t="s">
        <v>14</v>
      </c>
      <c r="U34" s="706">
        <f t="shared" si="13"/>
        <v>100</v>
      </c>
      <c r="V34" s="705" t="s">
        <v>14</v>
      </c>
      <c r="W34" s="706">
        <f t="shared" si="14"/>
        <v>100</v>
      </c>
      <c r="X34" s="1355"/>
      <c r="Y34" s="370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8"/>
      <c r="Q35" s="1352" t="str">
        <f t="shared" si="11"/>
        <v>公共部分装修</v>
      </c>
      <c r="R35" s="705" t="s">
        <v>14</v>
      </c>
      <c r="S35" s="706">
        <f t="shared" si="12"/>
        <v>100</v>
      </c>
      <c r="T35" s="705" t="s">
        <v>14</v>
      </c>
      <c r="U35" s="706">
        <f t="shared" si="13"/>
        <v>100</v>
      </c>
      <c r="V35" s="705" t="s">
        <v>14</v>
      </c>
      <c r="W35" s="706">
        <f t="shared" si="14"/>
        <v>100</v>
      </c>
      <c r="X35" s="1355"/>
      <c r="Y35" s="370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8"/>
      <c r="Q36" s="1352" t="str">
        <f t="shared" si="11"/>
        <v>成新度</v>
      </c>
      <c r="R36" s="705" t="s">
        <v>14</v>
      </c>
      <c r="S36" s="706" t="e">
        <f t="shared" si="12"/>
        <v>#N/A</v>
      </c>
      <c r="T36" s="705" t="s">
        <v>14</v>
      </c>
      <c r="U36" s="706" t="e">
        <f t="shared" si="13"/>
        <v>#N/A</v>
      </c>
      <c r="V36" s="705" t="s">
        <v>14</v>
      </c>
      <c r="W36" s="706" t="e">
        <f t="shared" si="14"/>
        <v>#N/A</v>
      </c>
      <c r="X36" s="1355"/>
      <c r="Y36" s="370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8"/>
      <c r="Q37" s="1343"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8" t="s">
        <v>1696</v>
      </c>
      <c r="Q38" s="1352" t="str">
        <f t="shared" si="11"/>
        <v>业态</v>
      </c>
      <c r="R38" s="705" t="s">
        <v>14</v>
      </c>
      <c r="S38" s="706">
        <f t="shared" si="12"/>
        <v>100</v>
      </c>
      <c r="T38" s="705" t="s">
        <v>14</v>
      </c>
      <c r="U38" s="706">
        <f t="shared" si="13"/>
        <v>100</v>
      </c>
      <c r="V38" s="705" t="s">
        <v>14</v>
      </c>
      <c r="W38" s="706">
        <f t="shared" si="14"/>
        <v>100</v>
      </c>
      <c r="X38" s="1355"/>
      <c r="Y38" s="370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8"/>
      <c r="Q39" s="1352" t="str">
        <f t="shared" si="11"/>
        <v>层高</v>
      </c>
      <c r="R39" s="705" t="s">
        <v>14</v>
      </c>
      <c r="S39" s="706">
        <f t="shared" si="12"/>
        <v>100</v>
      </c>
      <c r="T39" s="705" t="s">
        <v>14</v>
      </c>
      <c r="U39" s="706">
        <f t="shared" si="13"/>
        <v>100</v>
      </c>
      <c r="V39" s="705" t="s">
        <v>14</v>
      </c>
      <c r="W39" s="706">
        <f t="shared" si="14"/>
        <v>100</v>
      </c>
      <c r="X39" s="1355"/>
      <c r="Y39" s="370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8"/>
      <c r="Q40" s="1352" t="str">
        <f t="shared" si="11"/>
        <v>单套建筑面积</v>
      </c>
      <c r="R40" s="705" t="s">
        <v>14</v>
      </c>
      <c r="S40" s="706">
        <f t="shared" si="12"/>
        <v>100</v>
      </c>
      <c r="T40" s="705" t="s">
        <v>14</v>
      </c>
      <c r="U40" s="706">
        <f t="shared" si="13"/>
        <v>100</v>
      </c>
      <c r="V40" s="705" t="s">
        <v>14</v>
      </c>
      <c r="W40" s="706">
        <f t="shared" si="14"/>
        <v>100</v>
      </c>
      <c r="X40" s="1355"/>
      <c r="Y40" s="370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8"/>
      <c r="Q42" s="1352" t="str">
        <f t="shared" si="11"/>
        <v>内部装修</v>
      </c>
      <c r="R42" s="705" t="s">
        <v>14</v>
      </c>
      <c r="S42" s="706">
        <f t="shared" si="12"/>
        <v>100</v>
      </c>
      <c r="T42" s="705" t="s">
        <v>14</v>
      </c>
      <c r="U42" s="706">
        <f t="shared" si="13"/>
        <v>100</v>
      </c>
      <c r="V42" s="705" t="s">
        <v>14</v>
      </c>
      <c r="W42" s="706">
        <f t="shared" si="14"/>
        <v>100</v>
      </c>
      <c r="X42" s="1355"/>
      <c r="Y42" s="370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8"/>
      <c r="Q43" s="1352" t="str">
        <f t="shared" si="11"/>
        <v>内部装修维护情况</v>
      </c>
      <c r="R43" s="705" t="s">
        <v>14</v>
      </c>
      <c r="S43" s="706">
        <f t="shared" si="12"/>
        <v>100</v>
      </c>
      <c r="T43" s="705" t="s">
        <v>14</v>
      </c>
      <c r="U43" s="706">
        <f t="shared" si="13"/>
        <v>100</v>
      </c>
      <c r="V43" s="705" t="s">
        <v>14</v>
      </c>
      <c r="W43" s="706">
        <f t="shared" si="14"/>
        <v>100</v>
      </c>
      <c r="X43" s="1355"/>
      <c r="Y43" s="370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8"/>
      <c r="Q44" s="1343">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8"/>
      <c r="Q45" s="1352">
        <f t="shared" si="11"/>
        <v>111</v>
      </c>
      <c r="R45" s="705" t="s">
        <v>14</v>
      </c>
      <c r="S45" s="706">
        <f t="shared" si="12"/>
        <v>100</v>
      </c>
      <c r="T45" s="705" t="s">
        <v>14</v>
      </c>
      <c r="U45" s="706">
        <f t="shared" si="13"/>
        <v>100</v>
      </c>
      <c r="V45" s="705" t="s">
        <v>14</v>
      </c>
      <c r="W45" s="706">
        <f t="shared" si="14"/>
        <v>100</v>
      </c>
      <c r="X45" s="1355"/>
      <c r="Y45" s="370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3" t="str">
        <f>A47</f>
        <v>成交单价（元/平方米）</v>
      </c>
      <c r="Q47" s="3693"/>
      <c r="R47" s="3724">
        <f>E47</f>
        <v>0</v>
      </c>
      <c r="S47" s="3724"/>
      <c r="T47" s="3724">
        <f>G47</f>
        <v>0</v>
      </c>
      <c r="U47" s="3724"/>
      <c r="V47" s="3724">
        <f>I47</f>
        <v>0</v>
      </c>
      <c r="W47" s="372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受贵公司委托，我公司对北京市东城区崇文门外大街5号5-1幢4层501办公用房房地产抵押价值进行了预评估。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东城区崇文门外大街5号5-1幢4层501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2025年9月2日（评估专业人员实地查勘之日）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42" t="s">
        <v>1775</v>
      </c>
      <c r="Q4" s="3743"/>
      <c r="R4" s="3746" t="s">
        <v>1771</v>
      </c>
      <c r="S4" s="3747"/>
      <c r="T4" s="3746" t="s">
        <v>1772</v>
      </c>
      <c r="U4" s="3747"/>
      <c r="V4" s="3748" t="s">
        <v>1773</v>
      </c>
      <c r="W4" s="3748"/>
      <c r="X4" s="1958"/>
      <c r="Y4" s="3746" t="s">
        <v>1775</v>
      </c>
      <c r="Z4" s="3747"/>
      <c r="AA4" s="3750" t="s">
        <v>1771</v>
      </c>
      <c r="AB4" s="3750" t="s">
        <v>1772</v>
      </c>
      <c r="AC4" s="3739" t="s">
        <v>1773</v>
      </c>
    </row>
    <row r="5" spans="1:29" ht="15">
      <c r="A5" s="358"/>
      <c r="B5" s="359"/>
      <c r="C5" s="3727" t="s">
        <v>1673</v>
      </c>
      <c r="D5" s="3728"/>
      <c r="E5" s="3734" t="s">
        <v>1674</v>
      </c>
      <c r="F5" s="3735"/>
      <c r="G5" s="3727" t="s">
        <v>1675</v>
      </c>
      <c r="H5" s="3728"/>
      <c r="I5" s="3727" t="s">
        <v>1676</v>
      </c>
      <c r="J5" s="3728"/>
      <c r="K5" s="559"/>
      <c r="L5" s="2715"/>
      <c r="M5" s="2716"/>
      <c r="N5" s="2716"/>
      <c r="O5" s="2716"/>
      <c r="P5" s="3744"/>
      <c r="Q5" s="3715"/>
      <c r="R5" s="3720"/>
      <c r="S5" s="3721"/>
      <c r="T5" s="3720"/>
      <c r="U5" s="3721"/>
      <c r="V5" s="3724"/>
      <c r="W5" s="3724"/>
      <c r="X5" s="1355"/>
      <c r="Y5" s="3720"/>
      <c r="Z5" s="3721"/>
      <c r="AA5" s="3706"/>
      <c r="AB5" s="3706"/>
      <c r="AC5" s="3740"/>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45"/>
      <c r="Q6" s="3717"/>
      <c r="R6" s="3720"/>
      <c r="S6" s="3721"/>
      <c r="T6" s="3722"/>
      <c r="U6" s="3723"/>
      <c r="V6" s="3724"/>
      <c r="W6" s="3724"/>
      <c r="X6" s="1355"/>
      <c r="Y6" s="3722"/>
      <c r="Z6" s="3723"/>
      <c r="AA6" s="3707"/>
      <c r="AB6" s="3707"/>
      <c r="AC6" s="3741"/>
    </row>
    <row r="7" spans="1:29" s="108" customFormat="1" ht="15.75" thickBot="1">
      <c r="A7" s="362" t="s">
        <v>1679</v>
      </c>
      <c r="B7" s="363"/>
      <c r="C7" s="364">
        <f>'数据-取费表'!B2</f>
        <v>45902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730"/>
      <c r="R8" s="701" t="s">
        <v>14</v>
      </c>
      <c r="S8" s="702">
        <f t="shared" si="0"/>
        <v>100</v>
      </c>
      <c r="T8" s="701" t="s">
        <v>14</v>
      </c>
      <c r="U8" s="702">
        <f t="shared" si="1"/>
        <v>100</v>
      </c>
      <c r="V8" s="701" t="s">
        <v>14</v>
      </c>
      <c r="W8" s="702">
        <f t="shared" si="2"/>
        <v>100</v>
      </c>
      <c r="X8" s="703"/>
      <c r="Y8" s="3729" t="s">
        <v>1683</v>
      </c>
      <c r="Z8" s="373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4"/>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2" t="s">
        <v>1691</v>
      </c>
      <c r="Q15" s="1352" t="str">
        <f t="shared" si="6"/>
        <v>办公集聚程度</v>
      </c>
      <c r="R15" s="705" t="s">
        <v>14</v>
      </c>
      <c r="S15" s="706">
        <f t="shared" si="0"/>
        <v>100</v>
      </c>
      <c r="T15" s="705" t="s">
        <v>14</v>
      </c>
      <c r="U15" s="706">
        <f t="shared" si="1"/>
        <v>100</v>
      </c>
      <c r="V15" s="705" t="s">
        <v>14</v>
      </c>
      <c r="W15" s="706">
        <f t="shared" si="2"/>
        <v>100</v>
      </c>
      <c r="X15" s="1355"/>
      <c r="Y15" s="369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3"/>
      <c r="Q22" s="1352"/>
      <c r="R22" s="705"/>
      <c r="S22" s="706"/>
      <c r="T22" s="705"/>
      <c r="U22" s="706"/>
      <c r="V22" s="705"/>
      <c r="W22" s="706"/>
      <c r="X22" s="1355"/>
      <c r="Y22" s="369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3"/>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3"/>
      <c r="Q25" s="1352" t="str">
        <f>B25</f>
        <v>毗邻道路的类型与等级</v>
      </c>
      <c r="R25" s="705" t="s">
        <v>14</v>
      </c>
      <c r="S25" s="706">
        <f>F25</f>
        <v>100</v>
      </c>
      <c r="T25" s="705" t="s">
        <v>14</v>
      </c>
      <c r="U25" s="706">
        <f>H25</f>
        <v>100</v>
      </c>
      <c r="V25" s="705" t="s">
        <v>14</v>
      </c>
      <c r="W25" s="706">
        <f>J25</f>
        <v>100</v>
      </c>
      <c r="X25" s="1355"/>
      <c r="Y25" s="369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3"/>
      <c r="Q26" s="1352"/>
      <c r="R26" s="705"/>
      <c r="S26" s="706"/>
      <c r="T26" s="705"/>
      <c r="U26" s="706"/>
      <c r="V26" s="705"/>
      <c r="W26" s="706"/>
      <c r="X26" s="1355"/>
      <c r="Y26" s="369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3"/>
      <c r="Q27" s="1352" t="str">
        <f t="shared" ref="Q27:Q47" si="11">B27</f>
        <v>楼层</v>
      </c>
      <c r="R27" s="705" t="s">
        <v>14</v>
      </c>
      <c r="S27" s="706">
        <f>F27</f>
        <v>100</v>
      </c>
      <c r="T27" s="705" t="s">
        <v>14</v>
      </c>
      <c r="U27" s="706">
        <f>H27</f>
        <v>100</v>
      </c>
      <c r="V27" s="705" t="s">
        <v>14</v>
      </c>
      <c r="W27" s="706">
        <f>J27</f>
        <v>100</v>
      </c>
      <c r="X27" s="1355"/>
      <c r="Y27" s="369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3"/>
      <c r="Q28" s="1343" t="str">
        <f t="shared" si="11"/>
        <v>朝向</v>
      </c>
      <c r="R28" s="701" t="s">
        <v>14</v>
      </c>
      <c r="S28" s="702">
        <f>F28</f>
        <v>100</v>
      </c>
      <c r="T28" s="701" t="s">
        <v>14</v>
      </c>
      <c r="U28" s="702">
        <f>H28</f>
        <v>100</v>
      </c>
      <c r="V28" s="701" t="s">
        <v>14</v>
      </c>
      <c r="W28" s="702">
        <f>J28</f>
        <v>100</v>
      </c>
      <c r="X28" s="703"/>
      <c r="Y28" s="369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3"/>
      <c r="Q29" s="1352">
        <f t="shared" si="11"/>
        <v>111</v>
      </c>
      <c r="R29" s="705" t="s">
        <v>14</v>
      </c>
      <c r="S29" s="706">
        <f t="shared" ref="S29:S47" si="12">F29</f>
        <v>100</v>
      </c>
      <c r="T29" s="705" t="s">
        <v>14</v>
      </c>
      <c r="U29" s="706">
        <f t="shared" ref="U29:U47" si="13">H29</f>
        <v>100</v>
      </c>
      <c r="V29" s="705" t="s">
        <v>14</v>
      </c>
      <c r="W29" s="706">
        <f t="shared" ref="W29:W47" si="14">J29</f>
        <v>100</v>
      </c>
      <c r="X29" s="1355"/>
      <c r="Y29" s="369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3"/>
      <c r="Q32" s="1352">
        <f t="shared" si="11"/>
        <v>111</v>
      </c>
      <c r="R32" s="705" t="s">
        <v>14</v>
      </c>
      <c r="S32" s="706">
        <f t="shared" si="12"/>
        <v>100</v>
      </c>
      <c r="T32" s="705" t="s">
        <v>14</v>
      </c>
      <c r="U32" s="706">
        <f t="shared" si="13"/>
        <v>100</v>
      </c>
      <c r="V32" s="705" t="s">
        <v>14</v>
      </c>
      <c r="W32" s="706">
        <f t="shared" si="14"/>
        <v>100</v>
      </c>
      <c r="X32" s="1355"/>
      <c r="Y32" s="369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7" t="s">
        <v>1696</v>
      </c>
      <c r="Q33" s="1352" t="str">
        <f t="shared" si="11"/>
        <v>建筑类型</v>
      </c>
      <c r="R33" s="705" t="s">
        <v>14</v>
      </c>
      <c r="S33" s="706">
        <f t="shared" si="12"/>
        <v>100</v>
      </c>
      <c r="T33" s="705" t="s">
        <v>14</v>
      </c>
      <c r="U33" s="706">
        <f t="shared" si="13"/>
        <v>100</v>
      </c>
      <c r="V33" s="705" t="s">
        <v>14</v>
      </c>
      <c r="W33" s="706">
        <f t="shared" si="14"/>
        <v>100</v>
      </c>
      <c r="X33" s="1355"/>
      <c r="Y33" s="370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8"/>
      <c r="Q34" s="707" t="str">
        <f t="shared" si="11"/>
        <v>项目建筑规模</v>
      </c>
      <c r="R34" s="708" t="s">
        <v>14</v>
      </c>
      <c r="S34" s="709" t="e">
        <f t="shared" si="12"/>
        <v>#N/A</v>
      </c>
      <c r="T34" s="708" t="s">
        <v>14</v>
      </c>
      <c r="U34" s="709" t="e">
        <f t="shared" si="13"/>
        <v>#N/A</v>
      </c>
      <c r="V34" s="708" t="s">
        <v>14</v>
      </c>
      <c r="W34" s="709" t="e">
        <f t="shared" si="14"/>
        <v>#N/A</v>
      </c>
      <c r="X34" s="710"/>
      <c r="Y34" s="370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8"/>
      <c r="Q35" s="1352" t="str">
        <f t="shared" si="11"/>
        <v>建筑结构</v>
      </c>
      <c r="R35" s="705" t="s">
        <v>14</v>
      </c>
      <c r="S35" s="706">
        <f t="shared" si="12"/>
        <v>100</v>
      </c>
      <c r="T35" s="705" t="s">
        <v>14</v>
      </c>
      <c r="U35" s="706">
        <f t="shared" si="13"/>
        <v>100</v>
      </c>
      <c r="V35" s="705" t="s">
        <v>14</v>
      </c>
      <c r="W35" s="706">
        <f t="shared" si="14"/>
        <v>100</v>
      </c>
      <c r="X35" s="1355"/>
      <c r="Y35" s="370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8"/>
      <c r="Q36" s="1352" t="str">
        <f t="shared" si="11"/>
        <v>公共部分装修</v>
      </c>
      <c r="R36" s="705" t="s">
        <v>14</v>
      </c>
      <c r="S36" s="706">
        <f t="shared" si="12"/>
        <v>100</v>
      </c>
      <c r="T36" s="705" t="s">
        <v>14</v>
      </c>
      <c r="U36" s="706">
        <f t="shared" si="13"/>
        <v>100</v>
      </c>
      <c r="V36" s="705" t="s">
        <v>14</v>
      </c>
      <c r="W36" s="706">
        <f t="shared" si="14"/>
        <v>100</v>
      </c>
      <c r="X36" s="1355"/>
      <c r="Y36" s="370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8"/>
      <c r="Q37" s="1352" t="str">
        <f t="shared" si="11"/>
        <v>成新度</v>
      </c>
      <c r="R37" s="705" t="s">
        <v>14</v>
      </c>
      <c r="S37" s="706" t="e">
        <f t="shared" si="12"/>
        <v>#N/A</v>
      </c>
      <c r="T37" s="705" t="s">
        <v>14</v>
      </c>
      <c r="U37" s="706" t="e">
        <f t="shared" si="13"/>
        <v>#N/A</v>
      </c>
      <c r="V37" s="705" t="s">
        <v>14</v>
      </c>
      <c r="W37" s="706" t="e">
        <f t="shared" si="14"/>
        <v>#N/A</v>
      </c>
      <c r="X37" s="1355"/>
      <c r="Y37" s="370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8"/>
      <c r="Q38" s="1343"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8" t="s">
        <v>1696</v>
      </c>
      <c r="Q39" s="1352" t="str">
        <f t="shared" si="11"/>
        <v>物业管理</v>
      </c>
      <c r="R39" s="705" t="s">
        <v>14</v>
      </c>
      <c r="S39" s="706">
        <f t="shared" si="12"/>
        <v>100</v>
      </c>
      <c r="T39" s="705" t="s">
        <v>14</v>
      </c>
      <c r="U39" s="706">
        <f t="shared" si="13"/>
        <v>100</v>
      </c>
      <c r="V39" s="705" t="s">
        <v>14</v>
      </c>
      <c r="W39" s="706">
        <f t="shared" si="14"/>
        <v>100</v>
      </c>
      <c r="X39" s="1355"/>
      <c r="Y39" s="370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8"/>
      <c r="Q40" s="1352" t="str">
        <f t="shared" si="11"/>
        <v>市政基础设施</v>
      </c>
      <c r="R40" s="705" t="s">
        <v>14</v>
      </c>
      <c r="S40" s="706">
        <f t="shared" si="12"/>
        <v>100</v>
      </c>
      <c r="T40" s="705" t="s">
        <v>14</v>
      </c>
      <c r="U40" s="706">
        <f t="shared" si="13"/>
        <v>100</v>
      </c>
      <c r="V40" s="705" t="s">
        <v>14</v>
      </c>
      <c r="W40" s="706">
        <f t="shared" si="14"/>
        <v>100</v>
      </c>
      <c r="X40" s="1355"/>
      <c r="Y40" s="370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8"/>
      <c r="Q41" s="1352" t="str">
        <f t="shared" si="11"/>
        <v>层高</v>
      </c>
      <c r="R41" s="705" t="s">
        <v>14</v>
      </c>
      <c r="S41" s="706">
        <f t="shared" si="12"/>
        <v>100</v>
      </c>
      <c r="T41" s="705" t="s">
        <v>14</v>
      </c>
      <c r="U41" s="706">
        <f t="shared" si="13"/>
        <v>100</v>
      </c>
      <c r="V41" s="705" t="s">
        <v>14</v>
      </c>
      <c r="W41" s="706">
        <f t="shared" si="14"/>
        <v>100</v>
      </c>
      <c r="X41" s="1355"/>
      <c r="Y41" s="370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8"/>
      <c r="Q43" s="1352" t="str">
        <f t="shared" si="11"/>
        <v>内部装修</v>
      </c>
      <c r="R43" s="705" t="s">
        <v>14</v>
      </c>
      <c r="S43" s="706">
        <f t="shared" si="12"/>
        <v>100</v>
      </c>
      <c r="T43" s="705" t="s">
        <v>14</v>
      </c>
      <c r="U43" s="706">
        <f t="shared" si="13"/>
        <v>100</v>
      </c>
      <c r="V43" s="705" t="s">
        <v>14</v>
      </c>
      <c r="W43" s="706">
        <f t="shared" si="14"/>
        <v>100</v>
      </c>
      <c r="X43" s="1355"/>
      <c r="Y43" s="370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8"/>
      <c r="Q44" s="1352" t="str">
        <f t="shared" si="11"/>
        <v>内部装修维护情况</v>
      </c>
      <c r="R44" s="705" t="s">
        <v>14</v>
      </c>
      <c r="S44" s="706">
        <f t="shared" si="12"/>
        <v>100</v>
      </c>
      <c r="T44" s="705" t="s">
        <v>14</v>
      </c>
      <c r="U44" s="706">
        <f t="shared" si="13"/>
        <v>100</v>
      </c>
      <c r="V44" s="705" t="s">
        <v>14</v>
      </c>
      <c r="W44" s="706">
        <f t="shared" si="14"/>
        <v>100</v>
      </c>
      <c r="X44" s="1355"/>
      <c r="Y44" s="370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8"/>
      <c r="Q45" s="1343">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9"/>
      <c r="Q47" s="1352">
        <f t="shared" si="11"/>
        <v>111</v>
      </c>
      <c r="R47" s="705" t="s">
        <v>14</v>
      </c>
      <c r="S47" s="706">
        <f t="shared" si="12"/>
        <v>100</v>
      </c>
      <c r="T47" s="705" t="s">
        <v>14</v>
      </c>
      <c r="U47" s="706">
        <f t="shared" si="13"/>
        <v>100</v>
      </c>
      <c r="V47" s="705" t="s">
        <v>14</v>
      </c>
      <c r="W47" s="706">
        <f t="shared" si="14"/>
        <v>100</v>
      </c>
      <c r="X47" s="1355"/>
      <c r="Y47" s="370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4" t="str">
        <f>A48</f>
        <v>成交单价（元/平方米）</v>
      </c>
      <c r="Q48" s="3693"/>
      <c r="R48" s="3694">
        <f>E48</f>
        <v>0</v>
      </c>
      <c r="S48" s="3694"/>
      <c r="T48" s="3694">
        <f>G48</f>
        <v>0</v>
      </c>
      <c r="U48" s="3694"/>
      <c r="V48" s="3694">
        <f>I48</f>
        <v>0</v>
      </c>
      <c r="W48" s="369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4"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913"/>
      <c r="M4" s="914"/>
      <c r="N4" s="914"/>
      <c r="O4" s="914"/>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913"/>
      <c r="M5" s="914"/>
      <c r="N5" s="914"/>
      <c r="O5" s="914"/>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913"/>
      <c r="M6" s="914"/>
      <c r="N6" s="914"/>
      <c r="O6" s="914"/>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45902</v>
      </c>
      <c r="D7" s="365">
        <v>100</v>
      </c>
      <c r="E7" s="366"/>
      <c r="F7" s="367">
        <f>SUMIF(52:52,YEAR(E7)&amp;"-"&amp;MONTH(E7),53:53)</f>
        <v>0</v>
      </c>
      <c r="G7" s="366"/>
      <c r="H7" s="365">
        <f>SUMIF(52:52,YEAR(G7)&amp;"-"&amp;MONTH(G7),53:53)</f>
        <v>0</v>
      </c>
      <c r="I7" s="366"/>
      <c r="J7" s="365">
        <f>SUMIF(52:52,YEAR(I7)&amp;"-"&amp;MONTH(I7),53:53)</f>
        <v>0</v>
      </c>
      <c r="K7" s="560"/>
      <c r="L7" s="915"/>
      <c r="M7" s="916"/>
      <c r="N7" s="916"/>
      <c r="O7" s="916"/>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9" t="s">
        <v>1683</v>
      </c>
      <c r="Q8" s="3730"/>
      <c r="R8" s="701" t="s">
        <v>14</v>
      </c>
      <c r="S8" s="702">
        <f t="shared" si="0"/>
        <v>100</v>
      </c>
      <c r="T8" s="701" t="s">
        <v>14</v>
      </c>
      <c r="U8" s="702">
        <f t="shared" si="1"/>
        <v>100</v>
      </c>
      <c r="V8" s="701" t="s">
        <v>14</v>
      </c>
      <c r="W8" s="702">
        <f t="shared" si="2"/>
        <v>100</v>
      </c>
      <c r="X8" s="703"/>
      <c r="Y8" s="3729" t="s">
        <v>1683</v>
      </c>
      <c r="Z8" s="373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6"/>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6"/>
      <c r="Q18" s="1352"/>
      <c r="R18" s="705"/>
      <c r="S18" s="706"/>
      <c r="T18" s="705"/>
      <c r="U18" s="706"/>
      <c r="V18" s="705"/>
      <c r="W18" s="706"/>
      <c r="X18" s="1355"/>
      <c r="Y18" s="369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6"/>
      <c r="Q20" s="1352"/>
      <c r="R20" s="705"/>
      <c r="S20" s="706"/>
      <c r="T20" s="705"/>
      <c r="U20" s="706"/>
      <c r="V20" s="705"/>
      <c r="W20" s="706"/>
      <c r="X20" s="1355"/>
      <c r="Y20" s="369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6"/>
      <c r="Q22" s="1352"/>
      <c r="R22" s="705"/>
      <c r="S22" s="706"/>
      <c r="T22" s="705"/>
      <c r="U22" s="706"/>
      <c r="V22" s="705"/>
      <c r="W22" s="706"/>
      <c r="X22" s="1355"/>
      <c r="Y22" s="369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6"/>
      <c r="Q24" s="1352"/>
      <c r="R24" s="705"/>
      <c r="S24" s="706"/>
      <c r="T24" s="705"/>
      <c r="U24" s="706"/>
      <c r="V24" s="705"/>
      <c r="W24" s="706"/>
      <c r="X24" s="1355"/>
      <c r="Y24" s="369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2">
        <f>B25</f>
        <v>111</v>
      </c>
      <c r="R25" s="705" t="s">
        <v>14</v>
      </c>
      <c r="S25" s="706">
        <f>F25</f>
        <v>100</v>
      </c>
      <c r="T25" s="705" t="s">
        <v>14</v>
      </c>
      <c r="U25" s="706">
        <f>H25</f>
        <v>100</v>
      </c>
      <c r="V25" s="705" t="s">
        <v>14</v>
      </c>
      <c r="W25" s="706">
        <f>J25</f>
        <v>100</v>
      </c>
      <c r="X25" s="1355"/>
      <c r="Y25" s="369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2">
        <f t="shared" ref="Q26:Q40" si="11">B26</f>
        <v>111</v>
      </c>
      <c r="R26" s="705" t="s">
        <v>14</v>
      </c>
      <c r="S26" s="706">
        <f>F26</f>
        <v>100</v>
      </c>
      <c r="T26" s="705" t="s">
        <v>14</v>
      </c>
      <c r="U26" s="706">
        <f>H26</f>
        <v>100</v>
      </c>
      <c r="V26" s="705" t="s">
        <v>14</v>
      </c>
      <c r="W26" s="706">
        <f>J26</f>
        <v>100</v>
      </c>
      <c r="X26" s="1355"/>
      <c r="Y26" s="369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3">
        <f t="shared" si="11"/>
        <v>111</v>
      </c>
      <c r="R27" s="701" t="s">
        <v>14</v>
      </c>
      <c r="S27" s="702">
        <f>F27</f>
        <v>100</v>
      </c>
      <c r="T27" s="701" t="s">
        <v>14</v>
      </c>
      <c r="U27" s="702">
        <f>H27</f>
        <v>100</v>
      </c>
      <c r="V27" s="701" t="s">
        <v>14</v>
      </c>
      <c r="W27" s="702">
        <f>J27</f>
        <v>100</v>
      </c>
      <c r="X27" s="703"/>
      <c r="Y27" s="369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2">
        <f t="shared" si="11"/>
        <v>111</v>
      </c>
      <c r="R28" s="705" t="s">
        <v>14</v>
      </c>
      <c r="S28" s="706">
        <f t="shared" ref="S28:S40" si="12">F28</f>
        <v>100</v>
      </c>
      <c r="T28" s="705" t="s">
        <v>14</v>
      </c>
      <c r="U28" s="706">
        <f t="shared" ref="U28:U40" si="13">H28</f>
        <v>100</v>
      </c>
      <c r="V28" s="705" t="s">
        <v>14</v>
      </c>
      <c r="W28" s="706">
        <f t="shared" ref="W28:W40" si="14">J28</f>
        <v>100</v>
      </c>
      <c r="X28" s="1355"/>
      <c r="Y28" s="369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1696</v>
      </c>
      <c r="Q29" s="1352" t="str">
        <f t="shared" si="11"/>
        <v>建筑类型</v>
      </c>
      <c r="R29" s="705" t="s">
        <v>14</v>
      </c>
      <c r="S29" s="706">
        <f t="shared" si="12"/>
        <v>100</v>
      </c>
      <c r="T29" s="705" t="s">
        <v>14</v>
      </c>
      <c r="U29" s="706">
        <f t="shared" si="13"/>
        <v>100</v>
      </c>
      <c r="V29" s="705" t="s">
        <v>14</v>
      </c>
      <c r="W29" s="706">
        <f t="shared" si="14"/>
        <v>100</v>
      </c>
      <c r="X29" s="1355"/>
      <c r="Y29" s="370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2" t="str">
        <f t="shared" si="11"/>
        <v>建筑结构</v>
      </c>
      <c r="R31" s="705" t="s">
        <v>14</v>
      </c>
      <c r="S31" s="706">
        <f t="shared" si="12"/>
        <v>100</v>
      </c>
      <c r="T31" s="705" t="s">
        <v>14</v>
      </c>
      <c r="U31" s="706">
        <f t="shared" si="13"/>
        <v>100</v>
      </c>
      <c r="V31" s="705" t="s">
        <v>14</v>
      </c>
      <c r="W31" s="706">
        <f t="shared" si="14"/>
        <v>100</v>
      </c>
      <c r="X31" s="1355"/>
      <c r="Y31" s="370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2" t="str">
        <f t="shared" si="11"/>
        <v>公共部分装修</v>
      </c>
      <c r="R32" s="705" t="s">
        <v>14</v>
      </c>
      <c r="S32" s="706">
        <f t="shared" si="12"/>
        <v>100</v>
      </c>
      <c r="T32" s="705" t="s">
        <v>14</v>
      </c>
      <c r="U32" s="706">
        <f t="shared" si="13"/>
        <v>100</v>
      </c>
      <c r="V32" s="705" t="s">
        <v>14</v>
      </c>
      <c r="W32" s="706">
        <f t="shared" si="14"/>
        <v>100</v>
      </c>
      <c r="X32" s="1355"/>
      <c r="Y32" s="370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2" t="str">
        <f t="shared" si="11"/>
        <v>成新度</v>
      </c>
      <c r="R33" s="705" t="s">
        <v>14</v>
      </c>
      <c r="S33" s="706" t="e">
        <f t="shared" si="12"/>
        <v>#N/A</v>
      </c>
      <c r="T33" s="705" t="s">
        <v>14</v>
      </c>
      <c r="U33" s="706" t="e">
        <f t="shared" si="13"/>
        <v>#N/A</v>
      </c>
      <c r="V33" s="705" t="s">
        <v>14</v>
      </c>
      <c r="W33" s="706" t="e">
        <f t="shared" si="14"/>
        <v>#N/A</v>
      </c>
      <c r="X33" s="1355"/>
      <c r="Y33" s="370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3"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1696</v>
      </c>
      <c r="Q35" s="1352" t="str">
        <f t="shared" si="11"/>
        <v>市政基础设施</v>
      </c>
      <c r="R35" s="705" t="s">
        <v>14</v>
      </c>
      <c r="S35" s="706">
        <f t="shared" si="12"/>
        <v>100</v>
      </c>
      <c r="T35" s="705" t="s">
        <v>14</v>
      </c>
      <c r="U35" s="706">
        <f t="shared" si="13"/>
        <v>100</v>
      </c>
      <c r="V35" s="705" t="s">
        <v>14</v>
      </c>
      <c r="W35" s="706">
        <f t="shared" si="14"/>
        <v>100</v>
      </c>
      <c r="X35" s="1355"/>
      <c r="Y35" s="370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2" t="str">
        <f t="shared" si="11"/>
        <v>内部装修</v>
      </c>
      <c r="R36" s="705" t="s">
        <v>14</v>
      </c>
      <c r="S36" s="706">
        <f t="shared" si="12"/>
        <v>100</v>
      </c>
      <c r="T36" s="705" t="s">
        <v>14</v>
      </c>
      <c r="U36" s="706">
        <f t="shared" si="13"/>
        <v>100</v>
      </c>
      <c r="V36" s="705" t="s">
        <v>14</v>
      </c>
      <c r="W36" s="706">
        <f t="shared" si="14"/>
        <v>100</v>
      </c>
      <c r="X36" s="1355"/>
      <c r="Y36" s="370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2" t="str">
        <f t="shared" si="11"/>
        <v>内部装修状况</v>
      </c>
      <c r="R37" s="705" t="s">
        <v>14</v>
      </c>
      <c r="S37" s="706">
        <f t="shared" si="12"/>
        <v>100</v>
      </c>
      <c r="T37" s="705" t="s">
        <v>14</v>
      </c>
      <c r="U37" s="706">
        <f t="shared" si="13"/>
        <v>100</v>
      </c>
      <c r="V37" s="705" t="s">
        <v>14</v>
      </c>
      <c r="W37" s="706">
        <f t="shared" si="14"/>
        <v>100</v>
      </c>
      <c r="X37" s="1355"/>
      <c r="Y37" s="370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2">
        <f t="shared" si="11"/>
        <v>111</v>
      </c>
      <c r="R39" s="705" t="s">
        <v>14</v>
      </c>
      <c r="S39" s="706">
        <f t="shared" si="12"/>
        <v>100</v>
      </c>
      <c r="T39" s="705" t="s">
        <v>14</v>
      </c>
      <c r="U39" s="706">
        <f t="shared" si="13"/>
        <v>100</v>
      </c>
      <c r="V39" s="705" t="s">
        <v>14</v>
      </c>
      <c r="W39" s="706">
        <f t="shared" si="14"/>
        <v>100</v>
      </c>
      <c r="X39" s="1355"/>
      <c r="Y39" s="370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2">
        <f t="shared" si="11"/>
        <v>111</v>
      </c>
      <c r="R40" s="705" t="s">
        <v>14</v>
      </c>
      <c r="S40" s="706">
        <f t="shared" si="12"/>
        <v>100</v>
      </c>
      <c r="T40" s="705" t="s">
        <v>14</v>
      </c>
      <c r="U40" s="706">
        <f t="shared" si="13"/>
        <v>100</v>
      </c>
      <c r="V40" s="705" t="s">
        <v>14</v>
      </c>
      <c r="W40" s="706">
        <f t="shared" si="14"/>
        <v>100</v>
      </c>
      <c r="X40" s="1355"/>
      <c r="Y40" s="370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3" t="str">
        <f>A41</f>
        <v>成交单价（元/平方米）</v>
      </c>
      <c r="Q41" s="3693"/>
      <c r="R41" s="3694">
        <f>E41</f>
        <v>0</v>
      </c>
      <c r="S41" s="3694"/>
      <c r="T41" s="3694">
        <f>G41</f>
        <v>0</v>
      </c>
      <c r="U41" s="3694"/>
      <c r="V41" s="3694">
        <f>I41</f>
        <v>0</v>
      </c>
      <c r="W41" s="369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45902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3" t="s">
        <v>1686</v>
      </c>
      <c r="Q9" s="1343"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6"/>
      <c r="Q15" s="1352"/>
      <c r="R15" s="705"/>
      <c r="S15" s="706"/>
      <c r="T15" s="705"/>
      <c r="U15" s="706"/>
      <c r="V15" s="705"/>
      <c r="W15" s="706"/>
      <c r="X15" s="1355"/>
      <c r="Y15" s="369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6"/>
      <c r="Q17" s="1352"/>
      <c r="R17" s="705"/>
      <c r="S17" s="706"/>
      <c r="T17" s="705"/>
      <c r="U17" s="706"/>
      <c r="V17" s="705"/>
      <c r="W17" s="706"/>
      <c r="X17" s="1355"/>
      <c r="Y17" s="369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6"/>
      <c r="Q19" s="1352"/>
      <c r="R19" s="705"/>
      <c r="S19" s="706"/>
      <c r="T19" s="705"/>
      <c r="U19" s="706"/>
      <c r="V19" s="705"/>
      <c r="W19" s="706"/>
      <c r="X19" s="1355"/>
      <c r="Y19" s="369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6"/>
      <c r="Q21" s="1352"/>
      <c r="R21" s="705"/>
      <c r="S21" s="706"/>
      <c r="T21" s="705"/>
      <c r="U21" s="706"/>
      <c r="V21" s="705"/>
      <c r="W21" s="706"/>
      <c r="X21" s="1355"/>
      <c r="Y21" s="369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6"/>
      <c r="Q24" s="1352">
        <f t="shared" ref="Q24:Q36"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0"/>
      <c r="Q28" s="1352" t="str">
        <f t="shared" si="11"/>
        <v>公共部分装修</v>
      </c>
      <c r="R28" s="705" t="s">
        <v>14</v>
      </c>
      <c r="S28" s="706">
        <f t="shared" si="12"/>
        <v>100</v>
      </c>
      <c r="T28" s="705" t="s">
        <v>14</v>
      </c>
      <c r="U28" s="706">
        <f t="shared" si="13"/>
        <v>100</v>
      </c>
      <c r="V28" s="705" t="s">
        <v>14</v>
      </c>
      <c r="W28" s="706">
        <f t="shared" si="14"/>
        <v>100</v>
      </c>
      <c r="X28" s="1355"/>
      <c r="Y28" s="370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0"/>
      <c r="Q29" s="1352" t="str">
        <f t="shared" si="11"/>
        <v>成新率</v>
      </c>
      <c r="R29" s="705" t="s">
        <v>14</v>
      </c>
      <c r="S29" s="706" t="e">
        <f t="shared" si="12"/>
        <v>#N/A</v>
      </c>
      <c r="T29" s="705" t="s">
        <v>14</v>
      </c>
      <c r="U29" s="706" t="e">
        <f t="shared" si="13"/>
        <v>#N/A</v>
      </c>
      <c r="V29" s="705" t="s">
        <v>14</v>
      </c>
      <c r="W29" s="706" t="e">
        <f t="shared" si="14"/>
        <v>#N/A</v>
      </c>
      <c r="X29" s="1355"/>
      <c r="Y29" s="370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0"/>
      <c r="Q30" s="1352" t="str">
        <f t="shared" si="11"/>
        <v>物业等级</v>
      </c>
      <c r="R30" s="705" t="s">
        <v>14</v>
      </c>
      <c r="S30" s="706">
        <f t="shared" si="12"/>
        <v>100</v>
      </c>
      <c r="T30" s="705" t="s">
        <v>14</v>
      </c>
      <c r="U30" s="706">
        <f t="shared" si="13"/>
        <v>100</v>
      </c>
      <c r="V30" s="705" t="s">
        <v>14</v>
      </c>
      <c r="W30" s="706">
        <f t="shared" si="14"/>
        <v>100</v>
      </c>
      <c r="X30" s="1355"/>
      <c r="Y30" s="370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0"/>
      <c r="Q31" s="1343"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0" t="s">
        <v>1696</v>
      </c>
      <c r="Q32" s="1352" t="str">
        <f t="shared" si="11"/>
        <v>车位类型</v>
      </c>
      <c r="R32" s="705" t="s">
        <v>14</v>
      </c>
      <c r="S32" s="706">
        <f t="shared" si="12"/>
        <v>100</v>
      </c>
      <c r="T32" s="705" t="s">
        <v>14</v>
      </c>
      <c r="U32" s="706">
        <f t="shared" si="13"/>
        <v>100</v>
      </c>
      <c r="V32" s="705" t="s">
        <v>14</v>
      </c>
      <c r="W32" s="706">
        <f t="shared" si="14"/>
        <v>100</v>
      </c>
      <c r="X32" s="1355"/>
      <c r="Y32" s="370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0"/>
      <c r="Q33" s="1352" t="str">
        <f t="shared" si="11"/>
        <v>是否直接入户</v>
      </c>
      <c r="R33" s="705" t="s">
        <v>14</v>
      </c>
      <c r="S33" s="706">
        <f t="shared" si="12"/>
        <v>100</v>
      </c>
      <c r="T33" s="705" t="s">
        <v>14</v>
      </c>
      <c r="U33" s="706">
        <f t="shared" si="13"/>
        <v>100</v>
      </c>
      <c r="V33" s="705" t="s">
        <v>14</v>
      </c>
      <c r="W33" s="706">
        <f t="shared" si="14"/>
        <v>100</v>
      </c>
      <c r="X33" s="1355"/>
      <c r="Y33" s="370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0"/>
      <c r="Q36" s="1352">
        <f t="shared" si="11"/>
        <v>111</v>
      </c>
      <c r="R36" s="705" t="s">
        <v>14</v>
      </c>
      <c r="S36" s="706">
        <f t="shared" si="12"/>
        <v>100</v>
      </c>
      <c r="T36" s="705" t="s">
        <v>14</v>
      </c>
      <c r="U36" s="706">
        <f t="shared" si="13"/>
        <v>100</v>
      </c>
      <c r="V36" s="705" t="s">
        <v>14</v>
      </c>
      <c r="W36" s="706">
        <f t="shared" si="14"/>
        <v>100</v>
      </c>
      <c r="X36" s="1355"/>
      <c r="Y36" s="3700"/>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93" t="str">
        <f>A37</f>
        <v>成交单价</v>
      </c>
      <c r="Q37" s="3693"/>
      <c r="R37" s="3694">
        <f>E37</f>
        <v>0</v>
      </c>
      <c r="S37" s="3694"/>
      <c r="T37" s="3694">
        <f>G37</f>
        <v>0</v>
      </c>
      <c r="U37" s="3694"/>
      <c r="V37" s="3694">
        <f>I37</f>
        <v>0</v>
      </c>
      <c r="W37" s="369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0" t="str">
        <f>A39</f>
        <v>估价对象XX用房的比较价值（楼面单价，元/平方米）</v>
      </c>
      <c r="Q39" s="3691"/>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45902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3" t="s">
        <v>1686</v>
      </c>
      <c r="Q9" s="1343"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6"/>
      <c r="Q15" s="1352"/>
      <c r="R15" s="705"/>
      <c r="S15" s="706"/>
      <c r="T15" s="705"/>
      <c r="U15" s="706"/>
      <c r="V15" s="705"/>
      <c r="W15" s="706"/>
      <c r="X15" s="1355"/>
      <c r="Y15" s="369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6"/>
      <c r="Q17" s="1352"/>
      <c r="R17" s="705"/>
      <c r="S17" s="706"/>
      <c r="T17" s="705"/>
      <c r="U17" s="706"/>
      <c r="V17" s="705"/>
      <c r="W17" s="706"/>
      <c r="X17" s="1355"/>
      <c r="Y17" s="369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6"/>
      <c r="Q19" s="1352"/>
      <c r="R19" s="705"/>
      <c r="S19" s="706"/>
      <c r="T19" s="705"/>
      <c r="U19" s="706"/>
      <c r="V19" s="705"/>
      <c r="W19" s="706"/>
      <c r="X19" s="1355"/>
      <c r="Y19" s="369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6"/>
      <c r="Q21" s="1352"/>
      <c r="R21" s="705"/>
      <c r="S21" s="706"/>
      <c r="T21" s="705"/>
      <c r="U21" s="706"/>
      <c r="V21" s="705"/>
      <c r="W21" s="706"/>
      <c r="X21" s="1355"/>
      <c r="Y21" s="369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6"/>
      <c r="Q24" s="1352">
        <f t="shared" ref="Q24:Q34"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0"/>
      <c r="Q28" s="1352" t="str">
        <f t="shared" si="11"/>
        <v>物业等级</v>
      </c>
      <c r="R28" s="705" t="s">
        <v>14</v>
      </c>
      <c r="S28" s="706">
        <f t="shared" si="12"/>
        <v>100</v>
      </c>
      <c r="T28" s="705" t="s">
        <v>14</v>
      </c>
      <c r="U28" s="706">
        <f t="shared" si="13"/>
        <v>100</v>
      </c>
      <c r="V28" s="705" t="s">
        <v>14</v>
      </c>
      <c r="W28" s="706">
        <f t="shared" si="14"/>
        <v>100</v>
      </c>
      <c r="X28" s="1355"/>
      <c r="Y28" s="370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0"/>
      <c r="Q29" s="1352" t="str">
        <f t="shared" si="11"/>
        <v>有无电梯</v>
      </c>
      <c r="R29" s="705" t="s">
        <v>14</v>
      </c>
      <c r="S29" s="706">
        <f t="shared" si="12"/>
        <v>100</v>
      </c>
      <c r="T29" s="705" t="s">
        <v>14</v>
      </c>
      <c r="U29" s="706">
        <f t="shared" si="13"/>
        <v>100</v>
      </c>
      <c r="V29" s="705" t="s">
        <v>14</v>
      </c>
      <c r="W29" s="706">
        <f t="shared" si="14"/>
        <v>100</v>
      </c>
      <c r="X29" s="1355"/>
      <c r="Y29" s="370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0"/>
      <c r="Q30" s="1352" t="str">
        <f t="shared" si="11"/>
        <v>建筑面积</v>
      </c>
      <c r="R30" s="705" t="s">
        <v>14</v>
      </c>
      <c r="S30" s="706" t="e">
        <f t="shared" si="12"/>
        <v>#N/A</v>
      </c>
      <c r="T30" s="705" t="s">
        <v>14</v>
      </c>
      <c r="U30" s="706" t="e">
        <f t="shared" si="13"/>
        <v>#N/A</v>
      </c>
      <c r="V30" s="705" t="s">
        <v>14</v>
      </c>
      <c r="W30" s="706" t="e">
        <f t="shared" si="14"/>
        <v>#N/A</v>
      </c>
      <c r="X30" s="1355"/>
      <c r="Y30" s="370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0"/>
      <c r="Q31" s="1343"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0" t="s">
        <v>1696</v>
      </c>
      <c r="Q32" s="1352">
        <f t="shared" si="11"/>
        <v>111</v>
      </c>
      <c r="R32" s="705" t="s">
        <v>14</v>
      </c>
      <c r="S32" s="706">
        <f t="shared" si="12"/>
        <v>100</v>
      </c>
      <c r="T32" s="705" t="s">
        <v>14</v>
      </c>
      <c r="U32" s="706">
        <f t="shared" si="13"/>
        <v>100</v>
      </c>
      <c r="V32" s="705" t="s">
        <v>14</v>
      </c>
      <c r="W32" s="706">
        <f t="shared" si="14"/>
        <v>100</v>
      </c>
      <c r="X32" s="1355"/>
      <c r="Y32" s="370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0"/>
      <c r="Q33" s="1352">
        <f t="shared" si="11"/>
        <v>111</v>
      </c>
      <c r="R33" s="705" t="s">
        <v>14</v>
      </c>
      <c r="S33" s="706">
        <f t="shared" si="12"/>
        <v>100</v>
      </c>
      <c r="T33" s="705" t="s">
        <v>14</v>
      </c>
      <c r="U33" s="706">
        <f t="shared" si="13"/>
        <v>100</v>
      </c>
      <c r="V33" s="705" t="s">
        <v>14</v>
      </c>
      <c r="W33" s="706">
        <f t="shared" si="14"/>
        <v>100</v>
      </c>
      <c r="X33" s="1355"/>
      <c r="Y33" s="370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3" t="str">
        <f>A35</f>
        <v>成交单价（元/平方米）</v>
      </c>
      <c r="Q35" s="3693"/>
      <c r="R35" s="3694">
        <f>E35</f>
        <v>0</v>
      </c>
      <c r="S35" s="3694"/>
      <c r="T35" s="3694">
        <f>G35</f>
        <v>0</v>
      </c>
      <c r="U35" s="3694"/>
      <c r="V35" s="3694">
        <f>I35</f>
        <v>0</v>
      </c>
      <c r="W35" s="369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0" t="str">
        <f>A37</f>
        <v>估价对象XX用房的比较价值（楼面单价，元/平方米）</v>
      </c>
      <c r="Q37" s="3691"/>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30"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30"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30" s="108" customFormat="1" ht="15.75" thickBot="1">
      <c r="A7" s="362" t="s">
        <v>1679</v>
      </c>
      <c r="B7" s="363"/>
      <c r="C7" s="364">
        <f>'数据-取费表'!B2</f>
        <v>45902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3"/>
      <c r="Q10" s="1343" t="str">
        <f t="shared" si="6"/>
        <v>土地使用年限（年）</v>
      </c>
      <c r="R10" s="701" t="s">
        <v>14</v>
      </c>
      <c r="S10" s="702" t="e">
        <f t="shared" si="0"/>
        <v>#DIV/0!</v>
      </c>
      <c r="T10" s="701" t="s">
        <v>14</v>
      </c>
      <c r="U10" s="702" t="e">
        <f t="shared" si="1"/>
        <v>#DIV/0!</v>
      </c>
      <c r="V10" s="701" t="s">
        <v>14</v>
      </c>
      <c r="W10" s="702" t="e">
        <f t="shared" si="2"/>
        <v>#DIV/0!</v>
      </c>
      <c r="X10" s="703"/>
      <c r="Y10" s="356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3"/>
      <c r="Q12" s="1343" t="str">
        <f t="shared" si="6"/>
        <v>配建</v>
      </c>
      <c r="R12" s="701" t="s">
        <v>14</v>
      </c>
      <c r="S12" s="702">
        <f t="shared" si="0"/>
        <v>100</v>
      </c>
      <c r="T12" s="701" t="s">
        <v>14</v>
      </c>
      <c r="U12" s="702">
        <f t="shared" si="1"/>
        <v>100</v>
      </c>
      <c r="V12" s="701" t="s">
        <v>14</v>
      </c>
      <c r="W12" s="702">
        <f t="shared" si="2"/>
        <v>100</v>
      </c>
      <c r="X12" s="703"/>
      <c r="Y12" s="356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5" t="s">
        <v>1691</v>
      </c>
      <c r="Q15" s="1352" t="str">
        <f t="shared" si="6"/>
        <v>居住社区成熟度</v>
      </c>
      <c r="R15" s="705" t="s">
        <v>14</v>
      </c>
      <c r="S15" s="706">
        <f t="shared" si="0"/>
        <v>100</v>
      </c>
      <c r="T15" s="705" t="s">
        <v>14</v>
      </c>
      <c r="U15" s="706">
        <f t="shared" si="1"/>
        <v>100</v>
      </c>
      <c r="V15" s="705" t="s">
        <v>14</v>
      </c>
      <c r="W15" s="706">
        <f t="shared" si="2"/>
        <v>100</v>
      </c>
      <c r="X15" s="1355"/>
      <c r="Y15" s="369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6"/>
      <c r="Q17" s="1352" t="str">
        <f>B17</f>
        <v>商业繁华度</v>
      </c>
      <c r="R17" s="705" t="s">
        <v>14</v>
      </c>
      <c r="S17" s="706">
        <f>F17</f>
        <v>100</v>
      </c>
      <c r="T17" s="705" t="s">
        <v>14</v>
      </c>
      <c r="U17" s="706">
        <f>H17</f>
        <v>100</v>
      </c>
      <c r="V17" s="705" t="s">
        <v>14</v>
      </c>
      <c r="W17" s="706">
        <f>J17</f>
        <v>100</v>
      </c>
      <c r="X17" s="1355"/>
      <c r="Y17" s="369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6"/>
      <c r="Q19" s="1352" t="str">
        <f>B19</f>
        <v>办公集聚程度</v>
      </c>
      <c r="R19" s="705" t="s">
        <v>14</v>
      </c>
      <c r="S19" s="706">
        <f>F19</f>
        <v>100</v>
      </c>
      <c r="T19" s="705" t="s">
        <v>14</v>
      </c>
      <c r="U19" s="706">
        <f>H19</f>
        <v>100</v>
      </c>
      <c r="V19" s="705" t="s">
        <v>14</v>
      </c>
      <c r="W19" s="706">
        <f>J19</f>
        <v>100</v>
      </c>
      <c r="X19" s="1355"/>
      <c r="Y19" s="369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6"/>
      <c r="Q20" s="1352"/>
      <c r="R20" s="705"/>
      <c r="S20" s="706"/>
      <c r="T20" s="705"/>
      <c r="U20" s="706"/>
      <c r="V20" s="705"/>
      <c r="W20" s="706"/>
      <c r="X20" s="1355"/>
      <c r="Y20" s="369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6"/>
      <c r="Q21" s="1352" t="str">
        <f>B21</f>
        <v>交通便捷度</v>
      </c>
      <c r="R21" s="705" t="s">
        <v>14</v>
      </c>
      <c r="S21" s="706">
        <f>F21</f>
        <v>100</v>
      </c>
      <c r="T21" s="705" t="s">
        <v>14</v>
      </c>
      <c r="U21" s="706">
        <f>H21</f>
        <v>100</v>
      </c>
      <c r="V21" s="705" t="s">
        <v>14</v>
      </c>
      <c r="W21" s="706">
        <f>J21</f>
        <v>100</v>
      </c>
      <c r="X21" s="1355"/>
      <c r="Y21" s="369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6"/>
      <c r="Q23" s="1352" t="str">
        <f t="shared" ref="Q23:Q37" si="8">B23</f>
        <v>区域土地利用方向</v>
      </c>
      <c r="R23" s="705" t="s">
        <v>14</v>
      </c>
      <c r="S23" s="706">
        <f>F23</f>
        <v>100</v>
      </c>
      <c r="T23" s="705" t="s">
        <v>14</v>
      </c>
      <c r="U23" s="706">
        <f>H23</f>
        <v>100</v>
      </c>
      <c r="V23" s="705" t="s">
        <v>14</v>
      </c>
      <c r="W23" s="706">
        <f>J23</f>
        <v>100</v>
      </c>
      <c r="X23" s="1355"/>
      <c r="Y23" s="369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6"/>
      <c r="Q24" s="1352"/>
      <c r="R24" s="705"/>
      <c r="S24" s="706"/>
      <c r="T24" s="705"/>
      <c r="U24" s="706"/>
      <c r="V24" s="705"/>
      <c r="W24" s="706"/>
      <c r="X24" s="1355"/>
      <c r="Y24" s="369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6"/>
      <c r="Q25" s="1352" t="str">
        <f t="shared" si="8"/>
        <v>自然及人文环境状况</v>
      </c>
      <c r="R25" s="705" t="s">
        <v>14</v>
      </c>
      <c r="S25" s="706">
        <f>F25</f>
        <v>100</v>
      </c>
      <c r="T25" s="705" t="s">
        <v>14</v>
      </c>
      <c r="U25" s="706">
        <f>H25</f>
        <v>100</v>
      </c>
      <c r="V25" s="705" t="s">
        <v>14</v>
      </c>
      <c r="W25" s="706">
        <f>J25</f>
        <v>100</v>
      </c>
      <c r="X25" s="1355"/>
      <c r="Y25" s="369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6"/>
      <c r="Q26" s="1352"/>
      <c r="R26" s="705"/>
      <c r="S26" s="706"/>
      <c r="T26" s="705"/>
      <c r="U26" s="706"/>
      <c r="V26" s="705"/>
      <c r="W26" s="706"/>
      <c r="X26" s="1355"/>
      <c r="Y26" s="369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6"/>
      <c r="Q27" s="1343" t="str">
        <f t="shared" si="8"/>
        <v>公共配套设施</v>
      </c>
      <c r="R27" s="701" t="s">
        <v>14</v>
      </c>
      <c r="S27" s="702">
        <f>F27</f>
        <v>100</v>
      </c>
      <c r="T27" s="701" t="s">
        <v>14</v>
      </c>
      <c r="U27" s="702">
        <f>H27</f>
        <v>100</v>
      </c>
      <c r="V27" s="701" t="s">
        <v>14</v>
      </c>
      <c r="W27" s="702">
        <f>J27</f>
        <v>100</v>
      </c>
      <c r="X27" s="703"/>
      <c r="Y27" s="369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6"/>
      <c r="Q28" s="1343"/>
      <c r="R28" s="701"/>
      <c r="S28" s="702"/>
      <c r="T28" s="701"/>
      <c r="U28" s="702"/>
      <c r="V28" s="701"/>
      <c r="W28" s="702"/>
      <c r="X28" s="703"/>
      <c r="Y28" s="369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6"/>
      <c r="Q29" s="1343"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6"/>
      <c r="Q30" s="1343"/>
      <c r="R30" s="701"/>
      <c r="S30" s="702"/>
      <c r="T30" s="701"/>
      <c r="U30" s="702"/>
      <c r="V30" s="701"/>
      <c r="W30" s="702"/>
      <c r="X30" s="703"/>
      <c r="Y30" s="369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6"/>
      <c r="Q32" s="1352" t="str">
        <f t="shared" si="8"/>
        <v>毗邻道路的类型与等级</v>
      </c>
      <c r="R32" s="705" t="s">
        <v>14</v>
      </c>
      <c r="S32" s="706">
        <f t="shared" si="10"/>
        <v>100</v>
      </c>
      <c r="T32" s="705" t="s">
        <v>14</v>
      </c>
      <c r="U32" s="706">
        <f t="shared" si="11"/>
        <v>100</v>
      </c>
      <c r="V32" s="705" t="s">
        <v>14</v>
      </c>
      <c r="W32" s="706">
        <f t="shared" si="12"/>
        <v>100</v>
      </c>
      <c r="X32" s="1355"/>
      <c r="Y32" s="369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6"/>
      <c r="Q33" s="1352"/>
      <c r="R33" s="705"/>
      <c r="S33" s="706"/>
      <c r="T33" s="705"/>
      <c r="U33" s="706"/>
      <c r="V33" s="705"/>
      <c r="W33" s="706"/>
      <c r="X33" s="1355"/>
      <c r="Y33" s="369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6"/>
      <c r="Q34" s="1352" t="str">
        <f t="shared" si="8"/>
        <v>土地级别</v>
      </c>
      <c r="R34" s="705" t="s">
        <v>14</v>
      </c>
      <c r="S34" s="706">
        <f t="shared" si="10"/>
        <v>100</v>
      </c>
      <c r="T34" s="705" t="s">
        <v>14</v>
      </c>
      <c r="U34" s="706">
        <f t="shared" si="11"/>
        <v>100</v>
      </c>
      <c r="V34" s="705" t="s">
        <v>14</v>
      </c>
      <c r="W34" s="706">
        <f t="shared" si="12"/>
        <v>100</v>
      </c>
      <c r="X34" s="1355"/>
      <c r="Y34" s="369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6"/>
      <c r="Q35" s="1352">
        <f t="shared" si="8"/>
        <v>111</v>
      </c>
      <c r="R35" s="705" t="s">
        <v>14</v>
      </c>
      <c r="S35" s="706">
        <f t="shared" si="10"/>
        <v>100</v>
      </c>
      <c r="T35" s="705" t="s">
        <v>14</v>
      </c>
      <c r="U35" s="706">
        <f t="shared" si="11"/>
        <v>100</v>
      </c>
      <c r="V35" s="705" t="s">
        <v>14</v>
      </c>
      <c r="W35" s="706">
        <f t="shared" si="12"/>
        <v>100</v>
      </c>
      <c r="X35" s="1355"/>
      <c r="Y35" s="369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1696</v>
      </c>
      <c r="Q36" s="1352">
        <f t="shared" si="8"/>
        <v>111</v>
      </c>
      <c r="R36" s="705" t="s">
        <v>14</v>
      </c>
      <c r="S36" s="706">
        <f t="shared" si="10"/>
        <v>100</v>
      </c>
      <c r="T36" s="705" t="s">
        <v>14</v>
      </c>
      <c r="U36" s="706">
        <f t="shared" si="11"/>
        <v>100</v>
      </c>
      <c r="V36" s="705" t="s">
        <v>14</v>
      </c>
      <c r="W36" s="706">
        <f t="shared" si="12"/>
        <v>100</v>
      </c>
      <c r="X36" s="1355"/>
      <c r="Y36" s="370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0"/>
      <c r="Q37" s="1352">
        <f t="shared" si="8"/>
        <v>111</v>
      </c>
      <c r="R37" s="708" t="s">
        <v>14</v>
      </c>
      <c r="S37" s="709">
        <f t="shared" si="10"/>
        <v>100</v>
      </c>
      <c r="T37" s="708" t="s">
        <v>14</v>
      </c>
      <c r="U37" s="709">
        <f t="shared" si="11"/>
        <v>100</v>
      </c>
      <c r="V37" s="708" t="s">
        <v>14</v>
      </c>
      <c r="W37" s="709">
        <f t="shared" si="12"/>
        <v>100</v>
      </c>
      <c r="X37" s="710"/>
      <c r="Y37" s="370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0"/>
      <c r="Q38" s="1352" t="str">
        <f>B38</f>
        <v>宗地面积</v>
      </c>
      <c r="R38" s="705" t="s">
        <v>14</v>
      </c>
      <c r="S38" s="706" t="e">
        <f t="shared" si="10"/>
        <v>#N/A</v>
      </c>
      <c r="T38" s="705" t="s">
        <v>14</v>
      </c>
      <c r="U38" s="706" t="e">
        <f t="shared" si="11"/>
        <v>#N/A</v>
      </c>
      <c r="V38" s="705" t="s">
        <v>14</v>
      </c>
      <c r="W38" s="706" t="e">
        <f t="shared" si="12"/>
        <v>#N/A</v>
      </c>
      <c r="X38" s="1355"/>
      <c r="Y38" s="370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0"/>
      <c r="Q39" s="1352" t="str">
        <f t="shared" ref="Q39:Q45" si="14">B39</f>
        <v>宗地形状</v>
      </c>
      <c r="R39" s="705" t="s">
        <v>14</v>
      </c>
      <c r="S39" s="706">
        <f t="shared" si="10"/>
        <v>100</v>
      </c>
      <c r="T39" s="705" t="s">
        <v>14</v>
      </c>
      <c r="U39" s="706">
        <f t="shared" si="11"/>
        <v>100</v>
      </c>
      <c r="V39" s="705" t="s">
        <v>14</v>
      </c>
      <c r="W39" s="706">
        <f t="shared" si="12"/>
        <v>100</v>
      </c>
      <c r="X39" s="1355"/>
      <c r="Y39" s="370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0"/>
      <c r="Q40" s="1352" t="str">
        <f t="shared" si="14"/>
        <v>临街宽度及深度</v>
      </c>
      <c r="R40" s="705" t="s">
        <v>14</v>
      </c>
      <c r="S40" s="706">
        <f t="shared" si="10"/>
        <v>100</v>
      </c>
      <c r="T40" s="705" t="s">
        <v>14</v>
      </c>
      <c r="U40" s="706">
        <f t="shared" si="11"/>
        <v>100</v>
      </c>
      <c r="V40" s="705" t="s">
        <v>14</v>
      </c>
      <c r="W40" s="706">
        <f t="shared" si="12"/>
        <v>100</v>
      </c>
      <c r="X40" s="1355"/>
      <c r="Y40" s="370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0"/>
      <c r="Q41" s="1352"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0" t="s">
        <v>1696</v>
      </c>
      <c r="Q42" s="1352" t="str">
        <f t="shared" si="14"/>
        <v>工程地质条件</v>
      </c>
      <c r="R42" s="705" t="s">
        <v>14</v>
      </c>
      <c r="S42" s="706">
        <f t="shared" si="10"/>
        <v>100</v>
      </c>
      <c r="T42" s="705" t="s">
        <v>14</v>
      </c>
      <c r="U42" s="706">
        <f t="shared" si="11"/>
        <v>100</v>
      </c>
      <c r="V42" s="705" t="s">
        <v>14</v>
      </c>
      <c r="W42" s="706">
        <f t="shared" si="12"/>
        <v>100</v>
      </c>
      <c r="X42" s="1355"/>
      <c r="Y42" s="370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0"/>
      <c r="Q43" s="1352">
        <f t="shared" si="14"/>
        <v>111</v>
      </c>
      <c r="R43" s="705" t="s">
        <v>14</v>
      </c>
      <c r="S43" s="706">
        <f t="shared" si="10"/>
        <v>100</v>
      </c>
      <c r="T43" s="705" t="s">
        <v>14</v>
      </c>
      <c r="U43" s="706">
        <f t="shared" si="11"/>
        <v>100</v>
      </c>
      <c r="V43" s="705" t="s">
        <v>14</v>
      </c>
      <c r="W43" s="706">
        <f t="shared" si="12"/>
        <v>100</v>
      </c>
      <c r="X43" s="1355"/>
      <c r="Y43" s="370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0"/>
      <c r="Q44" s="1352">
        <f t="shared" si="14"/>
        <v>111</v>
      </c>
      <c r="R44" s="705" t="s">
        <v>14</v>
      </c>
      <c r="S44" s="706">
        <f t="shared" si="10"/>
        <v>100</v>
      </c>
      <c r="T44" s="705" t="s">
        <v>14</v>
      </c>
      <c r="U44" s="706">
        <f t="shared" si="11"/>
        <v>100</v>
      </c>
      <c r="V44" s="705" t="s">
        <v>14</v>
      </c>
      <c r="W44" s="706">
        <f t="shared" si="12"/>
        <v>100</v>
      </c>
      <c r="X44" s="1355"/>
      <c r="Y44" s="370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0"/>
      <c r="Q45" s="1352">
        <f t="shared" si="14"/>
        <v>111</v>
      </c>
      <c r="R45" s="708" t="s">
        <v>14</v>
      </c>
      <c r="S45" s="709">
        <f t="shared" si="10"/>
        <v>100</v>
      </c>
      <c r="T45" s="708" t="s">
        <v>14</v>
      </c>
      <c r="U45" s="709">
        <f t="shared" si="11"/>
        <v>100</v>
      </c>
      <c r="V45" s="708" t="s">
        <v>14</v>
      </c>
      <c r="W45" s="709">
        <f t="shared" si="12"/>
        <v>100</v>
      </c>
      <c r="X45" s="710"/>
      <c r="Y45" s="370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3" t="str">
        <f>A46</f>
        <v>成交单价</v>
      </c>
      <c r="Q46" s="3693"/>
      <c r="R46" s="3724">
        <f>E46</f>
        <v>0</v>
      </c>
      <c r="S46" s="3724"/>
      <c r="T46" s="3724">
        <f>G46</f>
        <v>0</v>
      </c>
      <c r="U46" s="3724"/>
      <c r="V46" s="3724">
        <f>I46</f>
        <v>0</v>
      </c>
      <c r="W46" s="372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3" t="str">
        <f>A47</f>
        <v>比较价值（元/平方米）</v>
      </c>
      <c r="Q47" s="3693"/>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0" t="str">
        <f>A48</f>
        <v>估价对象XX用房的比较价值（楼面单价，元/平方米）</v>
      </c>
      <c r="Q48" s="3691"/>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8"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4"/>
      <c r="H56" s="369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56" t="s">
        <v>1919</v>
      </c>
      <c r="D6" s="3757"/>
      <c r="E6" s="3758" t="s">
        <v>1919</v>
      </c>
      <c r="F6" s="3759"/>
      <c r="G6" s="3756" t="s">
        <v>1919</v>
      </c>
      <c r="H6" s="3757"/>
      <c r="I6" s="3756" t="s">
        <v>1919</v>
      </c>
      <c r="J6" s="3757"/>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45902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3"/>
      <c r="Q10" s="1343" t="str">
        <f t="shared" si="6"/>
        <v>土地使用年限（年）</v>
      </c>
      <c r="R10" s="701" t="s">
        <v>14</v>
      </c>
      <c r="S10" s="702" t="e">
        <f t="shared" si="0"/>
        <v>#DIV/0!</v>
      </c>
      <c r="T10" s="701" t="s">
        <v>14</v>
      </c>
      <c r="U10" s="702" t="e">
        <f t="shared" si="1"/>
        <v>#DIV/0!</v>
      </c>
      <c r="V10" s="701" t="s">
        <v>14</v>
      </c>
      <c r="W10" s="702" t="e">
        <f t="shared" si="2"/>
        <v>#DIV/0!</v>
      </c>
      <c r="X10" s="703"/>
      <c r="Y10" s="356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6"/>
      <c r="Q19" s="1352" t="str">
        <f t="shared" ref="Q19:Q33" si="8">B19</f>
        <v>区域土地利用方向</v>
      </c>
      <c r="R19" s="705" t="s">
        <v>14</v>
      </c>
      <c r="S19" s="706">
        <f>F19</f>
        <v>100</v>
      </c>
      <c r="T19" s="705" t="s">
        <v>14</v>
      </c>
      <c r="U19" s="706">
        <f>H19</f>
        <v>100</v>
      </c>
      <c r="V19" s="705" t="s">
        <v>14</v>
      </c>
      <c r="W19" s="706">
        <f>J19</f>
        <v>100</v>
      </c>
      <c r="X19" s="1355"/>
      <c r="Y19" s="369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6"/>
      <c r="Q20" s="1352"/>
      <c r="R20" s="705"/>
      <c r="S20" s="706"/>
      <c r="T20" s="705"/>
      <c r="U20" s="706"/>
      <c r="V20" s="705"/>
      <c r="W20" s="706"/>
      <c r="X20" s="1355"/>
      <c r="Y20" s="369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6"/>
      <c r="Q21" s="1352" t="str">
        <f t="shared" si="8"/>
        <v>环境状况</v>
      </c>
      <c r="R21" s="705" t="s">
        <v>14</v>
      </c>
      <c r="S21" s="706">
        <f>F21</f>
        <v>100</v>
      </c>
      <c r="T21" s="705" t="s">
        <v>14</v>
      </c>
      <c r="U21" s="706">
        <f>H21</f>
        <v>100</v>
      </c>
      <c r="V21" s="705" t="s">
        <v>14</v>
      </c>
      <c r="W21" s="706">
        <f>J21</f>
        <v>100</v>
      </c>
      <c r="X21" s="1355"/>
      <c r="Y21" s="369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6"/>
      <c r="Q23" s="1343" t="str">
        <f t="shared" si="8"/>
        <v>公共配套设施</v>
      </c>
      <c r="R23" s="701" t="s">
        <v>14</v>
      </c>
      <c r="S23" s="702">
        <f>F23</f>
        <v>100</v>
      </c>
      <c r="T23" s="701" t="s">
        <v>14</v>
      </c>
      <c r="U23" s="702">
        <f>H23</f>
        <v>100</v>
      </c>
      <c r="V23" s="701" t="s">
        <v>14</v>
      </c>
      <c r="W23" s="702">
        <f>J23</f>
        <v>100</v>
      </c>
      <c r="X23" s="703"/>
      <c r="Y23" s="369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6"/>
      <c r="Q24" s="1343"/>
      <c r="R24" s="701"/>
      <c r="S24" s="702"/>
      <c r="T24" s="701"/>
      <c r="U24" s="702"/>
      <c r="V24" s="701"/>
      <c r="W24" s="702"/>
      <c r="X24" s="703"/>
      <c r="Y24" s="369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6"/>
      <c r="Q25" s="1343"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6"/>
      <c r="Q26" s="1343"/>
      <c r="R26" s="701"/>
      <c r="S26" s="702"/>
      <c r="T26" s="701"/>
      <c r="U26" s="702"/>
      <c r="V26" s="701"/>
      <c r="W26" s="702"/>
      <c r="X26" s="703"/>
      <c r="Y26" s="36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6"/>
      <c r="Q28" s="1352" t="str">
        <f t="shared" si="8"/>
        <v>毗邻道路的类型与等级</v>
      </c>
      <c r="R28" s="705" t="s">
        <v>14</v>
      </c>
      <c r="S28" s="706">
        <f t="shared" si="10"/>
        <v>100</v>
      </c>
      <c r="T28" s="705" t="s">
        <v>14</v>
      </c>
      <c r="U28" s="706">
        <f t="shared" si="11"/>
        <v>100</v>
      </c>
      <c r="V28" s="705" t="s">
        <v>14</v>
      </c>
      <c r="W28" s="706">
        <f t="shared" si="12"/>
        <v>100</v>
      </c>
      <c r="X28" s="1355"/>
      <c r="Y28" s="369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6"/>
      <c r="Q29" s="1352"/>
      <c r="R29" s="705"/>
      <c r="S29" s="706"/>
      <c r="T29" s="705"/>
      <c r="U29" s="706"/>
      <c r="V29" s="705"/>
      <c r="W29" s="706"/>
      <c r="X29" s="1355"/>
      <c r="Y29" s="369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6"/>
      <c r="Q30" s="1352" t="str">
        <f t="shared" si="8"/>
        <v>土地级别</v>
      </c>
      <c r="R30" s="705" t="s">
        <v>14</v>
      </c>
      <c r="S30" s="706">
        <f t="shared" si="10"/>
        <v>100</v>
      </c>
      <c r="T30" s="705" t="s">
        <v>14</v>
      </c>
      <c r="U30" s="706">
        <f t="shared" si="11"/>
        <v>100</v>
      </c>
      <c r="V30" s="705" t="s">
        <v>14</v>
      </c>
      <c r="W30" s="706">
        <f t="shared" si="12"/>
        <v>100</v>
      </c>
      <c r="X30" s="1355"/>
      <c r="Y30" s="369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6"/>
      <c r="Q31" s="1352">
        <f t="shared" si="8"/>
        <v>111</v>
      </c>
      <c r="R31" s="705" t="s">
        <v>14</v>
      </c>
      <c r="S31" s="706">
        <f t="shared" si="10"/>
        <v>100</v>
      </c>
      <c r="T31" s="705" t="s">
        <v>14</v>
      </c>
      <c r="U31" s="706">
        <f t="shared" si="11"/>
        <v>100</v>
      </c>
      <c r="V31" s="705" t="s">
        <v>14</v>
      </c>
      <c r="W31" s="706">
        <f t="shared" si="12"/>
        <v>100</v>
      </c>
      <c r="X31" s="1355"/>
      <c r="Y31" s="369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1696</v>
      </c>
      <c r="Q32" s="1352">
        <f t="shared" si="8"/>
        <v>111</v>
      </c>
      <c r="R32" s="705" t="s">
        <v>14</v>
      </c>
      <c r="S32" s="706">
        <f t="shared" si="10"/>
        <v>100</v>
      </c>
      <c r="T32" s="705" t="s">
        <v>14</v>
      </c>
      <c r="U32" s="706">
        <f t="shared" si="11"/>
        <v>100</v>
      </c>
      <c r="V32" s="705" t="s">
        <v>14</v>
      </c>
      <c r="W32" s="706">
        <f t="shared" si="12"/>
        <v>100</v>
      </c>
      <c r="X32" s="1355"/>
      <c r="Y32" s="370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0"/>
      <c r="Q33" s="1352">
        <f t="shared" si="8"/>
        <v>111</v>
      </c>
      <c r="R33" s="708" t="s">
        <v>14</v>
      </c>
      <c r="S33" s="709">
        <f t="shared" si="10"/>
        <v>100</v>
      </c>
      <c r="T33" s="708" t="s">
        <v>14</v>
      </c>
      <c r="U33" s="709">
        <f t="shared" si="11"/>
        <v>100</v>
      </c>
      <c r="V33" s="708" t="s">
        <v>14</v>
      </c>
      <c r="W33" s="709">
        <f t="shared" si="12"/>
        <v>100</v>
      </c>
      <c r="X33" s="710"/>
      <c r="Y33" s="370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0"/>
      <c r="Q34" s="1352" t="str">
        <f>B34</f>
        <v>宗地面积</v>
      </c>
      <c r="R34" s="705" t="s">
        <v>14</v>
      </c>
      <c r="S34" s="706" t="e">
        <f t="shared" si="10"/>
        <v>#N/A</v>
      </c>
      <c r="T34" s="705" t="s">
        <v>14</v>
      </c>
      <c r="U34" s="706" t="e">
        <f t="shared" si="11"/>
        <v>#N/A</v>
      </c>
      <c r="V34" s="705" t="s">
        <v>14</v>
      </c>
      <c r="W34" s="706" t="e">
        <f t="shared" si="12"/>
        <v>#N/A</v>
      </c>
      <c r="X34" s="1355"/>
      <c r="Y34" s="370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0"/>
      <c r="Q35" s="1352" t="str">
        <f t="shared" ref="Q35:Q40" si="14">B35</f>
        <v>宗地形状</v>
      </c>
      <c r="R35" s="705" t="s">
        <v>14</v>
      </c>
      <c r="S35" s="706">
        <f t="shared" si="10"/>
        <v>100</v>
      </c>
      <c r="T35" s="705" t="s">
        <v>14</v>
      </c>
      <c r="U35" s="706">
        <f t="shared" si="11"/>
        <v>100</v>
      </c>
      <c r="V35" s="705" t="s">
        <v>14</v>
      </c>
      <c r="W35" s="706">
        <f t="shared" si="12"/>
        <v>100</v>
      </c>
      <c r="X35" s="1355"/>
      <c r="Y35" s="370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0"/>
      <c r="Q36" s="1352"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0" t="s">
        <v>1696</v>
      </c>
      <c r="Q37" s="1352" t="str">
        <f t="shared" si="14"/>
        <v>工程地质条件</v>
      </c>
      <c r="R37" s="705" t="s">
        <v>14</v>
      </c>
      <c r="S37" s="706">
        <f t="shared" si="10"/>
        <v>100</v>
      </c>
      <c r="T37" s="705" t="s">
        <v>14</v>
      </c>
      <c r="U37" s="706">
        <f t="shared" si="11"/>
        <v>100</v>
      </c>
      <c r="V37" s="705" t="s">
        <v>14</v>
      </c>
      <c r="W37" s="706">
        <f t="shared" si="12"/>
        <v>100</v>
      </c>
      <c r="X37" s="1355"/>
      <c r="Y37" s="370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0"/>
      <c r="Q38" s="1352">
        <f t="shared" si="14"/>
        <v>111</v>
      </c>
      <c r="R38" s="705" t="s">
        <v>14</v>
      </c>
      <c r="S38" s="706">
        <f t="shared" si="10"/>
        <v>100</v>
      </c>
      <c r="T38" s="705" t="s">
        <v>14</v>
      </c>
      <c r="U38" s="706">
        <f t="shared" si="11"/>
        <v>100</v>
      </c>
      <c r="V38" s="705" t="s">
        <v>14</v>
      </c>
      <c r="W38" s="706">
        <f t="shared" si="12"/>
        <v>100</v>
      </c>
      <c r="X38" s="1355"/>
      <c r="Y38" s="370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0"/>
      <c r="Q39" s="1352">
        <f t="shared" si="14"/>
        <v>111</v>
      </c>
      <c r="R39" s="705" t="s">
        <v>14</v>
      </c>
      <c r="S39" s="706">
        <f t="shared" si="10"/>
        <v>100</v>
      </c>
      <c r="T39" s="705" t="s">
        <v>14</v>
      </c>
      <c r="U39" s="706">
        <f t="shared" si="11"/>
        <v>100</v>
      </c>
      <c r="V39" s="705" t="s">
        <v>14</v>
      </c>
      <c r="W39" s="706">
        <f t="shared" si="12"/>
        <v>100</v>
      </c>
      <c r="X39" s="1355"/>
      <c r="Y39" s="370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0"/>
      <c r="Q40" s="1352">
        <f t="shared" si="14"/>
        <v>111</v>
      </c>
      <c r="R40" s="708" t="s">
        <v>14</v>
      </c>
      <c r="S40" s="709">
        <f t="shared" si="10"/>
        <v>100</v>
      </c>
      <c r="T40" s="708" t="s">
        <v>14</v>
      </c>
      <c r="U40" s="709">
        <f t="shared" si="11"/>
        <v>100</v>
      </c>
      <c r="V40" s="708" t="s">
        <v>14</v>
      </c>
      <c r="W40" s="709">
        <f t="shared" si="12"/>
        <v>100</v>
      </c>
      <c r="X40" s="710"/>
      <c r="Y40" s="370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3" t="str">
        <f>A41</f>
        <v>成交单价</v>
      </c>
      <c r="Q41" s="3693"/>
      <c r="R41" s="3724">
        <f>E41</f>
        <v>0</v>
      </c>
      <c r="S41" s="3724"/>
      <c r="T41" s="3724">
        <f>G41</f>
        <v>0</v>
      </c>
      <c r="U41" s="3724"/>
      <c r="V41" s="3724">
        <f>I41</f>
        <v>0</v>
      </c>
      <c r="W41" s="372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3" t="str">
        <f>A42</f>
        <v>比较价值（元/平方米）</v>
      </c>
      <c r="Q42" s="3693"/>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0" t="str">
        <f>A43</f>
        <v>估价对象XX用房的比较价值（楼面单价，元/平方米）</v>
      </c>
      <c r="Q43" s="3691"/>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8"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4"/>
      <c r="H51" s="369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6" sqref="H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3"/>
      <c r="B4" s="3774"/>
      <c r="C4" s="3774"/>
      <c r="D4" s="3775"/>
      <c r="E4" s="3775"/>
      <c r="F4" s="3775"/>
      <c r="G4" s="3775"/>
      <c r="H4" s="3775"/>
      <c r="I4" s="3775"/>
      <c r="J4" s="377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0" t="s">
        <v>1960</v>
      </c>
      <c r="X8" s="377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2"/>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7" t="s">
        <v>3254</v>
      </c>
      <c r="B20" s="167" t="s">
        <v>1994</v>
      </c>
      <c r="C20" s="3325" t="e">
        <f>ROUND(IF(F21="与级别开发程度一致",0,(G21-E21)/C21),0)</f>
        <v>#DIV/0!</v>
      </c>
      <c r="D20" s="3341" t="s">
        <v>1998</v>
      </c>
      <c r="E20" s="3342"/>
      <c r="F20" s="3783" t="s">
        <v>1995</v>
      </c>
      <c r="G20" s="378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45902</v>
      </c>
      <c r="H23" s="3343"/>
      <c r="I23" s="3344" t="str">
        <f>IF(H23="季度增幅（自定义）",SUMIF(N25:N28,E2,O25:O28),"")</f>
        <v/>
      </c>
      <c r="J23" s="3446"/>
      <c r="K23" s="1125"/>
      <c r="L23" s="2055" t="s">
        <v>2004</v>
      </c>
      <c r="M23" s="1328">
        <f>ROUND(SUMIF(地价!B2:G2,E2,地价!B16:G16),0)</f>
        <v>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1"/>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2"/>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9" t="s">
        <v>3292</v>
      </c>
      <c r="B103" s="3779"/>
      <c r="C103" s="3779"/>
      <c r="D103" s="3779"/>
      <c r="E103" s="3779"/>
      <c r="F103" s="3779"/>
      <c r="G103" s="3779"/>
      <c r="H103" s="3779"/>
      <c r="I103" s="3779"/>
      <c r="J103" s="3779"/>
      <c r="K103" s="3390"/>
      <c r="L103" s="3390"/>
      <c r="M103" s="3390"/>
      <c r="N103" s="3390"/>
    </row>
    <row r="104" spans="1:14">
      <c r="A104" s="3780" t="s">
        <v>3293</v>
      </c>
      <c r="B104" s="3780" t="s">
        <v>3294</v>
      </c>
      <c r="C104" s="3391" t="s">
        <v>3295</v>
      </c>
      <c r="D104" s="3392"/>
      <c r="E104" s="3392"/>
      <c r="F104" s="3392"/>
      <c r="G104" s="3392"/>
      <c r="H104" s="3392"/>
      <c r="I104" s="3392"/>
      <c r="J104" s="3393"/>
      <c r="K104" s="3394"/>
      <c r="L104" s="3394"/>
      <c r="M104" s="3394"/>
      <c r="N104" s="3394"/>
    </row>
    <row r="105" spans="1:14">
      <c r="A105" s="3780"/>
      <c r="B105" s="3780"/>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6"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7"/>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9" t="s">
        <v>3309</v>
      </c>
      <c r="B113" s="3769"/>
      <c r="C113" s="3769"/>
      <c r="D113" s="3769"/>
      <c r="E113" s="3769"/>
      <c r="F113" s="3769"/>
      <c r="G113" s="3769"/>
      <c r="H113" s="3769"/>
      <c r="I113" s="3769"/>
      <c r="J113" s="376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6" t="s">
        <v>2607</v>
      </c>
      <c r="B20" s="3789" t="s">
        <v>2628</v>
      </c>
      <c r="C20" s="3477" t="s">
        <v>2439</v>
      </c>
      <c r="D20" s="3477"/>
      <c r="E20" s="3105">
        <v>1</v>
      </c>
      <c r="F20" s="3106" t="s">
        <v>2440</v>
      </c>
      <c r="G20" s="3106"/>
    </row>
    <row r="21" spans="1:13" ht="19.5" customHeight="1">
      <c r="A21" s="3797"/>
      <c r="B21" s="3785"/>
      <c r="C21" s="3467" t="s">
        <v>2441</v>
      </c>
      <c r="D21" s="3467"/>
      <c r="E21" s="3109">
        <v>1</v>
      </c>
      <c r="F21" s="3106" t="s">
        <v>2442</v>
      </c>
      <c r="G21" s="3106"/>
    </row>
    <row r="22" spans="1:13" ht="19.5" customHeight="1">
      <c r="A22" s="3797"/>
      <c r="B22" s="3785"/>
      <c r="C22" s="3467" t="s">
        <v>2443</v>
      </c>
      <c r="D22" s="3467"/>
      <c r="E22" s="3109">
        <v>0.9</v>
      </c>
      <c r="F22" s="3106" t="s">
        <v>2444</v>
      </c>
      <c r="G22" s="3106"/>
    </row>
    <row r="23" spans="1:13" ht="19.5" customHeight="1">
      <c r="A23" s="3797"/>
      <c r="B23" s="3785"/>
      <c r="C23" s="3467" t="s">
        <v>2445</v>
      </c>
      <c r="D23" s="3467"/>
      <c r="E23" s="3109">
        <v>0.9</v>
      </c>
      <c r="F23" s="3106" t="s">
        <v>2446</v>
      </c>
      <c r="G23" s="3106"/>
    </row>
    <row r="24" spans="1:13" ht="19.5" customHeight="1">
      <c r="A24" s="3797"/>
      <c r="B24" s="3785"/>
      <c r="C24" s="3467" t="s">
        <v>2447</v>
      </c>
      <c r="D24" s="3467"/>
      <c r="E24" s="3109">
        <v>0.8</v>
      </c>
      <c r="F24" s="3106" t="s">
        <v>2448</v>
      </c>
      <c r="G24" s="3106"/>
    </row>
    <row r="25" spans="1:13" ht="19.5" customHeight="1">
      <c r="A25" s="3797"/>
      <c r="B25" s="3785"/>
      <c r="C25" s="3467" t="s">
        <v>2449</v>
      </c>
      <c r="D25" s="3467"/>
      <c r="E25" s="3109">
        <v>0.8</v>
      </c>
      <c r="F25" s="3106"/>
      <c r="G25" s="3106"/>
    </row>
    <row r="26" spans="1:13" ht="19.5" customHeight="1">
      <c r="A26" s="3797"/>
      <c r="B26" s="3785"/>
      <c r="C26" s="3470" t="s">
        <v>3410</v>
      </c>
      <c r="D26" s="3470"/>
      <c r="E26" s="3471">
        <v>0.43</v>
      </c>
      <c r="F26" s="3106"/>
      <c r="G26" s="3106"/>
    </row>
    <row r="27" spans="1:13" ht="19.5" customHeight="1" thickBot="1">
      <c r="A27" s="3798"/>
      <c r="B27" s="3790"/>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1" t="s">
        <v>2631</v>
      </c>
      <c r="B29" s="3794" t="s">
        <v>2612</v>
      </c>
      <c r="C29" s="3103" t="s">
        <v>2452</v>
      </c>
      <c r="D29" s="3104"/>
      <c r="E29" s="3105">
        <v>1</v>
      </c>
      <c r="F29" s="3106" t="s">
        <v>2453</v>
      </c>
      <c r="G29" s="3106"/>
    </row>
    <row r="30" spans="1:13" ht="19.5" customHeight="1">
      <c r="A30" s="3792"/>
      <c r="B30" s="3788"/>
      <c r="C30" s="3107" t="s">
        <v>2454</v>
      </c>
      <c r="D30" s="3108"/>
      <c r="E30" s="3109">
        <v>1</v>
      </c>
      <c r="F30" s="3106" t="s">
        <v>2455</v>
      </c>
      <c r="G30" s="3106"/>
    </row>
    <row r="31" spans="1:13" ht="19.5" customHeight="1">
      <c r="A31" s="3792"/>
      <c r="B31" s="3788"/>
      <c r="C31" s="3107" t="s">
        <v>2456</v>
      </c>
      <c r="D31" s="3108"/>
      <c r="E31" s="3109">
        <v>0.8</v>
      </c>
      <c r="F31" s="3106" t="s">
        <v>2457</v>
      </c>
      <c r="G31" s="3106"/>
    </row>
    <row r="32" spans="1:13" ht="19.5" customHeight="1">
      <c r="A32" s="3792"/>
      <c r="B32" s="3788"/>
      <c r="C32" s="3107" t="s">
        <v>2458</v>
      </c>
      <c r="D32" s="3108"/>
      <c r="E32" s="3109">
        <v>0.8</v>
      </c>
      <c r="F32" s="3106" t="s">
        <v>2459</v>
      </c>
      <c r="G32" s="3106"/>
    </row>
    <row r="33" spans="1:7" ht="19.5" customHeight="1">
      <c r="A33" s="3792"/>
      <c r="B33" s="3788"/>
      <c r="C33" s="3107" t="s">
        <v>2460</v>
      </c>
      <c r="D33" s="3108"/>
      <c r="E33" s="3109">
        <v>0.8</v>
      </c>
      <c r="F33" s="3106" t="s">
        <v>2461</v>
      </c>
      <c r="G33" s="3106"/>
    </row>
    <row r="34" spans="1:7" ht="19.5" customHeight="1">
      <c r="A34" s="3792"/>
      <c r="B34" s="3788"/>
      <c r="C34" s="3107" t="s">
        <v>2462</v>
      </c>
      <c r="D34" s="3108"/>
      <c r="E34" s="3109">
        <v>0.7</v>
      </c>
      <c r="F34" s="3106" t="s">
        <v>2463</v>
      </c>
      <c r="G34" s="3106"/>
    </row>
    <row r="35" spans="1:7" ht="19.5" customHeight="1">
      <c r="A35" s="3792"/>
      <c r="B35" s="3788"/>
      <c r="C35" s="3107" t="s">
        <v>2464</v>
      </c>
      <c r="D35" s="3108"/>
      <c r="E35" s="3109">
        <v>0.8</v>
      </c>
      <c r="F35" s="3106" t="s">
        <v>2465</v>
      </c>
      <c r="G35" s="3106"/>
    </row>
    <row r="36" spans="1:7" ht="19.5" customHeight="1">
      <c r="A36" s="3792"/>
      <c r="B36" s="3788"/>
      <c r="C36" s="3107" t="s">
        <v>2466</v>
      </c>
      <c r="D36" s="3108"/>
      <c r="E36" s="3109">
        <v>0.6</v>
      </c>
      <c r="F36" s="3106" t="s">
        <v>2467</v>
      </c>
      <c r="G36" s="3106"/>
    </row>
    <row r="37" spans="1:7" ht="19.5" customHeight="1">
      <c r="A37" s="3792"/>
      <c r="B37" s="3788"/>
      <c r="C37" s="3107" t="s">
        <v>2468</v>
      </c>
      <c r="D37" s="3108"/>
      <c r="E37" s="3109">
        <v>0.2</v>
      </c>
      <c r="F37" s="3106" t="s">
        <v>2469</v>
      </c>
      <c r="G37" s="3106"/>
    </row>
    <row r="38" spans="1:7" ht="19.5" customHeight="1">
      <c r="A38" s="3792"/>
      <c r="B38" s="3788"/>
      <c r="C38" s="3107" t="s">
        <v>2470</v>
      </c>
      <c r="D38" s="3108"/>
      <c r="E38" s="3109">
        <v>0.2</v>
      </c>
      <c r="F38" s="3106" t="s">
        <v>2471</v>
      </c>
      <c r="G38" s="3106"/>
    </row>
    <row r="39" spans="1:7" ht="19.5" customHeight="1">
      <c r="A39" s="3792"/>
      <c r="B39" s="3786" t="s">
        <v>2632</v>
      </c>
      <c r="C39" s="3107" t="s">
        <v>2472</v>
      </c>
      <c r="D39" s="3108"/>
      <c r="E39" s="3109">
        <v>0.6</v>
      </c>
      <c r="F39" s="3106" t="s">
        <v>2473</v>
      </c>
      <c r="G39" s="3106"/>
    </row>
    <row r="40" spans="1:7" ht="19.5" customHeight="1">
      <c r="A40" s="3792"/>
      <c r="B40" s="3788"/>
      <c r="C40" s="3107" t="s">
        <v>2474</v>
      </c>
      <c r="D40" s="3108"/>
      <c r="E40" s="3109">
        <v>0.6</v>
      </c>
      <c r="F40" s="3106" t="s">
        <v>2475</v>
      </c>
      <c r="G40" s="3106"/>
    </row>
    <row r="41" spans="1:7" ht="19.5" customHeight="1" thickBot="1">
      <c r="A41" s="3793"/>
      <c r="B41" s="3795"/>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6" t="s">
        <v>2610</v>
      </c>
      <c r="B43" s="3794" t="s">
        <v>2634</v>
      </c>
      <c r="C43" s="3103" t="s">
        <v>2479</v>
      </c>
      <c r="D43" s="3104"/>
      <c r="E43" s="3105">
        <v>1</v>
      </c>
      <c r="F43" s="3106" t="s">
        <v>2480</v>
      </c>
      <c r="G43" s="3106"/>
    </row>
    <row r="44" spans="1:7" ht="19.5" customHeight="1">
      <c r="A44" s="3797"/>
      <c r="B44" s="3788"/>
      <c r="C44" s="3107" t="s">
        <v>2481</v>
      </c>
      <c r="D44" s="3108"/>
      <c r="E44" s="3109">
        <v>1</v>
      </c>
      <c r="F44" s="3106" t="s">
        <v>2482</v>
      </c>
      <c r="G44" s="3106"/>
    </row>
    <row r="45" spans="1:7" ht="19.5" customHeight="1">
      <c r="A45" s="3797"/>
      <c r="B45" s="3787"/>
      <c r="C45" s="3107" t="s">
        <v>2483</v>
      </c>
      <c r="D45" s="3108"/>
      <c r="E45" s="3109">
        <v>1.5</v>
      </c>
      <c r="F45" s="3106" t="s">
        <v>2484</v>
      </c>
      <c r="G45" s="3106"/>
    </row>
    <row r="46" spans="1:7" ht="19.5" customHeight="1">
      <c r="A46" s="3797"/>
      <c r="B46" s="3118" t="s">
        <v>2635</v>
      </c>
      <c r="C46" s="3107" t="s">
        <v>2636</v>
      </c>
      <c r="D46" s="3108"/>
      <c r="E46" s="3109">
        <v>2</v>
      </c>
      <c r="F46" s="3106" t="s">
        <v>2485</v>
      </c>
      <c r="G46" s="3106"/>
    </row>
    <row r="47" spans="1:7" ht="19.5" customHeight="1">
      <c r="A47" s="3797"/>
      <c r="B47" s="3786" t="s">
        <v>2637</v>
      </c>
      <c r="C47" s="3107" t="s">
        <v>2486</v>
      </c>
      <c r="D47" s="3108"/>
      <c r="E47" s="3109">
        <v>1</v>
      </c>
      <c r="F47" s="3106" t="s">
        <v>2487</v>
      </c>
      <c r="G47" s="3106"/>
    </row>
    <row r="48" spans="1:7" ht="19.5" customHeight="1">
      <c r="A48" s="3797"/>
      <c r="B48" s="3788"/>
      <c r="C48" s="3107" t="s">
        <v>2488</v>
      </c>
      <c r="D48" s="3108"/>
      <c r="E48" s="3109">
        <v>1</v>
      </c>
      <c r="F48" s="3106" t="s">
        <v>2489</v>
      </c>
      <c r="G48" s="3106"/>
    </row>
    <row r="49" spans="1:7" ht="19.5" customHeight="1">
      <c r="A49" s="3797"/>
      <c r="B49" s="3788"/>
      <c r="C49" s="3107" t="s">
        <v>2490</v>
      </c>
      <c r="D49" s="3108"/>
      <c r="E49" s="3109">
        <v>1</v>
      </c>
      <c r="F49" s="3106" t="s">
        <v>2491</v>
      </c>
      <c r="G49" s="3106"/>
    </row>
    <row r="50" spans="1:7" ht="19.5" customHeight="1">
      <c r="A50" s="3797"/>
      <c r="B50" s="3788"/>
      <c r="C50" s="3107" t="s">
        <v>2492</v>
      </c>
      <c r="D50" s="3108"/>
      <c r="E50" s="3109">
        <v>1</v>
      </c>
      <c r="F50" s="3106" t="s">
        <v>2493</v>
      </c>
      <c r="G50" s="3106"/>
    </row>
    <row r="51" spans="1:7" ht="19.5" customHeight="1">
      <c r="A51" s="3797"/>
      <c r="B51" s="3788"/>
      <c r="C51" s="3107" t="s">
        <v>2494</v>
      </c>
      <c r="D51" s="3108"/>
      <c r="E51" s="3109">
        <v>1</v>
      </c>
      <c r="F51" s="3106" t="s">
        <v>2495</v>
      </c>
      <c r="G51" s="3106"/>
    </row>
    <row r="52" spans="1:7" ht="19.5" customHeight="1">
      <c r="A52" s="3797"/>
      <c r="B52" s="3788"/>
      <c r="C52" s="3107" t="s">
        <v>2496</v>
      </c>
      <c r="D52" s="3108"/>
      <c r="E52" s="3109">
        <v>1</v>
      </c>
      <c r="F52" s="3106" t="s">
        <v>2497</v>
      </c>
      <c r="G52" s="3106"/>
    </row>
    <row r="53" spans="1:7" ht="19.5" customHeight="1" thickBot="1">
      <c r="A53" s="3798"/>
      <c r="B53" s="3795"/>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6" t="s">
        <v>2651</v>
      </c>
      <c r="C75" s="3092" t="s">
        <v>2652</v>
      </c>
      <c r="D75" s="3092" t="s">
        <v>2653</v>
      </c>
      <c r="E75" s="3118">
        <v>0.2</v>
      </c>
      <c r="F75" s="3118">
        <v>25</v>
      </c>
    </row>
    <row r="76" spans="1:7" ht="24">
      <c r="A76" s="3118">
        <v>2</v>
      </c>
      <c r="B76" s="3788"/>
      <c r="C76" s="3092" t="s">
        <v>2654</v>
      </c>
      <c r="D76" s="3092" t="s">
        <v>2655</v>
      </c>
      <c r="E76" s="3118">
        <v>0.2</v>
      </c>
      <c r="F76" s="3118">
        <v>25</v>
      </c>
    </row>
    <row r="77" spans="1:7" ht="24">
      <c r="A77" s="3118">
        <v>3</v>
      </c>
      <c r="B77" s="3788"/>
      <c r="C77" s="3092" t="s">
        <v>2656</v>
      </c>
      <c r="D77" s="3092" t="s">
        <v>2657</v>
      </c>
      <c r="E77" s="3118">
        <v>0.2</v>
      </c>
      <c r="F77" s="3118">
        <v>25</v>
      </c>
    </row>
    <row r="78" spans="1:7" ht="13.5">
      <c r="A78" s="3118">
        <v>4</v>
      </c>
      <c r="B78" s="3788"/>
      <c r="C78" s="3092" t="s">
        <v>2658</v>
      </c>
      <c r="D78" s="3092" t="s">
        <v>2659</v>
      </c>
      <c r="E78" s="3118">
        <v>0.15</v>
      </c>
      <c r="F78" s="3118">
        <v>20</v>
      </c>
    </row>
    <row r="79" spans="1:7" ht="24">
      <c r="A79" s="3118">
        <v>5</v>
      </c>
      <c r="B79" s="3788"/>
      <c r="C79" s="3092" t="s">
        <v>2660</v>
      </c>
      <c r="D79" s="3092" t="s">
        <v>2661</v>
      </c>
      <c r="E79" s="3118">
        <v>0.15</v>
      </c>
      <c r="F79" s="3118">
        <v>20</v>
      </c>
    </row>
    <row r="80" spans="1:7" ht="24">
      <c r="A80" s="3118">
        <v>6</v>
      </c>
      <c r="B80" s="3788"/>
      <c r="C80" s="3092" t="s">
        <v>2662</v>
      </c>
      <c r="D80" s="3092" t="s">
        <v>2663</v>
      </c>
      <c r="E80" s="3118">
        <v>0.15</v>
      </c>
      <c r="F80" s="3118">
        <v>20</v>
      </c>
    </row>
    <row r="81" spans="1:6" ht="24">
      <c r="A81" s="3118">
        <v>7</v>
      </c>
      <c r="B81" s="3788"/>
      <c r="C81" s="3092" t="s">
        <v>2664</v>
      </c>
      <c r="D81" s="3092" t="s">
        <v>2665</v>
      </c>
      <c r="E81" s="3118">
        <v>0.15</v>
      </c>
      <c r="F81" s="3118">
        <v>20</v>
      </c>
    </row>
    <row r="82" spans="1:6" ht="24">
      <c r="A82" s="3118">
        <v>8</v>
      </c>
      <c r="B82" s="3788"/>
      <c r="C82" s="3092" t="s">
        <v>2666</v>
      </c>
      <c r="D82" s="3092" t="s">
        <v>2667</v>
      </c>
      <c r="E82" s="3118">
        <v>0.1</v>
      </c>
      <c r="F82" s="3118">
        <v>15</v>
      </c>
    </row>
    <row r="83" spans="1:6" ht="24">
      <c r="A83" s="3118">
        <v>9</v>
      </c>
      <c r="B83" s="3788"/>
      <c r="C83" s="3092" t="s">
        <v>2668</v>
      </c>
      <c r="D83" s="3092" t="s">
        <v>2669</v>
      </c>
      <c r="E83" s="3118">
        <v>0.1</v>
      </c>
      <c r="F83" s="3118">
        <v>15</v>
      </c>
    </row>
    <row r="84" spans="1:6" ht="24">
      <c r="A84" s="3118">
        <v>10</v>
      </c>
      <c r="B84" s="3788"/>
      <c r="C84" s="3092" t="s">
        <v>2670</v>
      </c>
      <c r="D84" s="3092" t="s">
        <v>2671</v>
      </c>
      <c r="E84" s="3118">
        <v>0.1</v>
      </c>
      <c r="F84" s="3118">
        <v>15</v>
      </c>
    </row>
    <row r="85" spans="1:6" ht="24">
      <c r="A85" s="3118">
        <v>11</v>
      </c>
      <c r="B85" s="3788"/>
      <c r="C85" s="3092" t="s">
        <v>2672</v>
      </c>
      <c r="D85" s="3092" t="s">
        <v>2673</v>
      </c>
      <c r="E85" s="3118">
        <v>0.1</v>
      </c>
      <c r="F85" s="3118">
        <v>15</v>
      </c>
    </row>
    <row r="86" spans="1:6" ht="24">
      <c r="A86" s="3118">
        <v>12</v>
      </c>
      <c r="B86" s="3788"/>
      <c r="C86" s="3092" t="s">
        <v>2674</v>
      </c>
      <c r="D86" s="3092" t="s">
        <v>2675</v>
      </c>
      <c r="E86" s="3118">
        <v>0.1</v>
      </c>
      <c r="F86" s="3118">
        <v>15</v>
      </c>
    </row>
    <row r="87" spans="1:6" ht="13.5">
      <c r="A87" s="3118">
        <v>13</v>
      </c>
      <c r="B87" s="3788"/>
      <c r="C87" s="3092" t="s">
        <v>2676</v>
      </c>
      <c r="D87" s="3092" t="s">
        <v>2677</v>
      </c>
      <c r="E87" s="3118">
        <v>0.1</v>
      </c>
      <c r="F87" s="3118">
        <v>15</v>
      </c>
    </row>
    <row r="88" spans="1:6" ht="13.5">
      <c r="A88" s="3118">
        <v>14</v>
      </c>
      <c r="B88" s="3788"/>
      <c r="C88" s="3092" t="s">
        <v>2678</v>
      </c>
      <c r="D88" s="3092" t="s">
        <v>2679</v>
      </c>
      <c r="E88" s="3118">
        <v>0.1</v>
      </c>
      <c r="F88" s="3118">
        <v>15</v>
      </c>
    </row>
    <row r="89" spans="1:6" ht="13.5">
      <c r="A89" s="3118">
        <v>15</v>
      </c>
      <c r="B89" s="3788"/>
      <c r="C89" s="3092" t="s">
        <v>2680</v>
      </c>
      <c r="D89" s="3092" t="s">
        <v>2681</v>
      </c>
      <c r="E89" s="3118">
        <v>0.1</v>
      </c>
      <c r="F89" s="3118">
        <v>15</v>
      </c>
    </row>
    <row r="90" spans="1:6" ht="24">
      <c r="A90" s="3118">
        <v>16</v>
      </c>
      <c r="B90" s="3788"/>
      <c r="C90" s="3092" t="s">
        <v>2682</v>
      </c>
      <c r="D90" s="3092" t="s">
        <v>2683</v>
      </c>
      <c r="E90" s="3118">
        <v>0.1</v>
      </c>
      <c r="F90" s="3118">
        <v>15</v>
      </c>
    </row>
    <row r="91" spans="1:6" ht="24">
      <c r="A91" s="3118">
        <v>17</v>
      </c>
      <c r="B91" s="3787"/>
      <c r="C91" s="3092" t="s">
        <v>2684</v>
      </c>
      <c r="D91" s="3092" t="s">
        <v>2685</v>
      </c>
      <c r="E91" s="3118">
        <v>0.1</v>
      </c>
      <c r="F91" s="3118">
        <v>15</v>
      </c>
    </row>
    <row r="92" spans="1:6" ht="13.5">
      <c r="A92" s="3118">
        <v>18</v>
      </c>
      <c r="B92" s="3786" t="s">
        <v>2686</v>
      </c>
      <c r="C92" s="3092" t="s">
        <v>2687</v>
      </c>
      <c r="D92" s="3092" t="s">
        <v>2688</v>
      </c>
      <c r="E92" s="3118">
        <v>0.2</v>
      </c>
      <c r="F92" s="3118">
        <v>25</v>
      </c>
    </row>
    <row r="93" spans="1:6" ht="24">
      <c r="A93" s="3118">
        <v>19</v>
      </c>
      <c r="B93" s="3788"/>
      <c r="C93" s="3092" t="s">
        <v>2689</v>
      </c>
      <c r="D93" s="3092" t="s">
        <v>2690</v>
      </c>
      <c r="E93" s="3118">
        <v>0.2</v>
      </c>
      <c r="F93" s="3118">
        <v>25</v>
      </c>
    </row>
    <row r="94" spans="1:6" ht="13.5">
      <c r="A94" s="3118">
        <v>20</v>
      </c>
      <c r="B94" s="3788"/>
      <c r="C94" s="3092" t="s">
        <v>2691</v>
      </c>
      <c r="D94" s="3092" t="s">
        <v>2692</v>
      </c>
      <c r="E94" s="3118">
        <v>0.15</v>
      </c>
      <c r="F94" s="3118">
        <v>20</v>
      </c>
    </row>
    <row r="95" spans="1:6" ht="13.5">
      <c r="A95" s="3118">
        <v>21</v>
      </c>
      <c r="B95" s="3788"/>
      <c r="C95" s="3092" t="s">
        <v>2693</v>
      </c>
      <c r="D95" s="3092" t="s">
        <v>2694</v>
      </c>
      <c r="E95" s="3118">
        <v>0.15</v>
      </c>
      <c r="F95" s="3118">
        <v>20</v>
      </c>
    </row>
    <row r="96" spans="1:6" ht="13.5">
      <c r="A96" s="3118">
        <v>22</v>
      </c>
      <c r="B96" s="3788"/>
      <c r="C96" s="3092" t="s">
        <v>2695</v>
      </c>
      <c r="D96" s="3092" t="s">
        <v>2696</v>
      </c>
      <c r="E96" s="3118">
        <v>0.15</v>
      </c>
      <c r="F96" s="3118">
        <v>20</v>
      </c>
    </row>
    <row r="97" spans="1:6" ht="36">
      <c r="A97" s="3118">
        <v>23</v>
      </c>
      <c r="B97" s="3788"/>
      <c r="C97" s="3092" t="s">
        <v>2697</v>
      </c>
      <c r="D97" s="3092" t="s">
        <v>2698</v>
      </c>
      <c r="E97" s="3118">
        <v>0.15</v>
      </c>
      <c r="F97" s="3118">
        <v>20</v>
      </c>
    </row>
    <row r="98" spans="1:6" ht="13.5">
      <c r="A98" s="3118">
        <v>24</v>
      </c>
      <c r="B98" s="3788"/>
      <c r="C98" s="3092" t="s">
        <v>2699</v>
      </c>
      <c r="D98" s="3092" t="s">
        <v>2700</v>
      </c>
      <c r="E98" s="3118">
        <v>0.1</v>
      </c>
      <c r="F98" s="3118">
        <v>15</v>
      </c>
    </row>
    <row r="99" spans="1:6" ht="13.5">
      <c r="A99" s="3118">
        <v>25</v>
      </c>
      <c r="B99" s="3788"/>
      <c r="C99" s="3092" t="s">
        <v>2701</v>
      </c>
      <c r="D99" s="3092" t="s">
        <v>2702</v>
      </c>
      <c r="E99" s="3118">
        <v>0.1</v>
      </c>
      <c r="F99" s="3118">
        <v>15</v>
      </c>
    </row>
    <row r="100" spans="1:6" ht="24">
      <c r="A100" s="3118">
        <v>26</v>
      </c>
      <c r="B100" s="3788"/>
      <c r="C100" s="3092" t="s">
        <v>2703</v>
      </c>
      <c r="D100" s="3092" t="s">
        <v>2704</v>
      </c>
      <c r="E100" s="3118">
        <v>0.1</v>
      </c>
      <c r="F100" s="3118">
        <v>15</v>
      </c>
    </row>
    <row r="101" spans="1:6" ht="24">
      <c r="A101" s="3118">
        <v>27</v>
      </c>
      <c r="B101" s="3788"/>
      <c r="C101" s="3092" t="s">
        <v>2705</v>
      </c>
      <c r="D101" s="3092" t="s">
        <v>2706</v>
      </c>
      <c r="E101" s="3118">
        <v>0.1</v>
      </c>
      <c r="F101" s="3118">
        <v>15</v>
      </c>
    </row>
    <row r="102" spans="1:6" ht="13.5">
      <c r="A102" s="3118">
        <v>28</v>
      </c>
      <c r="B102" s="3788"/>
      <c r="C102" s="3092" t="s">
        <v>2707</v>
      </c>
      <c r="D102" s="3092" t="s">
        <v>2708</v>
      </c>
      <c r="E102" s="3118">
        <v>0.1</v>
      </c>
      <c r="F102" s="3118">
        <v>15</v>
      </c>
    </row>
    <row r="103" spans="1:6" ht="13.5">
      <c r="A103" s="3118">
        <v>29</v>
      </c>
      <c r="B103" s="3788"/>
      <c r="C103" s="3092" t="s">
        <v>2709</v>
      </c>
      <c r="D103" s="3092" t="s">
        <v>2710</v>
      </c>
      <c r="E103" s="3118">
        <v>0.1</v>
      </c>
      <c r="F103" s="3118">
        <v>15</v>
      </c>
    </row>
    <row r="104" spans="1:6" ht="13.5">
      <c r="A104" s="3118">
        <v>30</v>
      </c>
      <c r="B104" s="3788"/>
      <c r="C104" s="3092" t="s">
        <v>2711</v>
      </c>
      <c r="D104" s="3092" t="s">
        <v>2712</v>
      </c>
      <c r="E104" s="3118">
        <v>0.1</v>
      </c>
      <c r="F104" s="3118">
        <v>15</v>
      </c>
    </row>
    <row r="105" spans="1:6" ht="24">
      <c r="A105" s="3118">
        <v>31</v>
      </c>
      <c r="B105" s="3788"/>
      <c r="C105" s="3092" t="s">
        <v>2713</v>
      </c>
      <c r="D105" s="3092" t="s">
        <v>2714</v>
      </c>
      <c r="E105" s="3118">
        <v>0.1</v>
      </c>
      <c r="F105" s="3118">
        <v>15</v>
      </c>
    </row>
    <row r="106" spans="1:6" ht="24">
      <c r="A106" s="3118">
        <v>32</v>
      </c>
      <c r="B106" s="3788"/>
      <c r="C106" s="3092" t="s">
        <v>2715</v>
      </c>
      <c r="D106" s="3092" t="s">
        <v>2716</v>
      </c>
      <c r="E106" s="3118">
        <v>0.1</v>
      </c>
      <c r="F106" s="3118">
        <v>15</v>
      </c>
    </row>
    <row r="107" spans="1:6" ht="24">
      <c r="A107" s="3118">
        <v>33</v>
      </c>
      <c r="B107" s="3788"/>
      <c r="C107" s="3092" t="s">
        <v>2717</v>
      </c>
      <c r="D107" s="3092" t="s">
        <v>2718</v>
      </c>
      <c r="E107" s="3118">
        <v>0.1</v>
      </c>
      <c r="F107" s="3118">
        <v>15</v>
      </c>
    </row>
    <row r="108" spans="1:6" ht="24">
      <c r="A108" s="3118">
        <v>34</v>
      </c>
      <c r="B108" s="3787"/>
      <c r="C108" s="3092" t="s">
        <v>2719</v>
      </c>
      <c r="D108" s="3092" t="s">
        <v>2720</v>
      </c>
      <c r="E108" s="3118">
        <v>0.1</v>
      </c>
      <c r="F108" s="3118">
        <v>15</v>
      </c>
    </row>
    <row r="109" spans="1:6" ht="24">
      <c r="A109" s="3118">
        <v>35</v>
      </c>
      <c r="B109" s="3786" t="s">
        <v>2721</v>
      </c>
      <c r="C109" s="3118" t="s">
        <v>2722</v>
      </c>
      <c r="D109" s="3092" t="s">
        <v>2723</v>
      </c>
      <c r="E109" s="3118">
        <v>0.15</v>
      </c>
      <c r="F109" s="3118">
        <v>20</v>
      </c>
    </row>
    <row r="110" spans="1:6" ht="13.5">
      <c r="A110" s="3118">
        <v>36</v>
      </c>
      <c r="B110" s="3788"/>
      <c r="C110" s="3118" t="s">
        <v>2724</v>
      </c>
      <c r="D110" s="3092" t="s">
        <v>2725</v>
      </c>
      <c r="E110" s="3118">
        <v>0.15</v>
      </c>
      <c r="F110" s="3118">
        <v>20</v>
      </c>
    </row>
    <row r="111" spans="1:6" ht="13.5">
      <c r="A111" s="3118">
        <v>37</v>
      </c>
      <c r="B111" s="3788"/>
      <c r="C111" s="3118" t="s">
        <v>2726</v>
      </c>
      <c r="D111" s="3092" t="s">
        <v>2727</v>
      </c>
      <c r="E111" s="3118">
        <v>0.15</v>
      </c>
      <c r="F111" s="3118">
        <v>20</v>
      </c>
    </row>
    <row r="112" spans="1:6" ht="13.5">
      <c r="A112" s="3118">
        <v>38</v>
      </c>
      <c r="B112" s="3788"/>
      <c r="C112" s="3118" t="s">
        <v>2728</v>
      </c>
      <c r="D112" s="3092" t="s">
        <v>2729</v>
      </c>
      <c r="E112" s="3118">
        <v>0.1</v>
      </c>
      <c r="F112" s="3118">
        <v>15</v>
      </c>
    </row>
    <row r="113" spans="1:6" ht="24">
      <c r="A113" s="3118">
        <v>39</v>
      </c>
      <c r="B113" s="3788"/>
      <c r="C113" s="3118" t="s">
        <v>2730</v>
      </c>
      <c r="D113" s="3092" t="s">
        <v>2731</v>
      </c>
      <c r="E113" s="3118">
        <v>0.1</v>
      </c>
      <c r="F113" s="3118">
        <v>15</v>
      </c>
    </row>
    <row r="114" spans="1:6" ht="24">
      <c r="A114" s="3118">
        <v>40</v>
      </c>
      <c r="B114" s="3787"/>
      <c r="C114" s="3118" t="s">
        <v>2732</v>
      </c>
      <c r="D114" s="3092" t="s">
        <v>2733</v>
      </c>
      <c r="E114" s="3118">
        <v>0.1</v>
      </c>
      <c r="F114" s="3118">
        <v>15</v>
      </c>
    </row>
    <row r="115" spans="1:6" ht="13.5">
      <c r="A115" s="3118">
        <v>41</v>
      </c>
      <c r="B115" s="3785" t="s">
        <v>2734</v>
      </c>
      <c r="C115" s="3118" t="s">
        <v>2735</v>
      </c>
      <c r="D115" s="3092" t="s">
        <v>2736</v>
      </c>
      <c r="E115" s="3118">
        <v>0.1</v>
      </c>
      <c r="F115" s="3118">
        <v>15</v>
      </c>
    </row>
    <row r="116" spans="1:6" ht="13.5">
      <c r="A116" s="3118">
        <v>42</v>
      </c>
      <c r="B116" s="3785"/>
      <c r="C116" s="3118" t="s">
        <v>2737</v>
      </c>
      <c r="D116" s="3092" t="s">
        <v>2738</v>
      </c>
      <c r="E116" s="3118">
        <v>0.1</v>
      </c>
      <c r="F116" s="3118">
        <v>15</v>
      </c>
    </row>
    <row r="117" spans="1:6" ht="24">
      <c r="A117" s="3118">
        <v>43</v>
      </c>
      <c r="B117" s="3785"/>
      <c r="C117" s="3118" t="s">
        <v>2739</v>
      </c>
      <c r="D117" s="3092" t="s">
        <v>2740</v>
      </c>
      <c r="E117" s="3118">
        <v>0.1</v>
      </c>
      <c r="F117" s="3118">
        <v>15</v>
      </c>
    </row>
    <row r="118" spans="1:6" ht="13.5">
      <c r="A118" s="3118">
        <v>44</v>
      </c>
      <c r="B118" s="3786" t="s">
        <v>2741</v>
      </c>
      <c r="C118" s="3118" t="s">
        <v>2742</v>
      </c>
      <c r="D118" s="3092" t="s">
        <v>2743</v>
      </c>
      <c r="E118" s="3118">
        <v>0.1</v>
      </c>
      <c r="F118" s="3118">
        <v>15</v>
      </c>
    </row>
    <row r="119" spans="1:6" ht="24">
      <c r="A119" s="3118">
        <v>45</v>
      </c>
      <c r="B119" s="3787"/>
      <c r="C119" s="3092" t="s">
        <v>2744</v>
      </c>
      <c r="D119" s="3092" t="s">
        <v>2745</v>
      </c>
      <c r="E119" s="3118">
        <v>0.1</v>
      </c>
      <c r="F119" s="3118">
        <v>15</v>
      </c>
    </row>
    <row r="120" spans="1:6" ht="24">
      <c r="A120" s="3118">
        <v>46</v>
      </c>
      <c r="B120" s="3786" t="s">
        <v>2746</v>
      </c>
      <c r="C120" s="3118" t="s">
        <v>2747</v>
      </c>
      <c r="D120" s="3092" t="s">
        <v>2748</v>
      </c>
      <c r="E120" s="3118">
        <v>0.1</v>
      </c>
      <c r="F120" s="3118">
        <v>15</v>
      </c>
    </row>
    <row r="121" spans="1:6" ht="24">
      <c r="A121" s="3118">
        <v>47</v>
      </c>
      <c r="B121" s="3787"/>
      <c r="C121" s="3118" t="s">
        <v>2749</v>
      </c>
      <c r="D121" s="3092" t="s">
        <v>2750</v>
      </c>
      <c r="E121" s="3118">
        <v>0.1</v>
      </c>
      <c r="F121" s="3118">
        <v>15</v>
      </c>
    </row>
    <row r="122" spans="1:6" ht="13.5">
      <c r="A122" s="3118">
        <v>48</v>
      </c>
      <c r="B122" s="3786" t="s">
        <v>2751</v>
      </c>
      <c r="C122" s="3118" t="s">
        <v>2752</v>
      </c>
      <c r="D122" s="3092" t="s">
        <v>2753</v>
      </c>
      <c r="E122" s="3118">
        <v>0.1</v>
      </c>
      <c r="F122" s="3118">
        <v>15</v>
      </c>
    </row>
    <row r="123" spans="1:6" ht="13.5">
      <c r="A123" s="3118">
        <v>49</v>
      </c>
      <c r="B123" s="3787"/>
      <c r="C123" s="3118" t="s">
        <v>2754</v>
      </c>
      <c r="D123" s="3092" t="s">
        <v>2755</v>
      </c>
      <c r="E123" s="3118">
        <v>0.1</v>
      </c>
      <c r="F123" s="3118">
        <v>15</v>
      </c>
    </row>
    <row r="124" spans="1:6" ht="24">
      <c r="A124" s="3118">
        <v>50</v>
      </c>
      <c r="B124" s="3785" t="s">
        <v>2756</v>
      </c>
      <c r="C124" s="3118" t="s">
        <v>2757</v>
      </c>
      <c r="D124" s="3092" t="s">
        <v>2758</v>
      </c>
      <c r="E124" s="3118">
        <v>0.1</v>
      </c>
      <c r="F124" s="3118">
        <v>15</v>
      </c>
    </row>
    <row r="125" spans="1:6" ht="24">
      <c r="A125" s="3118">
        <v>51</v>
      </c>
      <c r="B125" s="3785"/>
      <c r="C125" s="3118" t="s">
        <v>2759</v>
      </c>
      <c r="D125" s="3092" t="s">
        <v>2760</v>
      </c>
      <c r="E125" s="3118">
        <v>0.1</v>
      </c>
      <c r="F125" s="3118">
        <v>15</v>
      </c>
    </row>
    <row r="126" spans="1:6" ht="24">
      <c r="A126" s="3118">
        <v>52</v>
      </c>
      <c r="B126" s="3785" t="s">
        <v>2761</v>
      </c>
      <c r="C126" s="3118" t="s">
        <v>2762</v>
      </c>
      <c r="D126" s="3092" t="s">
        <v>2763</v>
      </c>
      <c r="E126" s="3118">
        <v>0.1</v>
      </c>
      <c r="F126" s="3118">
        <v>15</v>
      </c>
    </row>
    <row r="127" spans="1:6" ht="24">
      <c r="A127" s="3118">
        <v>53</v>
      </c>
      <c r="B127" s="3785"/>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5" t="s">
        <v>2769</v>
      </c>
      <c r="C129" s="3118" t="s">
        <v>2770</v>
      </c>
      <c r="D129" s="3092" t="s">
        <v>2771</v>
      </c>
      <c r="E129" s="3118">
        <v>0.1</v>
      </c>
      <c r="F129" s="3118">
        <v>15</v>
      </c>
    </row>
    <row r="130" spans="1:6" ht="13.5">
      <c r="A130" s="3118">
        <v>56</v>
      </c>
      <c r="B130" s="3785"/>
      <c r="C130" s="3118" t="s">
        <v>2772</v>
      </c>
      <c r="D130" s="3092" t="s">
        <v>2773</v>
      </c>
      <c r="E130" s="3118">
        <v>0.1</v>
      </c>
      <c r="F130" s="3118">
        <v>15</v>
      </c>
    </row>
    <row r="131" spans="1:6" ht="24">
      <c r="A131" s="3118">
        <v>57</v>
      </c>
      <c r="B131" s="3785"/>
      <c r="C131" s="3118" t="s">
        <v>2774</v>
      </c>
      <c r="D131" s="3092" t="s">
        <v>2775</v>
      </c>
      <c r="E131" s="3118">
        <v>0.1</v>
      </c>
      <c r="F131" s="3118">
        <v>15</v>
      </c>
    </row>
    <row r="132" spans="1:6" ht="24">
      <c r="A132" s="3118">
        <v>58</v>
      </c>
      <c r="B132" s="3785" t="s">
        <v>2776</v>
      </c>
      <c r="C132" s="3118" t="s">
        <v>2777</v>
      </c>
      <c r="D132" s="3092" t="s">
        <v>2778</v>
      </c>
      <c r="E132" s="3118">
        <v>0.1</v>
      </c>
      <c r="F132" s="3118">
        <v>15</v>
      </c>
    </row>
    <row r="133" spans="1:6" ht="13.5">
      <c r="A133" s="3118">
        <v>59</v>
      </c>
      <c r="B133" s="3785"/>
      <c r="C133" s="3118" t="s">
        <v>2779</v>
      </c>
      <c r="D133" s="3092" t="s">
        <v>2780</v>
      </c>
      <c r="E133" s="3118">
        <v>0.1</v>
      </c>
      <c r="F133" s="3118">
        <v>15</v>
      </c>
    </row>
    <row r="134" spans="1:6" ht="13.5">
      <c r="A134" s="3118">
        <v>60</v>
      </c>
      <c r="B134" s="3786" t="s">
        <v>2781</v>
      </c>
      <c r="C134" s="3118" t="s">
        <v>2782</v>
      </c>
      <c r="D134" s="3092" t="s">
        <v>2783</v>
      </c>
      <c r="E134" s="3118">
        <v>0.1</v>
      </c>
      <c r="F134" s="3118">
        <v>15</v>
      </c>
    </row>
    <row r="135" spans="1:6" ht="13.5">
      <c r="A135" s="3118">
        <v>61</v>
      </c>
      <c r="B135" s="3787"/>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5" t="s">
        <v>2789</v>
      </c>
      <c r="C137" s="3118" t="s">
        <v>2790</v>
      </c>
      <c r="D137" s="3092" t="s">
        <v>2791</v>
      </c>
      <c r="E137" s="3118">
        <v>0.1</v>
      </c>
      <c r="F137" s="3118">
        <v>15</v>
      </c>
    </row>
    <row r="138" spans="1:6" ht="13.5">
      <c r="A138" s="3118">
        <v>64</v>
      </c>
      <c r="B138" s="3785"/>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3"/>
      <c r="B4" s="3482" t="s">
        <v>917</v>
      </c>
      <c r="C4" s="3482"/>
      <c r="D4" s="3482"/>
      <c r="E4" s="1493"/>
    </row>
    <row r="5" spans="1:5" ht="16.5" thickTop="1">
      <c r="A5" s="1491"/>
      <c r="B5" s="3480" t="s">
        <v>909</v>
      </c>
      <c r="C5" s="1494" t="s">
        <v>910</v>
      </c>
      <c r="D5" s="850" t="e">
        <f ca="1">结果表!H101</f>
        <v>#REF!</v>
      </c>
      <c r="E5" s="1491"/>
    </row>
    <row r="6" spans="1:5" ht="15.75">
      <c r="A6" s="1491"/>
      <c r="B6" s="3480"/>
      <c r="C6" s="1494" t="s">
        <v>911</v>
      </c>
      <c r="D6" s="850" t="e">
        <f ca="1">NUMBERSTRING(INT(D5*10000),2)&amp;"元整"</f>
        <v>#REF!</v>
      </c>
      <c r="E6" s="1491"/>
    </row>
    <row r="7" spans="1:5" ht="15.75">
      <c r="A7" s="1491"/>
      <c r="B7" s="3485"/>
      <c r="C7" s="1495" t="s">
        <v>912</v>
      </c>
      <c r="D7" s="851" t="e">
        <f ca="1">结果表!H102</f>
        <v>#REF!</v>
      </c>
      <c r="E7" s="1491"/>
    </row>
    <row r="8" spans="1:5" ht="15.75">
      <c r="A8" s="1491"/>
      <c r="B8" s="3486" t="str">
        <f>结果表!E103</f>
        <v>2.估价师知悉的法定优先受偿款</v>
      </c>
      <c r="C8" s="1496" t="s">
        <v>913</v>
      </c>
      <c r="D8" s="851">
        <f>结果表!H103</f>
        <v>0</v>
      </c>
      <c r="E8" s="1491"/>
    </row>
    <row r="9" spans="1:5" ht="15.75">
      <c r="A9" s="1491"/>
      <c r="B9" s="348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9" t="str">
        <f>结果表!E107</f>
        <v>3.房地产抵押价值</v>
      </c>
      <c r="C13" s="1499" t="s">
        <v>910</v>
      </c>
      <c r="D13" s="853" t="e">
        <f ca="1">结果表!H107</f>
        <v>#REF!</v>
      </c>
      <c r="E13" s="1491"/>
    </row>
    <row r="14" spans="1:5" ht="15.75">
      <c r="A14" s="1491"/>
      <c r="B14" s="3480"/>
      <c r="C14" s="1494" t="s">
        <v>911</v>
      </c>
      <c r="D14" s="850" t="e">
        <f ca="1">NUMBERSTRING(INT(D13*10000),2)&amp;"元整"</f>
        <v>#REF!</v>
      </c>
      <c r="E14" s="1491"/>
    </row>
    <row r="15" spans="1:5" ht="15">
      <c r="A15" s="1491"/>
      <c r="B15" s="3485"/>
      <c r="C15" s="1495" t="s">
        <v>921</v>
      </c>
      <c r="D15" s="859" t="e">
        <f ca="1">结果表!H108</f>
        <v>#REF!</v>
      </c>
      <c r="E15" s="1491"/>
    </row>
    <row r="16" spans="1:5" ht="15">
      <c r="A16" s="1491"/>
      <c r="B16" s="3486" t="str">
        <f>结果表!E109</f>
        <v>——</v>
      </c>
      <c r="C16" s="1499" t="s">
        <v>922</v>
      </c>
      <c r="D16" s="1500" t="str">
        <f>结果表!H109</f>
        <v>——</v>
      </c>
      <c r="E16" s="1491"/>
    </row>
    <row r="17" spans="1:5" ht="15.75">
      <c r="A17" s="1491"/>
      <c r="B17" s="3487"/>
      <c r="C17" s="1494" t="s">
        <v>923</v>
      </c>
      <c r="D17" s="850" t="e">
        <f>NUMBERSTRING(INT(D16*10000),2)&amp;"元整"</f>
        <v>#VALUE!</v>
      </c>
      <c r="E17" s="1491"/>
    </row>
    <row r="18" spans="1:5" ht="15">
      <c r="A18" s="1491"/>
      <c r="B18" s="3488"/>
      <c r="C18" s="1495" t="s">
        <v>912</v>
      </c>
      <c r="D18" s="859" t="str">
        <f>结果表!H110</f>
        <v>——</v>
      </c>
      <c r="E18" s="1491"/>
    </row>
    <row r="19" spans="1:5" ht="15.75">
      <c r="A19" s="1491"/>
      <c r="B19" s="3479" t="str">
        <f>结果表!E111</f>
        <v>——</v>
      </c>
      <c r="C19" s="1499" t="s">
        <v>910</v>
      </c>
      <c r="D19" s="851" t="str">
        <f>结果表!H111</f>
        <v>——</v>
      </c>
      <c r="E19" s="1491"/>
    </row>
    <row r="20" spans="1:5" ht="15.75">
      <c r="A20" s="1491"/>
      <c r="B20" s="3480"/>
      <c r="C20" s="1494" t="s">
        <v>923</v>
      </c>
      <c r="D20" s="850" t="e">
        <f>NUMBERSTRING(INT(D19*10000),2)&amp;"元整"</f>
        <v>#VALUE!</v>
      </c>
      <c r="E20" s="1491"/>
    </row>
    <row r="21" spans="1:5" ht="15.75" thickBot="1">
      <c r="A21" s="1491"/>
      <c r="B21" s="348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1" t="s">
        <v>94</v>
      </c>
    </row>
    <row r="43" spans="1:7" ht="13.5" customHeight="1">
      <c r="A43" s="780" t="s">
        <v>347</v>
      </c>
      <c r="B43" s="215" t="s">
        <v>426</v>
      </c>
      <c r="C43" s="238" t="e">
        <f ca="1">ROUND(IF('数据-取费表'!B22&lt;=1,C39*F22*'数据-取费表'!B21/2,C39*(POWER((1+F22),'数据-取费表'!B21/2)-1)),0)</f>
        <v>#VALUE!</v>
      </c>
      <c r="D43" s="238"/>
      <c r="E43" s="238"/>
      <c r="F43" s="239"/>
      <c r="G43" s="3662"/>
    </row>
    <row r="44" spans="1:7" ht="13.5" customHeight="1">
      <c r="A44" s="780" t="s">
        <v>348</v>
      </c>
      <c r="B44" s="215" t="s">
        <v>428</v>
      </c>
      <c r="C44" s="238" t="e">
        <f ca="1">ROUND(IF('数据-取费表'!B22&lt;=1,C40*F22*'数据-取费表'!B21/2,C40*(POWER((1+F22),'数据-取费表'!B21/2)-1)),4)</f>
        <v>#VALUE!</v>
      </c>
      <c r="D44" s="238"/>
      <c r="E44" s="238"/>
      <c r="F44" s="239"/>
      <c r="G44" s="3663"/>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9" t="s">
        <v>3181</v>
      </c>
      <c r="B1" s="3799"/>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0" t="s">
        <v>3232</v>
      </c>
      <c r="B1" s="3800"/>
      <c r="C1" s="3800"/>
      <c r="D1" s="3800"/>
      <c r="E1" s="3800"/>
      <c r="F1" s="3801"/>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1">
        <f>基准地价修正!G23</f>
        <v>45902</v>
      </c>
      <c r="B1" s="3210" t="s">
        <v>3376</v>
      </c>
      <c r="C1" s="3211"/>
      <c r="D1" s="3211"/>
      <c r="E1" s="3211"/>
      <c r="F1" s="3211"/>
      <c r="G1" s="3211"/>
      <c r="H1" s="3211"/>
      <c r="I1" s="3211"/>
      <c r="J1" s="3165"/>
      <c r="K1" s="3211" t="s">
        <v>454</v>
      </c>
      <c r="L1" s="3211"/>
      <c r="M1" s="3211"/>
      <c r="N1" s="3211"/>
      <c r="O1" s="3211"/>
      <c r="P1" s="3211"/>
      <c r="Q1" s="3165"/>
      <c r="R1" s="3802" t="s">
        <v>456</v>
      </c>
      <c r="S1" s="3803"/>
      <c r="T1" s="3803"/>
      <c r="U1" s="3803"/>
      <c r="V1" s="3803"/>
      <c r="W1" s="3803"/>
      <c r="X1" s="3165"/>
      <c r="Y1" s="3802" t="s">
        <v>457</v>
      </c>
      <c r="Z1" s="3803"/>
      <c r="AA1" s="3803"/>
      <c r="AB1" s="3803"/>
      <c r="AC1" s="3803"/>
      <c r="AD1" s="3803"/>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2" t="s">
        <v>2827</v>
      </c>
      <c r="S29" s="3803"/>
      <c r="T29" s="3803"/>
      <c r="U29" s="3803"/>
      <c r="V29" s="3803"/>
      <c r="W29" s="3803"/>
      <c r="X29" s="3165"/>
      <c r="Y29" s="3802" t="s">
        <v>2828</v>
      </c>
      <c r="Z29" s="3803"/>
      <c r="AA29" s="3803"/>
      <c r="AB29" s="3803"/>
      <c r="AC29" s="3803"/>
      <c r="AD29" s="3803"/>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9" t="s">
        <v>452</v>
      </c>
      <c r="C1" s="3809"/>
      <c r="D1" s="3809"/>
      <c r="E1" s="3809"/>
      <c r="F1" s="3809"/>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7" t="s">
        <v>2839</v>
      </c>
      <c r="B1" s="3817"/>
      <c r="C1" s="3817"/>
      <c r="D1" s="3817"/>
      <c r="E1" s="3817"/>
      <c r="F1" s="3817"/>
      <c r="G1" s="3818"/>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5"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6"/>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45902</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
      <c r="A3" s="3492"/>
      <c r="B3" s="3492"/>
      <c r="C3" s="3492"/>
      <c r="D3" s="854" t="s">
        <v>925</v>
      </c>
      <c r="E3" s="854" t="s">
        <v>931</v>
      </c>
      <c r="F3" s="854" t="s">
        <v>925</v>
      </c>
      <c r="G3" s="854" t="s">
        <v>926</v>
      </c>
      <c r="H3" s="854" t="s">
        <v>925</v>
      </c>
      <c r="I3" s="854" t="s">
        <v>926</v>
      </c>
    </row>
    <row r="4" spans="1:9" ht="15">
      <c r="A4" s="1505" t="str">
        <f>项目基本情况!S2</f>
        <v>北京市东城区崇文门外大街5号5-1幢4层501办公用房房地产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2" t="s">
        <v>927</v>
      </c>
      <c r="B5" s="3492"/>
      <c r="C5" s="3492"/>
      <c r="D5" s="3492" t="e">
        <f ca="1">结果表!D119</f>
        <v>#REF!</v>
      </c>
      <c r="E5" s="3492"/>
      <c r="F5" s="3492" t="e">
        <f ca="1">结果表!F119</f>
        <v>#REF!</v>
      </c>
      <c r="G5" s="3492"/>
      <c r="H5" s="3492" t="e">
        <f ca="1">结果表!H119</f>
        <v>#REF!</v>
      </c>
      <c r="I5" s="3492"/>
    </row>
    <row r="6" spans="1:9" ht="15.75">
      <c r="A6" s="3491" t="str">
        <f>结果表!A120</f>
        <v>估价师知悉的法定优先受偿款</v>
      </c>
      <c r="B6" s="3491"/>
      <c r="C6" s="3491"/>
      <c r="D6" s="3491">
        <f>结果表!D120</f>
        <v>0</v>
      </c>
      <c r="E6" s="3491"/>
      <c r="F6" s="3491"/>
      <c r="G6" s="3491"/>
      <c r="H6" s="3491"/>
      <c r="I6" s="3491"/>
    </row>
    <row r="7" spans="1:9" ht="15">
      <c r="A7" s="3492" t="s">
        <v>927</v>
      </c>
      <c r="B7" s="3492"/>
      <c r="C7" s="3492"/>
      <c r="D7" s="3493" t="str">
        <f>结果表!D121</f>
        <v>零元整</v>
      </c>
      <c r="E7" s="3494"/>
      <c r="F7" s="3494"/>
      <c r="G7" s="3494"/>
      <c r="H7" s="3494"/>
      <c r="I7" s="3495"/>
    </row>
    <row r="8" spans="1:9" ht="15.75">
      <c r="A8" s="3491" t="str">
        <f>结果表!A122</f>
        <v>房地产抵押价值</v>
      </c>
      <c r="B8" s="3491"/>
      <c r="C8" s="3491"/>
      <c r="D8" s="3491" t="e">
        <f ca="1">结果表!D122</f>
        <v>#REF!</v>
      </c>
      <c r="E8" s="3491"/>
      <c r="F8" s="3491"/>
      <c r="G8" s="3491"/>
      <c r="H8" s="3491"/>
      <c r="I8" s="3491"/>
    </row>
    <row r="9" spans="1:9" ht="15">
      <c r="A9" s="3492" t="s">
        <v>927</v>
      </c>
      <c r="B9" s="3492"/>
      <c r="C9" s="3492"/>
      <c r="D9" s="3492" t="e">
        <f ca="1">结果表!D123</f>
        <v>#REF!</v>
      </c>
      <c r="E9" s="3492"/>
      <c r="F9" s="3492"/>
      <c r="G9" s="3492"/>
      <c r="H9" s="3492"/>
      <c r="I9" s="3492"/>
    </row>
    <row r="10" spans="1:9" ht="15.75">
      <c r="A10" s="3491" t="str">
        <f>结果表!A124</f>
        <v/>
      </c>
      <c r="B10" s="3491"/>
      <c r="C10" s="3491"/>
      <c r="D10" s="3491" t="str">
        <f>结果表!D124</f>
        <v>——</v>
      </c>
      <c r="E10" s="3491"/>
      <c r="F10" s="3491"/>
      <c r="G10" s="3491"/>
      <c r="H10" s="3491"/>
      <c r="I10" s="3491"/>
    </row>
    <row r="11" spans="1:9" ht="15">
      <c r="A11" s="3492" t="s">
        <v>927</v>
      </c>
      <c r="B11" s="3492"/>
      <c r="C11" s="3492"/>
      <c r="D11" s="3492" t="e">
        <f>结果表!D125</f>
        <v>#VALUE!</v>
      </c>
      <c r="E11" s="3492"/>
      <c r="F11" s="3492"/>
      <c r="G11" s="3492"/>
      <c r="H11" s="3492"/>
      <c r="I11" s="3492"/>
    </row>
    <row r="12" spans="1:9" ht="15.75">
      <c r="A12" s="3491" t="str">
        <f>结果表!A126</f>
        <v/>
      </c>
      <c r="B12" s="3491"/>
      <c r="C12" s="3491"/>
      <c r="D12" s="3491" t="str">
        <f>结果表!D126</f>
        <v>——</v>
      </c>
      <c r="E12" s="3491"/>
      <c r="F12" s="3491"/>
      <c r="G12" s="3491"/>
      <c r="H12" s="3491"/>
      <c r="I12" s="3491"/>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4" t="s">
        <v>949</v>
      </c>
      <c r="B1" s="3504"/>
      <c r="C1" s="3504"/>
      <c r="D1" s="3504"/>
    </row>
    <row r="2" spans="1:4" ht="18">
      <c r="A2" s="3505" t="s">
        <v>933</v>
      </c>
      <c r="B2" s="3505"/>
      <c r="C2" s="3505"/>
      <c r="D2" s="350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5" t="s">
        <v>939</v>
      </c>
      <c r="B6" s="3505"/>
      <c r="C6" s="3505"/>
      <c r="D6" s="350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6"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498" t="str">
        <f>IF(项目基本情况!B8="抵押","4.本次评估估价师所知悉的法定优先受偿款情况说明如下：","——")</f>
        <v>4.本次评估估价师所知悉的法定优先受偿款情况说明如下：</v>
      </c>
      <c r="B14" s="3503"/>
      <c r="C14" s="3503"/>
      <c r="D14" s="3503"/>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0" t="s">
        <v>943</v>
      </c>
      <c r="B16" s="3500"/>
      <c r="C16" s="3500"/>
      <c r="D16" s="3500"/>
    </row>
    <row r="17" spans="1:4" ht="144" customHeight="1">
      <c r="A17" s="3500" t="s">
        <v>944</v>
      </c>
      <c r="B17" s="3500"/>
      <c r="C17" s="3500"/>
      <c r="D17" s="3500"/>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9">
        <v>42551</v>
      </c>
      <c r="D31" s="34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2" t="s">
        <v>956</v>
      </c>
      <c r="B15" s="3507" t="s">
        <v>109</v>
      </c>
      <c r="C15" s="3508"/>
    </row>
    <row r="16" spans="1:7" ht="13.5">
      <c r="A16" s="3513"/>
      <c r="B16" s="3507" t="s">
        <v>42</v>
      </c>
      <c r="C16" s="3508"/>
    </row>
    <row r="17" spans="1:3" ht="13.5">
      <c r="A17" s="3513"/>
      <c r="B17" s="3510" t="s">
        <v>957</v>
      </c>
      <c r="C17" s="1532" t="s">
        <v>956</v>
      </c>
    </row>
    <row r="18" spans="1:3" ht="13.5">
      <c r="A18" s="3513"/>
      <c r="B18" s="3510"/>
      <c r="C18" s="1532" t="s">
        <v>958</v>
      </c>
    </row>
    <row r="19" spans="1:3" ht="13.5">
      <c r="A19" s="3513"/>
      <c r="B19" s="3510"/>
      <c r="C19" s="1532" t="s">
        <v>959</v>
      </c>
    </row>
    <row r="20" spans="1:3" ht="13.5">
      <c r="A20" s="3514"/>
      <c r="B20" s="3509" t="s">
        <v>960</v>
      </c>
      <c r="C20" s="3508"/>
    </row>
    <row r="21" spans="1:3" ht="13.5">
      <c r="A21" s="1533" t="s">
        <v>961</v>
      </c>
      <c r="B21" s="1534"/>
      <c r="C21" s="1535"/>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2" t="s">
        <v>967</v>
      </c>
    </row>
    <row r="26" spans="1:3" ht="13.5">
      <c r="A26" s="3511"/>
      <c r="B26" s="3510"/>
      <c r="C26" s="1532" t="s">
        <v>968</v>
      </c>
    </row>
    <row r="27" spans="1:3" ht="13.5">
      <c r="A27" s="3511"/>
      <c r="B27" s="3510"/>
      <c r="C27" s="1532" t="s">
        <v>969</v>
      </c>
    </row>
    <row r="28" spans="1:3" ht="13.5">
      <c r="A28" s="3511"/>
      <c r="B28" s="3510"/>
      <c r="C28" s="1532" t="s">
        <v>970</v>
      </c>
    </row>
    <row r="29" spans="1:3" ht="13.5">
      <c r="A29" s="3511"/>
      <c r="B29" s="3510"/>
      <c r="C29" s="1532" t="s">
        <v>971</v>
      </c>
    </row>
    <row r="30" spans="1:3" ht="13.5">
      <c r="A30" s="3511"/>
      <c r="B30" s="3510"/>
      <c r="C30" s="1532" t="s">
        <v>972</v>
      </c>
    </row>
    <row r="31" spans="1:3" ht="13.5">
      <c r="A31" s="3511"/>
      <c r="B31" s="3510"/>
      <c r="C31" s="1532" t="s">
        <v>973</v>
      </c>
    </row>
    <row r="32" spans="1:3" ht="13.5">
      <c r="A32" s="3511"/>
      <c r="B32" s="3510"/>
      <c r="C32" s="1532" t="s">
        <v>974</v>
      </c>
    </row>
    <row r="33" spans="1:3" ht="13.5">
      <c r="A33" s="3511"/>
      <c r="B33" s="351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45902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2160</v>
      </c>
      <c r="B17" s="3515"/>
      <c r="C17" s="3515"/>
      <c r="D17" s="3515"/>
      <c r="E17" s="3515"/>
      <c r="F17" s="3515"/>
      <c r="G17" s="3515"/>
      <c r="H17" s="3515"/>
    </row>
    <row r="18" spans="1:8" ht="24" customHeight="1">
      <c r="A18" s="3516" t="s">
        <v>2161</v>
      </c>
      <c r="B18" s="3516"/>
      <c r="C18" s="3516"/>
      <c r="D18" s="2343"/>
      <c r="E18" s="3517" t="s">
        <v>2162</v>
      </c>
      <c r="F18" s="3516"/>
      <c r="G18" s="351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售价</vt:lpstr>
      <vt:lpstr>租金</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2025-09-02T08:49:11Z</dcterms:modified>
</cp:coreProperties>
</file>