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64"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收益法 (2)" sheetId="71"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修正表" sheetId="69" r:id="rId42"/>
    <sheet name="修正表 (2)" sheetId="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土地案例!$C$1:$C$51</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8" i="70" l="1"/>
  <c r="B18" i="66" s="1"/>
  <c r="F20" i="70" l="1"/>
  <c r="F19" i="70"/>
  <c r="F8" i="70"/>
  <c r="C18" i="66" s="1"/>
  <c r="K38" i="70" l="1"/>
  <c r="K39" i="70"/>
  <c r="I39" i="70"/>
  <c r="E57" i="70" l="1"/>
  <c r="C57" i="70"/>
  <c r="B39" i="70" l="1"/>
  <c r="D19" i="66" s="1"/>
  <c r="B37" i="70" l="1"/>
  <c r="F17" i="70" l="1"/>
  <c r="D18" i="66" s="1"/>
  <c r="F15" i="70" l="1"/>
  <c r="AN13" i="3" l="1"/>
  <c r="I68" i="70" l="1"/>
  <c r="I61" i="70"/>
  <c r="I57" i="70"/>
  <c r="F56" i="70"/>
  <c r="E68" i="70"/>
  <c r="C68" i="70"/>
  <c r="F68" i="70" s="1"/>
  <c r="J68" i="70" s="1"/>
  <c r="H63" i="70"/>
  <c r="I63" i="70" s="1"/>
  <c r="G63" i="70"/>
  <c r="E63" i="70"/>
  <c r="D63" i="70"/>
  <c r="C63" i="70"/>
  <c r="F63" i="70" s="1"/>
  <c r="H62" i="70"/>
  <c r="G62" i="70"/>
  <c r="I62" i="70" s="1"/>
  <c r="E62" i="70"/>
  <c r="D62" i="70"/>
  <c r="D69" i="70" s="1"/>
  <c r="C62" i="70"/>
  <c r="B62" i="70"/>
  <c r="F62" i="70" s="1"/>
  <c r="H61" i="70"/>
  <c r="G61" i="70"/>
  <c r="E61" i="70"/>
  <c r="C61" i="70"/>
  <c r="F61" i="70" s="1"/>
  <c r="J61" i="70" s="1"/>
  <c r="B61" i="70"/>
  <c r="G57" i="70"/>
  <c r="H57" i="70" s="1"/>
  <c r="C69" i="70"/>
  <c r="B57" i="70"/>
  <c r="F57" i="70" s="1"/>
  <c r="J57" i="70" s="1"/>
  <c r="I56" i="70"/>
  <c r="J56" i="70" s="1"/>
  <c r="E56" i="70"/>
  <c r="C56" i="70"/>
  <c r="B56" i="70"/>
  <c r="G58" i="70"/>
  <c r="H58" i="70" s="1"/>
  <c r="E58" i="70"/>
  <c r="C58" i="70"/>
  <c r="B58" i="70"/>
  <c r="J62" i="70" l="1"/>
  <c r="J63" i="70"/>
  <c r="G69" i="70"/>
  <c r="B69" i="70"/>
  <c r="G55" i="70"/>
  <c r="C55" i="70"/>
  <c r="B55" i="70"/>
  <c r="F4" i="70"/>
  <c r="F7" i="70"/>
  <c r="F10" i="70"/>
  <c r="F13" i="70"/>
  <c r="F14" i="70" l="1"/>
  <c r="F16" i="70"/>
  <c r="Q73" i="71" l="1"/>
  <c r="Q60" i="71"/>
  <c r="D60" i="71"/>
  <c r="Q59" i="71"/>
  <c r="F58" i="71"/>
  <c r="Q52" i="71"/>
  <c r="J50" i="71"/>
  <c r="J51" i="71" s="1"/>
  <c r="M47" i="71"/>
  <c r="F33" i="71"/>
  <c r="F60" i="71" s="1"/>
  <c r="F31" i="71"/>
  <c r="F23" i="71"/>
  <c r="D24" i="71" s="1"/>
  <c r="D22" i="71"/>
  <c r="F21" i="71"/>
  <c r="F20" i="71"/>
  <c r="M19" i="71"/>
  <c r="F18" i="71"/>
  <c r="M17" i="71"/>
  <c r="F17" i="71"/>
  <c r="F15" i="71"/>
  <c r="M13" i="3"/>
  <c r="G21" i="6" s="1"/>
  <c r="D23" i="71" l="1"/>
  <c r="C41" i="70"/>
  <c r="E20" i="70" l="1"/>
  <c r="E19" i="70"/>
  <c r="D20" i="70"/>
  <c r="D19" i="70"/>
  <c r="C20" i="70"/>
  <c r="C19" i="70"/>
  <c r="C4" i="70" l="1"/>
  <c r="D4" i="70"/>
  <c r="E4" i="70"/>
  <c r="C40" i="70"/>
  <c r="B20" i="66" s="1"/>
  <c r="C35" i="70"/>
  <c r="C32" i="70"/>
  <c r="C30" i="70"/>
  <c r="C20" i="66" s="1"/>
  <c r="B30" i="70"/>
  <c r="C19" i="66" s="1"/>
  <c r="C29" i="70"/>
  <c r="C26" i="70"/>
  <c r="E18" i="70"/>
  <c r="B17" i="66" s="1"/>
  <c r="D18" i="70"/>
  <c r="B16" i="66" s="1"/>
  <c r="C18" i="70"/>
  <c r="B15" i="66" s="1"/>
  <c r="E13" i="70"/>
  <c r="D13" i="70"/>
  <c r="C13" i="70"/>
  <c r="E10" i="70"/>
  <c r="D10" i="70"/>
  <c r="C10" i="70"/>
  <c r="E8" i="70"/>
  <c r="C17" i="66" s="1"/>
  <c r="D8" i="70"/>
  <c r="C16" i="66" s="1"/>
  <c r="C8" i="70"/>
  <c r="C15" i="66" s="1"/>
  <c r="B8" i="70"/>
  <c r="E7" i="70"/>
  <c r="D7" i="70"/>
  <c r="C7" i="70"/>
  <c r="G40" i="39" l="1"/>
  <c r="I48" i="39" l="1"/>
  <c r="G48" i="39"/>
  <c r="E48" i="39"/>
  <c r="I40" i="39"/>
  <c r="E40" i="39"/>
  <c r="I9" i="39"/>
  <c r="G9" i="39"/>
  <c r="E9" i="39"/>
  <c r="I7" i="39"/>
  <c r="G7" i="39"/>
  <c r="E7" i="39"/>
  <c r="C36" i="69" l="1"/>
  <c r="C32" i="69"/>
  <c r="C29" i="69"/>
  <c r="C26" i="69"/>
  <c r="C23" i="69"/>
  <c r="C27" i="69"/>
  <c r="B27" i="69"/>
  <c r="F17" i="69" l="1"/>
  <c r="E17" i="69"/>
  <c r="D17" i="69"/>
  <c r="C17" i="69"/>
  <c r="F13" i="69"/>
  <c r="E13" i="69"/>
  <c r="D13" i="69"/>
  <c r="C13" i="69"/>
  <c r="F10" i="69"/>
  <c r="E10" i="69"/>
  <c r="D10" i="69"/>
  <c r="C10" i="69"/>
  <c r="F7" i="69"/>
  <c r="E7" i="69"/>
  <c r="D7" i="69"/>
  <c r="C7" i="69"/>
  <c r="F4" i="69"/>
  <c r="E4" i="69"/>
  <c r="D4" i="69"/>
  <c r="C4" i="69"/>
  <c r="F8" i="69"/>
  <c r="E8" i="69"/>
  <c r="D8" i="69"/>
  <c r="C8" i="69"/>
  <c r="B8" i="69"/>
  <c r="D3" i="4" l="1"/>
  <c r="AD13" i="3"/>
  <c r="K13" i="3"/>
  <c r="I13" i="3"/>
  <c r="P3" i="68" l="1"/>
  <c r="P4" i="68"/>
  <c r="P5" i="68"/>
  <c r="P6" i="68"/>
  <c r="P7" i="68"/>
  <c r="P8" i="68"/>
  <c r="P9" i="68"/>
  <c r="P10" i="68"/>
  <c r="P11" i="68"/>
  <c r="P12" i="68"/>
  <c r="P13" i="68"/>
  <c r="P14" i="68"/>
  <c r="P15" i="68"/>
  <c r="P16" i="68"/>
  <c r="P17" i="68"/>
  <c r="P18" i="68"/>
  <c r="P19" i="68"/>
  <c r="P20" i="68"/>
  <c r="P21" i="68"/>
  <c r="P22" i="68"/>
  <c r="P23" i="68"/>
  <c r="P24" i="68"/>
  <c r="P25" i="68"/>
  <c r="P26" i="68"/>
  <c r="P27" i="68"/>
  <c r="P28" i="68"/>
  <c r="P29" i="68"/>
  <c r="P30" i="68"/>
  <c r="P31" i="68"/>
  <c r="P32" i="68"/>
  <c r="P33" i="68"/>
  <c r="P34" i="68"/>
  <c r="P35" i="68"/>
  <c r="P36" i="68"/>
  <c r="P37" i="68"/>
  <c r="P38" i="68"/>
  <c r="P39" i="68"/>
  <c r="P40" i="68"/>
  <c r="P41" i="68"/>
  <c r="P42" i="68"/>
  <c r="P43" i="68"/>
  <c r="P44" i="68"/>
  <c r="P45" i="68"/>
  <c r="P46" i="68"/>
  <c r="P47" i="68"/>
  <c r="P48" i="68"/>
  <c r="P49" i="68"/>
  <c r="P50" i="68"/>
  <c r="P51" i="68"/>
  <c r="P2" i="68"/>
  <c r="F20" i="6" l="1"/>
  <c r="F19" i="6"/>
  <c r="K75" i="9" l="1"/>
  <c r="K6" i="4"/>
  <c r="O76" i="9" s="1"/>
  <c r="L76" i="9" l="1"/>
  <c r="K76" i="9"/>
  <c r="K77" i="9" s="1"/>
  <c r="K79" i="9" s="1"/>
  <c r="K81" i="9" s="1"/>
  <c r="B22" i="31"/>
  <c r="E18" i="66" l="1"/>
  <c r="F18" i="66"/>
  <c r="F19"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J4" i="65"/>
  <c r="J7" i="65"/>
  <c r="J6" i="65"/>
  <c r="I3" i="65"/>
  <c r="I4" i="65"/>
  <c r="N3" i="65"/>
  <c r="J5" i="65"/>
  <c r="J3" i="65"/>
  <c r="I7" i="65"/>
  <c r="N4" i="65"/>
  <c r="I6" i="65"/>
  <c r="N5" i="65"/>
  <c r="N6" i="65"/>
  <c r="I5" i="65"/>
  <c r="E20" i="46" l="1"/>
  <c r="J1" i="65"/>
  <c r="C4" i="65"/>
  <c r="B39" i="1" s="1"/>
  <c r="E3" i="65"/>
  <c r="M11" i="71" l="1"/>
  <c r="J10" i="71" s="1"/>
  <c r="F11" i="71"/>
  <c r="F17" i="11"/>
  <c r="M5" i="54"/>
  <c r="A23" i="51"/>
  <c r="C52" i="71" l="1"/>
  <c r="C10"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A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A484" i="3" s="1"/>
  <c r="AZ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AZ498" i="3" s="1"/>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L500" i="3" s="1"/>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L508" i="3" s="1"/>
  <c r="AZ508" i="3" s="1"/>
  <c r="BO508" i="3"/>
  <c r="BP508" i="3"/>
  <c r="BR508" i="3"/>
  <c r="BS508" i="3"/>
  <c r="BT508" i="3"/>
  <c r="H509" i="3"/>
  <c r="AC509" i="3"/>
  <c r="G509" i="3"/>
  <c r="BB509" i="3"/>
  <c r="BC509" i="3"/>
  <c r="BA509" i="3" s="1"/>
  <c r="AZ509" i="3" s="1"/>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s="1"/>
  <c r="AZ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L519" i="3" s="1"/>
  <c r="AZ519" i="3" s="1"/>
  <c r="BN519" i="3"/>
  <c r="BO519" i="3"/>
  <c r="BP519" i="3"/>
  <c r="BQ519" i="3"/>
  <c r="BR519" i="3"/>
  <c r="BS519" i="3"/>
  <c r="BT519" i="3"/>
  <c r="H520" i="3"/>
  <c r="G520" i="3" s="1"/>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AZ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A531" i="3" s="1"/>
  <c r="AZ531" i="3" s="1"/>
  <c r="BC531" i="3"/>
  <c r="BD531" i="3"/>
  <c r="BE531" i="3"/>
  <c r="BF531" i="3"/>
  <c r="BG531" i="3"/>
  <c r="BH531" i="3"/>
  <c r="BI531" i="3"/>
  <c r="BJ531" i="3"/>
  <c r="BK531" i="3"/>
  <c r="BM531" i="3"/>
  <c r="BN531" i="3"/>
  <c r="BO531" i="3"/>
  <c r="BP531" i="3"/>
  <c r="BQ531" i="3"/>
  <c r="BR531" i="3"/>
  <c r="BS531" i="3"/>
  <c r="BT531" i="3"/>
  <c r="H532" i="3"/>
  <c r="AC532" i="3"/>
  <c r="G532" i="3"/>
  <c r="BB532" i="3"/>
  <c r="BC532" i="3"/>
  <c r="BA532" i="3" s="1"/>
  <c r="AZ532" i="3" s="1"/>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L533" i="3" s="1"/>
  <c r="AZ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L535" i="3" s="1"/>
  <c r="AZ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L540" i="3" s="1"/>
  <c r="BO540" i="3"/>
  <c r="BP540" i="3"/>
  <c r="BR540" i="3"/>
  <c r="BS540" i="3"/>
  <c r="BT540" i="3"/>
  <c r="H541" i="3"/>
  <c r="AC541" i="3"/>
  <c r="G541" i="3"/>
  <c r="BB541" i="3"/>
  <c r="BC541" i="3"/>
  <c r="BA541" i="3" s="1"/>
  <c r="AZ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A546" i="3" s="1"/>
  <c r="AZ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L552" i="3" s="1"/>
  <c r="BN552" i="3"/>
  <c r="BO552" i="3"/>
  <c r="BP552" i="3"/>
  <c r="BR552" i="3"/>
  <c r="BS552" i="3"/>
  <c r="BT552" i="3"/>
  <c r="H553" i="3"/>
  <c r="G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L556" i="3" s="1"/>
  <c r="BN556" i="3"/>
  <c r="BO556" i="3"/>
  <c r="BP556" i="3"/>
  <c r="BR556" i="3"/>
  <c r="BS556" i="3"/>
  <c r="BT556" i="3"/>
  <c r="H557" i="3"/>
  <c r="AC557" i="3"/>
  <c r="G557" i="3" s="1"/>
  <c r="BB557" i="3"/>
  <c r="BC557" i="3"/>
  <c r="BA557" i="3" s="1"/>
  <c r="AZ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s="1"/>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L560" i="3" s="1"/>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Q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s="1"/>
  <c r="U25" i="37" s="1"/>
  <c r="B110" i="37"/>
  <c r="J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F31" i="33" s="1"/>
  <c r="B96" i="33"/>
  <c r="F30" i="33" s="1"/>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J31" i="21" s="1"/>
  <c r="AC31" i="21" s="1"/>
  <c r="B96" i="21"/>
  <c r="B94" i="21"/>
  <c r="H29" i="21" s="1"/>
  <c r="U29" i="21" s="1"/>
  <c r="B92" i="21"/>
  <c r="B90" i="21"/>
  <c r="H27" i="21" s="1"/>
  <c r="AB27" i="21" s="1"/>
  <c r="B74" i="21"/>
  <c r="B72" i="21"/>
  <c r="J13" i="21" s="1"/>
  <c r="AC13" i="21" s="1"/>
  <c r="B70" i="21"/>
  <c r="F12" i="21"/>
  <c r="S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W41" i="21"/>
  <c r="S10" i="39"/>
  <c r="U30" i="37"/>
  <c r="E103" i="37"/>
  <c r="F103" i="37"/>
  <c r="F29" i="36"/>
  <c r="AA29" i="36" s="1"/>
  <c r="F16" i="36"/>
  <c r="AA16" i="36" s="1"/>
  <c r="W23" i="36"/>
  <c r="W22" i="36"/>
  <c r="U26" i="36"/>
  <c r="AC31" i="36"/>
  <c r="J33" i="36"/>
  <c r="W33" i="36" s="1"/>
  <c r="AC27" i="35"/>
  <c r="U31" i="35"/>
  <c r="W36" i="35"/>
  <c r="S31" i="35"/>
  <c r="U34" i="35"/>
  <c r="F36" i="34"/>
  <c r="S36" i="34" s="1"/>
  <c r="W39" i="34"/>
  <c r="H39" i="33"/>
  <c r="AB39" i="33" s="1"/>
  <c r="F26" i="33"/>
  <c r="AA26" i="33" s="1"/>
  <c r="U9" i="33"/>
  <c r="U33" i="33"/>
  <c r="S40" i="33"/>
  <c r="S33" i="33"/>
  <c r="W33" i="33"/>
  <c r="U38" i="33"/>
  <c r="S8" i="21"/>
  <c r="W8" i="21"/>
  <c r="H39" i="37"/>
  <c r="AB39" i="37" s="1"/>
  <c r="S10" i="40"/>
  <c r="W10" i="40"/>
  <c r="S11" i="40"/>
  <c r="U11" i="40"/>
  <c r="S36" i="40"/>
  <c r="U36" i="40"/>
  <c r="S36" i="39"/>
  <c r="AB36" i="21"/>
  <c r="C29" i="39"/>
  <c r="C23" i="39"/>
  <c r="U36" i="39"/>
  <c r="H32" i="33"/>
  <c r="AB32" i="33"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S10" i="21"/>
  <c r="W40" i="33"/>
  <c r="AB30" i="36"/>
  <c r="S22" i="35"/>
  <c r="H29" i="35"/>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F33" i="35"/>
  <c r="S33" i="35" s="1"/>
  <c r="J33" i="35"/>
  <c r="W33" i="35" s="1"/>
  <c r="F30" i="35"/>
  <c r="AA30" i="35" s="1"/>
  <c r="H10" i="36"/>
  <c r="AB10" i="36" s="1"/>
  <c r="F28" i="36"/>
  <c r="S28" i="36" s="1"/>
  <c r="F27" i="36"/>
  <c r="S27" i="36" s="1"/>
  <c r="H13" i="21"/>
  <c r="U13" i="21" s="1"/>
  <c r="F13" i="21"/>
  <c r="AA13" i="21" s="1"/>
  <c r="J27" i="21"/>
  <c r="W27" i="21" s="1"/>
  <c r="J29" i="21"/>
  <c r="AC29" i="21" s="1"/>
  <c r="F29" i="21"/>
  <c r="S29" i="21" s="1"/>
  <c r="H31" i="21"/>
  <c r="U31" i="21" s="1"/>
  <c r="F45" i="21"/>
  <c r="AA45" i="21" s="1"/>
  <c r="J27" i="33"/>
  <c r="AC27" i="33" s="1"/>
  <c r="F27" i="33"/>
  <c r="S27" i="33" s="1"/>
  <c r="F13" i="33"/>
  <c r="S13" i="33" s="1"/>
  <c r="J29" i="33"/>
  <c r="W29" i="33" s="1"/>
  <c r="H31" i="33"/>
  <c r="U31"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AB30" i="33" s="1"/>
  <c r="J30" i="33"/>
  <c r="W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27" i="37"/>
  <c r="AA27" i="37" s="1"/>
  <c r="J27" i="37"/>
  <c r="W27" i="37" s="1"/>
  <c r="W35" i="35"/>
  <c r="W46" i="33"/>
  <c r="AB40" i="37"/>
  <c r="J36" i="37"/>
  <c r="AC36" i="37" s="1"/>
  <c r="AB28" i="36"/>
  <c r="AB31" i="21"/>
  <c r="U46" i="21"/>
  <c r="AC30" i="21"/>
  <c r="W30" i="21"/>
  <c r="AB30" i="21"/>
  <c r="S28" i="21"/>
  <c r="AA28" i="21"/>
  <c r="AB14" i="21"/>
  <c r="W14" i="21"/>
  <c r="AC14" i="21"/>
  <c r="AC13" i="36"/>
  <c r="AB31" i="33"/>
  <c r="AB27" i="33"/>
  <c r="U28" i="21"/>
  <c r="AB44" i="21"/>
  <c r="G529" i="3"/>
  <c r="G517" i="3"/>
  <c r="G508" i="3"/>
  <c r="G493" i="3"/>
  <c r="G17" i="3"/>
  <c r="G561" i="3"/>
  <c r="G549" i="3"/>
  <c r="G539" i="3"/>
  <c r="BL557" i="3"/>
  <c r="BL545" i="3"/>
  <c r="BL527" i="3"/>
  <c r="BL511" i="3"/>
  <c r="BL491" i="3"/>
  <c r="G16" i="3"/>
  <c r="BL559" i="3"/>
  <c r="BL555" i="3"/>
  <c r="BL541" i="3"/>
  <c r="BL525" i="3"/>
  <c r="G514" i="3"/>
  <c r="BL503" i="3"/>
  <c r="BL485" i="3"/>
  <c r="BA569" i="3"/>
  <c r="AZ569" i="3" s="1"/>
  <c r="BA561" i="3"/>
  <c r="AZ561" i="3" s="1"/>
  <c r="BA559" i="3"/>
  <c r="AZ559" i="3" s="1"/>
  <c r="BA543" i="3"/>
  <c r="BA521" i="3"/>
  <c r="BA505" i="3"/>
  <c r="BA493" i="3"/>
  <c r="AZ493" i="3" s="1"/>
  <c r="BA487" i="3"/>
  <c r="BA572" i="3"/>
  <c r="AZ572" i="3" s="1"/>
  <c r="BA562" i="3"/>
  <c r="AZ562" i="3" s="1"/>
  <c r="BA558" i="3"/>
  <c r="AZ558" i="3" s="1"/>
  <c r="BA554" i="3"/>
  <c r="BA544" i="3"/>
  <c r="AZ544" i="3" s="1"/>
  <c r="BA536" i="3"/>
  <c r="BA528" i="3"/>
  <c r="BA520" i="3"/>
  <c r="AZ520" i="3" s="1"/>
  <c r="BA516" i="3"/>
  <c r="AZ516" i="3" s="1"/>
  <c r="BA508" i="3"/>
  <c r="BA492" i="3"/>
  <c r="AZ492" i="3" s="1"/>
  <c r="BA488" i="3"/>
  <c r="AZ488" i="3" s="1"/>
  <c r="G562" i="3"/>
  <c r="G558" i="3"/>
  <c r="G554" i="3"/>
  <c r="G546" i="3"/>
  <c r="AC542" i="3"/>
  <c r="G542" i="3" s="1"/>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s="1"/>
  <c r="BQ506" i="3"/>
  <c r="G498" i="3"/>
  <c r="BQ504" i="3"/>
  <c r="BQ502" i="3"/>
  <c r="BQ500" i="3"/>
  <c r="BQ498" i="3"/>
  <c r="BQ496" i="3"/>
  <c r="AC494" i="3"/>
  <c r="AC5" i="3" s="1"/>
  <c r="BQ494" i="3"/>
  <c r="BL493" i="3"/>
  <c r="G488" i="3"/>
  <c r="G20" i="3"/>
  <c r="BQ492" i="3"/>
  <c r="BL492" i="3"/>
  <c r="BQ490" i="3"/>
  <c r="BQ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H42" i="33"/>
  <c r="U42" i="33" s="1"/>
  <c r="J43" i="33"/>
  <c r="AC43" i="33" s="1"/>
  <c r="J23" i="37"/>
  <c r="W23" i="37" s="1"/>
  <c r="F17" i="37"/>
  <c r="AA17" i="37" s="1"/>
  <c r="AB43" i="33"/>
  <c r="D3" i="21"/>
  <c r="AC33" i="36"/>
  <c r="S27" i="37"/>
  <c r="AC8" i="37"/>
  <c r="AC36" i="34"/>
  <c r="AB8" i="34"/>
  <c r="AC37" i="33"/>
  <c r="AA13" i="33"/>
  <c r="AC45" i="33"/>
  <c r="F43" i="33"/>
  <c r="AA43" i="33" s="1"/>
  <c r="AA23" i="37"/>
  <c r="S10" i="35"/>
  <c r="AB44" i="33"/>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22" i="3"/>
  <c r="H11" i="37"/>
  <c r="AB11" i="37" s="1"/>
  <c r="S42" i="33"/>
  <c r="U32" i="33"/>
  <c r="AB17" i="37"/>
  <c r="AA45" i="33"/>
  <c r="AC10" i="36"/>
  <c r="S25" i="35"/>
  <c r="AC30" i="33"/>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AC40" i="37"/>
  <c r="W40" i="37"/>
  <c r="W27" i="33"/>
  <c r="S28" i="33"/>
  <c r="S14" i="21"/>
  <c r="AA44" i="34"/>
  <c r="AB29" i="35"/>
  <c r="U29" i="35"/>
  <c r="AC19" i="33"/>
  <c r="W19" i="33"/>
  <c r="U43" i="34"/>
  <c r="AB43" i="34"/>
  <c r="AC34" i="37"/>
  <c r="S35" i="37"/>
  <c r="AA35" i="37"/>
  <c r="AB10" i="35"/>
  <c r="AB34" i="21"/>
  <c r="BL571" i="3"/>
  <c r="BA571" i="3"/>
  <c r="AZ571" i="3" s="1"/>
  <c r="BL570" i="3"/>
  <c r="BL13" i="3"/>
  <c r="BE5" i="3"/>
  <c r="AB40" i="33"/>
  <c r="U40" i="33"/>
  <c r="AA35" i="34"/>
  <c r="S35" i="34"/>
  <c r="E90" i="34"/>
  <c r="H27" i="34"/>
  <c r="AB27" i="34" s="1"/>
  <c r="AB8" i="35"/>
  <c r="U8" i="35"/>
  <c r="S9" i="35"/>
  <c r="J14" i="35"/>
  <c r="AC14" i="35" s="1"/>
  <c r="F14" i="35"/>
  <c r="S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BA534" i="3"/>
  <c r="AZ534" i="3"/>
  <c r="BA533" i="3"/>
  <c r="BL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BL518" i="3"/>
  <c r="BA518" i="3"/>
  <c r="AZ518" i="3" s="1"/>
  <c r="BL517" i="3"/>
  <c r="BA517" i="3"/>
  <c r="AZ517" i="3"/>
  <c r="BL515" i="3"/>
  <c r="BA515" i="3"/>
  <c r="AZ515" i="3" s="1"/>
  <c r="BA514" i="3"/>
  <c r="AZ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M22" i="44"/>
  <c r="F114" i="34"/>
  <c r="G114" i="34"/>
  <c r="H114" i="34" s="1"/>
  <c r="I114" i="34" s="1"/>
  <c r="J114" i="34" s="1"/>
  <c r="K114" i="34" s="1"/>
  <c r="L114" i="34" s="1"/>
  <c r="M114" i="34" s="1"/>
  <c r="H38" i="34"/>
  <c r="U38" i="34" s="1"/>
  <c r="H30" i="40"/>
  <c r="AB30" i="40" s="1"/>
  <c r="F38" i="40"/>
  <c r="AA38" i="40" s="1"/>
  <c r="AA36" i="34"/>
  <c r="AC12" i="21"/>
  <c r="W12" i="21"/>
  <c r="AB10"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415" i="3"/>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71" i="9"/>
  <c r="AC14" i="40"/>
  <c r="W35" i="40"/>
  <c r="S33" i="40"/>
  <c r="AB32" i="40"/>
  <c r="AC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86" i="3"/>
  <c r="AZ504" i="3"/>
  <c r="AZ529" i="3"/>
  <c r="AZ537" i="3"/>
  <c r="AZ548" i="3"/>
  <c r="AB37" i="39"/>
  <c r="U39" i="39"/>
  <c r="J29" i="39"/>
  <c r="AC29" i="39" s="1"/>
  <c r="AB21" i="39"/>
  <c r="U21" i="39"/>
  <c r="AB33" i="36"/>
  <c r="AA11" i="36"/>
  <c r="AA14" i="35"/>
  <c r="G99" i="37"/>
  <c r="F33" i="37" s="1"/>
  <c r="U46" i="34"/>
  <c r="AC30" i="34"/>
  <c r="AA14" i="34"/>
  <c r="W12" i="34"/>
  <c r="U29" i="33"/>
  <c r="AC13" i="33"/>
  <c r="U17" i="34"/>
  <c r="AA11" i="34"/>
  <c r="W32" i="33"/>
  <c r="H15" i="33"/>
  <c r="U15" i="33" s="1"/>
  <c r="AA11" i="33"/>
  <c r="AA40" i="21"/>
  <c r="W34" i="40"/>
  <c r="AB42" i="40"/>
  <c r="AC16" i="40"/>
  <c r="H25" i="40"/>
  <c r="AB25" i="40" s="1"/>
  <c r="W15" i="39"/>
  <c r="J37" i="34"/>
  <c r="AC37" i="34" s="1"/>
  <c r="J36" i="33"/>
  <c r="W36" i="33" s="1"/>
  <c r="AB23" i="40"/>
  <c r="H23" i="39"/>
  <c r="AB23" i="39" s="1"/>
  <c r="J23" i="39"/>
  <c r="AC23" i="39" s="1"/>
  <c r="F97" i="39"/>
  <c r="G97" i="39"/>
  <c r="S16" i="39"/>
  <c r="S15" i="34"/>
  <c r="AA15" i="34"/>
  <c r="AA41" i="33"/>
  <c r="F106" i="33"/>
  <c r="G106" i="33" s="1"/>
  <c r="H106" i="33" s="1"/>
  <c r="I106" i="33" s="1"/>
  <c r="J106" i="33" s="1"/>
  <c r="K106" i="33" s="1"/>
  <c r="L106" i="33" s="1"/>
  <c r="M106" i="33" s="1"/>
  <c r="J34" i="33"/>
  <c r="AC34" i="33" s="1"/>
  <c r="AA37" i="39"/>
  <c r="W29" i="35"/>
  <c r="AC39" i="39"/>
  <c r="AA39"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U20" i="35"/>
  <c r="AB20" i="35"/>
  <c r="W23" i="40"/>
  <c r="D73" i="9"/>
  <c r="N73" i="9" s="1"/>
  <c r="G11" i="1"/>
  <c r="J51" i="15"/>
  <c r="B11" i="1"/>
  <c r="E11" i="1" s="1"/>
  <c r="K11" i="1"/>
  <c r="M11" i="1" s="1"/>
  <c r="B9" i="1"/>
  <c r="E9" i="1" s="1"/>
  <c r="K9" i="1"/>
  <c r="M9" i="1" s="1"/>
  <c r="B7" i="1"/>
  <c r="E7" i="1" s="1"/>
  <c r="K7" i="1"/>
  <c r="M7" i="1" s="1"/>
  <c r="O7" i="1" s="1"/>
  <c r="P7" i="1" s="1"/>
  <c r="C20" i="43"/>
  <c r="E2" i="65"/>
  <c r="F8" i="1" l="1"/>
  <c r="AA31" i="33"/>
  <c r="S31" i="33"/>
  <c r="AA46" i="33"/>
  <c r="S46" i="33"/>
  <c r="AC31" i="34"/>
  <c r="W31" i="34"/>
  <c r="AC23" i="35"/>
  <c r="W23" i="35"/>
  <c r="W12" i="36"/>
  <c r="AC12" i="36"/>
  <c r="U34" i="36"/>
  <c r="AB34" i="36"/>
  <c r="J30" i="40"/>
  <c r="AC30" i="40" s="1"/>
  <c r="H100" i="40"/>
  <c r="I100" i="40" s="1"/>
  <c r="J100" i="40" s="1"/>
  <c r="K100" i="40" s="1"/>
  <c r="L100" i="40" s="1"/>
  <c r="M100" i="40" s="1"/>
  <c r="AZ560" i="3"/>
  <c r="AZ556" i="3"/>
  <c r="AZ551" i="3"/>
  <c r="AZ550" i="3"/>
  <c r="AZ502" i="3"/>
  <c r="AZ501" i="3"/>
  <c r="AZ396" i="3"/>
  <c r="H113" i="21"/>
  <c r="J37" i="21"/>
  <c r="W37" i="21" s="1"/>
  <c r="H37" i="21"/>
  <c r="U37" i="21" s="1"/>
  <c r="F37" i="21"/>
  <c r="S37" i="21" s="1"/>
  <c r="S9" i="21"/>
  <c r="AA9" i="21"/>
  <c r="U28" i="33"/>
  <c r="AB28" i="33"/>
  <c r="AC9" i="34"/>
  <c r="W9" i="34"/>
  <c r="S30" i="33"/>
  <c r="AA30" i="33"/>
  <c r="AC24" i="35"/>
  <c r="W24" i="35"/>
  <c r="W24" i="36"/>
  <c r="AC24" i="36"/>
  <c r="U14" i="37"/>
  <c r="AB14" i="37"/>
  <c r="AC39" i="37"/>
  <c r="W39" i="37"/>
  <c r="AZ542" i="3"/>
  <c r="AZ540" i="3"/>
  <c r="AZ389" i="3"/>
  <c r="AZ404" i="3"/>
  <c r="F30" i="44"/>
  <c r="M18" i="71"/>
  <c r="F32" i="71"/>
  <c r="F59" i="71" s="1"/>
  <c r="F28" i="71"/>
  <c r="C28" i="71" s="1"/>
  <c r="H5" i="3"/>
  <c r="F34" i="15"/>
  <c r="F61" i="15" s="1"/>
  <c r="F34" i="71"/>
  <c r="M20" i="71"/>
  <c r="S17" i="34"/>
  <c r="U30" i="40"/>
  <c r="AA34" i="33"/>
  <c r="S41" i="40"/>
  <c r="W32" i="40"/>
  <c r="AB34" i="40"/>
  <c r="U16" i="40"/>
  <c r="AA29" i="35"/>
  <c r="AB16" i="39"/>
  <c r="F72" i="9"/>
  <c r="F66" i="9"/>
  <c r="P72" i="9" s="1"/>
  <c r="W40" i="40"/>
  <c r="AZ19" i="3"/>
  <c r="U31" i="34"/>
  <c r="W44" i="33"/>
  <c r="AB35" i="35"/>
  <c r="AB45" i="34"/>
  <c r="AC11" i="36"/>
  <c r="AC29" i="33"/>
  <c r="AA36" i="37"/>
  <c r="W37" i="37"/>
  <c r="AA36" i="35"/>
  <c r="U31" i="37"/>
  <c r="S39" i="33"/>
  <c r="S25" i="37"/>
  <c r="U39" i="37"/>
  <c r="AC23" i="37"/>
  <c r="AC12" i="35"/>
  <c r="AC41" i="34"/>
  <c r="H24" i="35"/>
  <c r="AB24" i="35" s="1"/>
  <c r="AB27" i="37"/>
  <c r="BL20" i="3"/>
  <c r="AZ20" i="3" s="1"/>
  <c r="AA27" i="33"/>
  <c r="AB45" i="33"/>
  <c r="AB13" i="21"/>
  <c r="U30" i="33"/>
  <c r="AB13" i="35"/>
  <c r="AA38" i="37"/>
  <c r="J14" i="37"/>
  <c r="F14" i="37"/>
  <c r="AA14" i="37" s="1"/>
  <c r="H28" i="37"/>
  <c r="U28" i="37" s="1"/>
  <c r="J47" i="34"/>
  <c r="AC47" i="34" s="1"/>
  <c r="F31" i="34"/>
  <c r="S31" i="34" s="1"/>
  <c r="F13" i="34"/>
  <c r="AA13" i="34" s="1"/>
  <c r="J14" i="33"/>
  <c r="AC14" i="33" s="1"/>
  <c r="J32" i="36"/>
  <c r="J31" i="33"/>
  <c r="AC31" i="33" s="1"/>
  <c r="F31" i="21"/>
  <c r="S31" i="21" s="1"/>
  <c r="F27" i="21"/>
  <c r="AA27" i="21" s="1"/>
  <c r="J28" i="33"/>
  <c r="S37" i="33"/>
  <c r="U34" i="37"/>
  <c r="U9" i="34"/>
  <c r="F24" i="36"/>
  <c r="J34" i="36"/>
  <c r="F86" i="40"/>
  <c r="G86" i="40" s="1"/>
  <c r="AB27" i="35"/>
  <c r="W38" i="33"/>
  <c r="S34" i="34"/>
  <c r="U22" i="36"/>
  <c r="F39" i="37"/>
  <c r="AB41" i="21"/>
  <c r="H9" i="21"/>
  <c r="J9" i="21"/>
  <c r="F32" i="21"/>
  <c r="AA32" i="21" s="1"/>
  <c r="BI5" i="3"/>
  <c r="J43" i="21"/>
  <c r="AC43" i="21" s="1"/>
  <c r="W41" i="33"/>
  <c r="F9" i="34"/>
  <c r="AA9" i="34" s="1"/>
  <c r="J9" i="35"/>
  <c r="W9" i="35" s="1"/>
  <c r="F34" i="35"/>
  <c r="H24" i="36"/>
  <c r="J25" i="37"/>
  <c r="C92" i="9"/>
  <c r="AZ411" i="3"/>
  <c r="AZ413" i="3"/>
  <c r="AZ417" i="3"/>
  <c r="AZ420" i="3"/>
  <c r="AZ427" i="3"/>
  <c r="AZ432" i="3"/>
  <c r="AZ443" i="3"/>
  <c r="AZ448"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49" i="3"/>
  <c r="AZ25" i="3"/>
  <c r="AZ30" i="3"/>
  <c r="AZ41" i="3"/>
  <c r="AZ46" i="3"/>
  <c r="AZ57" i="3"/>
  <c r="AZ62" i="3"/>
  <c r="AZ65" i="3"/>
  <c r="AZ68" i="3"/>
  <c r="AZ156" i="3"/>
  <c r="AZ159" i="3"/>
  <c r="BA21" i="3"/>
  <c r="AZ21" i="3" s="1"/>
  <c r="AZ76" i="3"/>
  <c r="AZ80" i="3"/>
  <c r="AZ83" i="3"/>
  <c r="AZ96" i="3"/>
  <c r="AZ100" i="3"/>
  <c r="AZ103" i="3"/>
  <c r="AZ105" i="3"/>
  <c r="AZ109" i="3"/>
  <c r="I21" i="57"/>
  <c r="D1" i="57"/>
  <c r="E10" i="57" s="1"/>
  <c r="G1" i="71"/>
  <c r="N73" i="46"/>
  <c r="C58" i="21"/>
  <c r="D58" i="21" s="1"/>
  <c r="E58" i="21" s="1"/>
  <c r="F58" i="21" s="1"/>
  <c r="G58" i="21" s="1"/>
  <c r="H58" i="21" s="1"/>
  <c r="I58" i="21" s="1"/>
  <c r="J58" i="21" s="1"/>
  <c r="K58" i="21" s="1"/>
  <c r="L58" i="21" s="1"/>
  <c r="M58" i="21" s="1"/>
  <c r="N58" i="21" s="1"/>
  <c r="O58" i="21" s="1"/>
  <c r="G7" i="21"/>
  <c r="I7" i="21"/>
  <c r="E7" i="21"/>
  <c r="AB33" i="21"/>
  <c r="G123" i="21"/>
  <c r="H123" i="21" s="1"/>
  <c r="I123" i="21" s="1"/>
  <c r="J123" i="21" s="1"/>
  <c r="K123" i="21" s="1"/>
  <c r="L123" i="21" s="1"/>
  <c r="M123" i="21" s="1"/>
  <c r="H42" i="21"/>
  <c r="AB42" i="21" s="1"/>
  <c r="J42" i="21"/>
  <c r="AC42" i="21" s="1"/>
  <c r="F42" i="21"/>
  <c r="AA42" i="21" s="1"/>
  <c r="U38" i="21"/>
  <c r="AC40" i="21"/>
  <c r="AC33" i="21"/>
  <c r="U19" i="21"/>
  <c r="U17" i="21"/>
  <c r="AA36" i="21"/>
  <c r="S34" i="21"/>
  <c r="S19" i="21"/>
  <c r="W45" i="21"/>
  <c r="AC45" i="21"/>
  <c r="S45" i="21"/>
  <c r="S46" i="21"/>
  <c r="H45" i="21"/>
  <c r="U45" i="21" s="1"/>
  <c r="U43" i="21"/>
  <c r="U42" i="21"/>
  <c r="U39" i="21"/>
  <c r="AA38" i="21"/>
  <c r="S35" i="21"/>
  <c r="AC35" i="21"/>
  <c r="U34" i="39"/>
  <c r="AA43" i="39"/>
  <c r="S33" i="39"/>
  <c r="U27" i="39"/>
  <c r="AB25" i="39"/>
  <c r="AB19" i="39"/>
  <c r="AB17" i="39"/>
  <c r="H42" i="39"/>
  <c r="AB42" i="39" s="1"/>
  <c r="J42" i="39"/>
  <c r="AC42" i="39" s="1"/>
  <c r="F42" i="39"/>
  <c r="AB47" i="39"/>
  <c r="U47" i="39"/>
  <c r="AB46" i="39"/>
  <c r="S47" i="39"/>
  <c r="J45" i="39"/>
  <c r="AC45" i="39" s="1"/>
  <c r="W43" i="39"/>
  <c r="AC33" i="39"/>
  <c r="AB29" i="39"/>
  <c r="W27" i="39"/>
  <c r="AA19" i="39"/>
  <c r="S23" i="39"/>
  <c r="S17" i="39"/>
  <c r="A11" i="55"/>
  <c r="B62" i="63" s="1"/>
  <c r="C70" i="39"/>
  <c r="A30" i="51"/>
  <c r="F27" i="43"/>
  <c r="F70" i="9"/>
  <c r="D86" i="9"/>
  <c r="M20" i="44"/>
  <c r="F31" i="43"/>
  <c r="F32" i="15"/>
  <c r="F59" i="15" s="1"/>
  <c r="F29" i="12"/>
  <c r="G15" i="3"/>
  <c r="G14" i="3"/>
  <c r="G10" i="1"/>
  <c r="G13" i="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4" i="44"/>
  <c r="F13" i="15"/>
  <c r="F45" i="44"/>
  <c r="F6" i="15"/>
  <c r="M8" i="15"/>
  <c r="F10" i="44"/>
  <c r="M26" i="44"/>
  <c r="F38" i="44"/>
  <c r="M31" i="44"/>
  <c r="F15" i="44"/>
  <c r="M11" i="44"/>
  <c r="F8" i="44"/>
  <c r="F9" i="44"/>
  <c r="F16" i="15"/>
  <c r="M26" i="15"/>
  <c r="M27" i="15"/>
  <c r="L48" i="15"/>
  <c r="F37" i="15"/>
  <c r="M8" i="44"/>
  <c r="J17" i="44"/>
  <c r="M24" i="15"/>
  <c r="F7" i="15"/>
  <c r="F43" i="44"/>
  <c r="M30" i="44"/>
  <c r="C35" i="44"/>
  <c r="M25" i="44"/>
  <c r="F40" i="15"/>
  <c r="F39" i="44"/>
  <c r="M28" i="15"/>
  <c r="J15" i="15"/>
  <c r="F8" i="15"/>
  <c r="F40" i="44"/>
  <c r="M28" i="44"/>
  <c r="M9" i="15"/>
  <c r="F18" i="44"/>
  <c r="F28" i="44"/>
  <c r="M10" i="44"/>
  <c r="F26" i="15"/>
  <c r="M29" i="44"/>
  <c r="F11" i="44"/>
  <c r="W25" i="37" l="1"/>
  <c r="AC25" i="37"/>
  <c r="AA34" i="35"/>
  <c r="S34" i="35"/>
  <c r="AB9" i="21"/>
  <c r="U9" i="21"/>
  <c r="S39" i="37"/>
  <c r="AA39" i="37"/>
  <c r="W34" i="36"/>
  <c r="AC34" i="36"/>
  <c r="W14" i="37"/>
  <c r="AC14" i="37"/>
  <c r="F61" i="71"/>
  <c r="H74" i="46"/>
  <c r="H73" i="46"/>
  <c r="C7" i="46"/>
  <c r="S32" i="21"/>
  <c r="AB24" i="36"/>
  <c r="U24" i="36"/>
  <c r="AC9" i="21"/>
  <c r="W9" i="21"/>
  <c r="AA24" i="36"/>
  <c r="S24" i="36"/>
  <c r="W28" i="33"/>
  <c r="AC28" i="33"/>
  <c r="W32" i="36"/>
  <c r="AC32" i="36"/>
  <c r="C24" i="71"/>
  <c r="W42" i="21"/>
  <c r="S42" i="21"/>
  <c r="AC23" i="21"/>
  <c r="AA15" i="21"/>
  <c r="U42" i="39"/>
  <c r="AA42" i="39"/>
  <c r="S42" i="39"/>
  <c r="C10" i="15"/>
  <c r="AB11" i="46"/>
  <c r="AB13" i="46" s="1"/>
  <c r="AJ11" i="46"/>
  <c r="AJ13" i="46" s="1"/>
  <c r="AE11" i="46"/>
  <c r="AE13" i="46" s="1"/>
  <c r="AF11" i="46"/>
  <c r="AF13" i="46" s="1"/>
  <c r="AI11" i="46"/>
  <c r="AI13" i="46" s="1"/>
  <c r="AA11" i="46"/>
  <c r="AA13" i="46" s="1"/>
  <c r="E86" i="3"/>
  <c r="E297" i="3"/>
  <c r="AO6" i="3"/>
  <c r="E561" i="3"/>
  <c r="E476" i="3"/>
  <c r="F29" i="6"/>
  <c r="E55" i="70" s="1"/>
  <c r="F28" i="6"/>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N102" i="46"/>
  <c r="N105" i="46"/>
  <c r="N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F50" i="15"/>
  <c r="F67" i="15"/>
  <c r="M7" i="15"/>
  <c r="F49" i="15"/>
  <c r="K53" i="15"/>
  <c r="L56" i="15"/>
  <c r="J53" i="15"/>
  <c r="F1" i="15" s="1"/>
  <c r="J57" i="15"/>
  <c r="J55" i="15" s="1"/>
  <c r="J58" i="15" s="1"/>
  <c r="Q51" i="15" s="1"/>
  <c r="G66" i="36"/>
  <c r="J18" i="36"/>
  <c r="AE6" i="1"/>
  <c r="C15" i="12"/>
  <c r="F58" i="15"/>
  <c r="M17" i="15"/>
  <c r="F33" i="44"/>
  <c r="F31" i="15"/>
  <c r="M19" i="44"/>
  <c r="L47" i="71"/>
  <c r="M29" i="71"/>
  <c r="F6" i="71"/>
  <c r="F26" i="71"/>
  <c r="M8" i="71"/>
  <c r="F43" i="15"/>
  <c r="J36" i="15"/>
  <c r="M6" i="71"/>
  <c r="M27" i="71"/>
  <c r="M23" i="71"/>
  <c r="AE7" i="1"/>
  <c r="J15" i="71"/>
  <c r="F36" i="15"/>
  <c r="F38" i="71"/>
  <c r="J36" i="71"/>
  <c r="F7" i="71"/>
  <c r="L48" i="71"/>
  <c r="L47" i="15"/>
  <c r="F36" i="71"/>
  <c r="M26" i="71"/>
  <c r="F46" i="44"/>
  <c r="C18" i="44"/>
  <c r="M6" i="15"/>
  <c r="F13" i="71"/>
  <c r="M9" i="71"/>
  <c r="M24" i="71"/>
  <c r="M29" i="15"/>
  <c r="M23" i="15"/>
  <c r="F9" i="71"/>
  <c r="F9" i="15"/>
  <c r="F38" i="15"/>
  <c r="F16" i="71"/>
  <c r="C16" i="15"/>
  <c r="F37" i="71"/>
  <c r="M22" i="71"/>
  <c r="F42" i="71"/>
  <c r="F43" i="71"/>
  <c r="M28" i="71"/>
  <c r="F42" i="15"/>
  <c r="F8" i="71"/>
  <c r="F40" i="71"/>
  <c r="M22" i="15"/>
  <c r="G31" i="6" l="1"/>
  <c r="B20" i="70" s="1"/>
  <c r="H55" i="70"/>
  <c r="F55" i="70"/>
  <c r="E69" i="70"/>
  <c r="F69" i="70" s="1"/>
  <c r="L59" i="71"/>
  <c r="L58" i="71"/>
  <c r="F67" i="71"/>
  <c r="Q72" i="71"/>
  <c r="C6" i="71"/>
  <c r="C5" i="71" s="1"/>
  <c r="F65" i="71"/>
  <c r="C27" i="71"/>
  <c r="M7" i="71"/>
  <c r="J6" i="71" s="1"/>
  <c r="J5" i="71" s="1"/>
  <c r="F49" i="71"/>
  <c r="L59" i="15"/>
  <c r="Q75" i="15" s="1"/>
  <c r="L58" i="15"/>
  <c r="Q74" i="15" s="1"/>
  <c r="F70" i="15"/>
  <c r="J57" i="71"/>
  <c r="J55" i="71" s="1"/>
  <c r="J58" i="71" s="1"/>
  <c r="Q51" i="71" s="1"/>
  <c r="J59" i="71"/>
  <c r="L57" i="71"/>
  <c r="J60" i="71"/>
  <c r="Q49" i="71" s="1"/>
  <c r="L56" i="71"/>
  <c r="J53" i="71"/>
  <c r="L60" i="71"/>
  <c r="K53" i="71"/>
  <c r="F63" i="71"/>
  <c r="F64" i="71"/>
  <c r="F70" i="71"/>
  <c r="F50" i="71"/>
  <c r="C6" i="15"/>
  <c r="C5" i="15" s="1"/>
  <c r="Q72" i="15"/>
  <c r="F63" i="15"/>
  <c r="F65" i="15"/>
  <c r="AB7" i="37"/>
  <c r="T42" i="37" s="1"/>
  <c r="G42" i="37" s="1"/>
  <c r="G46" i="37" s="1"/>
  <c r="H46" i="37" s="1"/>
  <c r="H6" i="3"/>
  <c r="N104" i="46"/>
  <c r="N107" i="46"/>
  <c r="N106" i="46"/>
  <c r="F105" i="46"/>
  <c r="K103" i="46"/>
  <c r="F102" i="46"/>
  <c r="K102" i="46"/>
  <c r="K106" i="46"/>
  <c r="F104" i="46"/>
  <c r="C107" i="46"/>
  <c r="K105" i="46"/>
  <c r="K107" i="46"/>
  <c r="K104" i="46"/>
  <c r="F103" i="46"/>
  <c r="F107" i="46"/>
  <c r="F106" i="46"/>
  <c r="C109" i="46"/>
  <c r="C104" i="46"/>
  <c r="G106" i="46"/>
  <c r="G118" i="46"/>
  <c r="H118" i="46" s="1"/>
  <c r="G109" i="46"/>
  <c r="G104" i="46"/>
  <c r="D116" i="46"/>
  <c r="E116" i="46" s="1"/>
  <c r="F116" i="46" s="1"/>
  <c r="G116" i="46" s="1"/>
  <c r="H116" i="46" s="1"/>
  <c r="B118" i="46"/>
  <c r="C118" i="46" s="1"/>
  <c r="C105" i="46"/>
  <c r="J102" i="46"/>
  <c r="J104" i="46"/>
  <c r="G105" i="46"/>
  <c r="B116" i="46"/>
  <c r="C116" i="46" s="1"/>
  <c r="D117" i="46"/>
  <c r="E117" i="46" s="1"/>
  <c r="F117" i="46" s="1"/>
  <c r="G117" i="46" s="1"/>
  <c r="H117" i="46" s="1"/>
  <c r="D118" i="46"/>
  <c r="E118" i="46" s="1"/>
  <c r="F118" i="46" s="1"/>
  <c r="J109" i="46"/>
  <c r="C102" i="46"/>
  <c r="C103" i="46"/>
  <c r="J105" i="46"/>
  <c r="J107" i="46"/>
  <c r="L106" i="46"/>
  <c r="L109" i="46"/>
  <c r="L104" i="46"/>
  <c r="L103" i="46"/>
  <c r="L102" i="46"/>
  <c r="L107" i="46"/>
  <c r="L105" i="46"/>
  <c r="E104" i="46"/>
  <c r="E107" i="46"/>
  <c r="E105" i="46"/>
  <c r="E102" i="46"/>
  <c r="E109" i="46"/>
  <c r="E103" i="46"/>
  <c r="E106"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3" i="46"/>
  <c r="I107" i="46"/>
  <c r="I106" i="46"/>
  <c r="I109" i="46"/>
  <c r="D102" i="46"/>
  <c r="D106" i="46"/>
  <c r="D107" i="46"/>
  <c r="D103" i="46"/>
  <c r="D104" i="46"/>
  <c r="D105" i="46"/>
  <c r="D109" i="46"/>
  <c r="M107" i="46"/>
  <c r="M105" i="46"/>
  <c r="M106" i="46"/>
  <c r="M104" i="46"/>
  <c r="M102" i="46"/>
  <c r="M103" i="46"/>
  <c r="M109" i="46"/>
  <c r="H105" i="46"/>
  <c r="H107" i="46"/>
  <c r="H106" i="46"/>
  <c r="H103" i="46"/>
  <c r="H109" i="46"/>
  <c r="H104" i="46"/>
  <c r="H102" i="46"/>
  <c r="S4" i="46" s="1"/>
  <c r="T4" i="46" s="1"/>
  <c r="V4"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B19" i="70" s="1"/>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53" i="15"/>
  <c r="C48" i="15"/>
  <c r="C20" i="11"/>
  <c r="C21" i="11" s="1"/>
  <c r="C22" i="11" s="1"/>
  <c r="C23" i="11" s="1"/>
  <c r="B2" i="11" s="1"/>
  <c r="AC12" i="40"/>
  <c r="W12" i="40"/>
  <c r="E46" i="37"/>
  <c r="F46" i="37" s="1"/>
  <c r="C48" i="33"/>
  <c r="C49" i="33"/>
  <c r="B3" i="33" s="1"/>
  <c r="B2" i="33" s="1"/>
  <c r="F33" i="12"/>
  <c r="D21" i="12"/>
  <c r="C16" i="71"/>
  <c r="F41" i="15"/>
  <c r="S12" i="40" l="1"/>
  <c r="S12" i="39"/>
  <c r="L19" i="6"/>
  <c r="I55" i="70"/>
  <c r="J55" i="70" s="1"/>
  <c r="H69" i="70"/>
  <c r="I69" i="70" s="1"/>
  <c r="J69" i="70" s="1"/>
  <c r="Q62" i="15"/>
  <c r="L46" i="71"/>
  <c r="J18" i="71"/>
  <c r="J24" i="71"/>
  <c r="J26" i="71"/>
  <c r="Q58" i="71"/>
  <c r="Q67" i="71"/>
  <c r="C32" i="71"/>
  <c r="C38" i="71"/>
  <c r="Q75" i="71"/>
  <c r="Q62" i="71"/>
  <c r="E47" i="37"/>
  <c r="F47" i="37" s="1"/>
  <c r="Q61" i="15"/>
  <c r="C48" i="71"/>
  <c r="C47" i="71" s="1"/>
  <c r="Q53" i="71"/>
  <c r="F1" i="71"/>
  <c r="Q74" i="71"/>
  <c r="Q61" i="71"/>
  <c r="K15" i="1"/>
  <c r="K16" i="1" s="1"/>
  <c r="E30" i="6"/>
  <c r="E31" i="6" s="1"/>
  <c r="AB12" i="39"/>
  <c r="F68" i="15"/>
  <c r="C34" i="12"/>
  <c r="D33" i="12" s="1"/>
  <c r="C21" i="12"/>
  <c r="S7" i="46"/>
  <c r="T7" i="46" s="1"/>
  <c r="V7" i="46" s="1"/>
  <c r="S5" i="46"/>
  <c r="T5" i="46" s="1"/>
  <c r="V5" i="46" s="1"/>
  <c r="D113" i="46"/>
  <c r="J22" i="46" s="1"/>
  <c r="S3" i="46"/>
  <c r="T3" i="46" s="1"/>
  <c r="V3" i="46" s="1"/>
  <c r="S2" i="46"/>
  <c r="T2" i="46" s="1"/>
  <c r="V2" i="46" s="1"/>
  <c r="S6" i="46"/>
  <c r="T6" i="46" s="1"/>
  <c r="V6" i="46" s="1"/>
  <c r="W12" i="39"/>
  <c r="U12" i="40"/>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M14"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B3" i="46"/>
  <c r="C17" i="15"/>
  <c r="C19" i="44"/>
  <c r="C17" i="71"/>
  <c r="AE8" i="1"/>
  <c r="C65" i="71" l="1"/>
  <c r="C59" i="71"/>
  <c r="B14" i="66"/>
  <c r="B18" i="70"/>
  <c r="B17" i="69"/>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G67" i="40"/>
  <c r="H65" i="40"/>
  <c r="G72" i="39"/>
  <c r="H70" i="39"/>
  <c r="D16" i="12"/>
  <c r="F41" i="71"/>
  <c r="J29" i="71" l="1"/>
  <c r="F68" i="71"/>
  <c r="F40" i="39"/>
  <c r="H40" i="39"/>
  <c r="J40" i="39"/>
  <c r="C14" i="66"/>
  <c r="B2" i="66" s="1"/>
  <c r="E68" i="39"/>
  <c r="E63" i="40"/>
  <c r="T10" i="1"/>
  <c r="T9" i="1"/>
  <c r="T6" i="1"/>
  <c r="T11" i="1"/>
  <c r="T8" i="1"/>
  <c r="T12" i="1"/>
  <c r="O16" i="1"/>
  <c r="P14" i="1"/>
  <c r="P16" i="1" s="1"/>
  <c r="C13" i="12"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D22" i="12"/>
  <c r="C14" i="71"/>
  <c r="C14" i="15"/>
  <c r="C16" i="44"/>
  <c r="C15" i="71" l="1"/>
  <c r="C18" i="71"/>
  <c r="AB40" i="39"/>
  <c r="U40" i="39"/>
  <c r="AC40" i="39"/>
  <c r="W40" i="39"/>
  <c r="AA40" i="39"/>
  <c r="S40" i="39"/>
  <c r="C22" i="12"/>
  <c r="C20" i="12"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71"/>
  <c r="M21" i="71"/>
  <c r="F35" i="15"/>
  <c r="F37" i="44"/>
  <c r="M21" i="15"/>
  <c r="C19" i="71" l="1"/>
  <c r="C20" i="71" s="1"/>
  <c r="C26" i="71" s="1"/>
  <c r="F62" i="71"/>
  <c r="C61" i="71" s="1"/>
  <c r="C34" i="71"/>
  <c r="J20" i="71"/>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C23" i="71" l="1"/>
  <c r="C29" i="71" s="1"/>
  <c r="Q50" i="71" s="1"/>
  <c r="C11" i="21"/>
  <c r="C28" i="44"/>
  <c r="C31" i="44" s="1"/>
  <c r="J21" i="44" s="1"/>
  <c r="J19" i="44" s="1"/>
  <c r="I5" i="6"/>
  <c r="C26" i="15"/>
  <c r="C29" i="15" s="1"/>
  <c r="J59" i="15" s="1"/>
  <c r="J60" i="15" s="1"/>
  <c r="Q49" i="15" s="1"/>
  <c r="C23" i="12"/>
  <c r="C19" i="43"/>
  <c r="C22" i="43" s="1"/>
  <c r="C21" i="43" s="1"/>
  <c r="K67" i="40"/>
  <c r="L65" i="40"/>
  <c r="K72" i="39"/>
  <c r="L70" i="39"/>
  <c r="J19" i="71" l="1"/>
  <c r="J17" i="71" s="1"/>
  <c r="C56" i="71"/>
  <c r="C60" i="71" s="1"/>
  <c r="C58" i="71" s="1"/>
  <c r="C13" i="71"/>
  <c r="C37" i="71" s="1"/>
  <c r="C36" i="71"/>
  <c r="J14" i="71"/>
  <c r="J13" i="71" s="1"/>
  <c r="J23" i="71" s="1"/>
  <c r="C33" i="71"/>
  <c r="C31" i="71" s="1"/>
  <c r="F13" i="39"/>
  <c r="H13" i="39"/>
  <c r="J13" i="39"/>
  <c r="J11" i="21"/>
  <c r="F11" i="21"/>
  <c r="H11" i="2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63" i="71" l="1"/>
  <c r="C55" i="71"/>
  <c r="C64" i="71" s="1"/>
  <c r="J22" i="71"/>
  <c r="J16" i="71" s="1"/>
  <c r="J25" i="71" s="1"/>
  <c r="J35" i="71"/>
  <c r="Q71" i="71"/>
  <c r="C30" i="71"/>
  <c r="C39" i="71" s="1"/>
  <c r="C40" i="71" s="1"/>
  <c r="U11" i="21"/>
  <c r="AB11" i="21"/>
  <c r="T48" i="21" s="1"/>
  <c r="G48" i="21" s="1"/>
  <c r="W11" i="21"/>
  <c r="AC11" i="21"/>
  <c r="V48" i="21" s="1"/>
  <c r="I48" i="21" s="1"/>
  <c r="AB13" i="39"/>
  <c r="U13" i="39"/>
  <c r="S11" i="21"/>
  <c r="AA11" i="21"/>
  <c r="R48" i="21" s="1"/>
  <c r="AC13" i="39"/>
  <c r="W13" i="39"/>
  <c r="S13" i="39"/>
  <c r="AA13" i="39"/>
  <c r="J24" i="44"/>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71"/>
  <c r="C57" i="71" l="1"/>
  <c r="C66" i="71" s="1"/>
  <c r="C67" i="71" s="1"/>
  <c r="C46" i="71" s="1"/>
  <c r="Q70" i="71"/>
  <c r="Q69" i="71" s="1"/>
  <c r="J39" i="71"/>
  <c r="J40" i="71" s="1"/>
  <c r="Q68" i="71"/>
  <c r="Q66" i="71"/>
  <c r="Q76" i="71" s="1"/>
  <c r="Q48" i="71"/>
  <c r="Q54" i="71" s="1"/>
  <c r="B2" i="71"/>
  <c r="Q57" i="71"/>
  <c r="Q63" i="71" s="1"/>
  <c r="C43" i="71"/>
  <c r="J42" i="71"/>
  <c r="J43" i="71" s="1"/>
  <c r="R49" i="21"/>
  <c r="E48" i="21"/>
  <c r="I52" i="21"/>
  <c r="J52" i="21" s="1"/>
  <c r="I53" i="21"/>
  <c r="J53" i="21" s="1"/>
  <c r="G52" i="21"/>
  <c r="H52" i="21" s="1"/>
  <c r="G53" i="21"/>
  <c r="H53" i="21"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70" i="71" l="1"/>
  <c r="E10" i="12"/>
  <c r="B3" i="71"/>
  <c r="E8" i="12" s="1"/>
  <c r="E52" i="21"/>
  <c r="F52" i="21" s="1"/>
  <c r="E53" i="21"/>
  <c r="F53" i="21" s="1"/>
  <c r="C49" i="21"/>
  <c r="B3" i="21" s="1"/>
  <c r="C48" i="2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8" i="12"/>
  <c r="Q67" i="15"/>
  <c r="Q76" i="15" s="1"/>
  <c r="L46" i="15"/>
  <c r="B2" i="15" s="1"/>
  <c r="Q58" i="15"/>
  <c r="Q63" i="15" s="1"/>
  <c r="I48" i="40"/>
  <c r="J48" i="40" s="1"/>
  <c r="G48" i="40"/>
  <c r="H48" i="40" s="1"/>
  <c r="G49" i="40"/>
  <c r="H49" i="40" s="1"/>
  <c r="E44" i="40"/>
  <c r="R45" i="40"/>
  <c r="G53" i="39"/>
  <c r="H53" i="39" s="1"/>
  <c r="G54" i="39"/>
  <c r="H54" i="39" s="1"/>
  <c r="I53" i="39"/>
  <c r="J53" i="39" s="1"/>
  <c r="E49" i="39"/>
  <c r="R50" i="39"/>
  <c r="C10" i="12" l="1"/>
  <c r="C21" i="70"/>
  <c r="C18" i="69"/>
  <c r="B3" i="15"/>
  <c r="D8" i="12" s="1"/>
  <c r="D10" i="12"/>
  <c r="E54" i="39"/>
  <c r="F54" i="39" s="1"/>
  <c r="E53" i="39"/>
  <c r="F53" i="39" s="1"/>
  <c r="E48" i="40"/>
  <c r="F48" i="40" s="1"/>
  <c r="E49" i="40"/>
  <c r="F49" i="40" s="1"/>
  <c r="C50" i="39"/>
  <c r="C49" i="39"/>
  <c r="I54" i="39"/>
  <c r="J54" i="39" s="1"/>
  <c r="C45" i="40"/>
  <c r="C44" i="40"/>
  <c r="I49" i="40"/>
  <c r="J49" i="40" s="1"/>
  <c r="C19" i="69" l="1"/>
  <c r="C22" i="70"/>
  <c r="C6" i="12"/>
  <c r="C29"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35" i="12" s="1"/>
  <c r="C33" i="12" s="1"/>
  <c r="F68" i="39"/>
  <c r="B2" i="39" s="1"/>
  <c r="F63" i="40"/>
  <c r="B2" i="40" s="1"/>
  <c r="C19" i="9"/>
  <c r="C28" i="12" l="1"/>
  <c r="C26" i="12" s="1"/>
  <c r="C31" i="12" s="1"/>
  <c r="C30" i="12" s="1"/>
  <c r="C36" i="12" s="1"/>
  <c r="B2" i="12" s="1"/>
  <c r="L43" i="9"/>
  <c r="B3" i="40"/>
  <c r="B4" i="40"/>
  <c r="B5" i="40"/>
  <c r="B3" i="39"/>
  <c r="B4" i="39"/>
  <c r="B5" i="39"/>
  <c r="C20" i="9"/>
  <c r="C21" i="9"/>
  <c r="D19" i="9"/>
  <c r="D22" i="9" l="1"/>
  <c r="L44" i="9"/>
  <c r="G19" i="9"/>
  <c r="B5" i="12"/>
  <c r="B3" i="12"/>
  <c r="B4" i="12"/>
  <c r="C45" i="9"/>
  <c r="H14" i="66" s="1"/>
  <c r="B7" i="66" s="1"/>
  <c r="D20" i="9"/>
  <c r="D21" i="9"/>
  <c r="B17" i="70" l="1"/>
  <c r="B16" i="70" s="1"/>
  <c r="K20" i="9"/>
  <c r="C27" i="9"/>
  <c r="C32" i="9"/>
  <c r="O38" i="9" s="1"/>
  <c r="K25" i="9" s="1"/>
  <c r="B16" i="69"/>
  <c r="G22" i="9"/>
  <c r="G20" i="9"/>
  <c r="G21" i="9"/>
  <c r="N43" i="9"/>
  <c r="D7" i="66"/>
  <c r="C42" i="9" l="1"/>
  <c r="C44" i="9" s="1"/>
  <c r="G14" i="66" s="1"/>
  <c r="B6" i="66" s="1"/>
  <c r="B14" i="69"/>
  <c r="B14" i="70"/>
  <c r="O43" i="9"/>
  <c r="C34" i="9"/>
  <c r="E42" i="9" s="1"/>
  <c r="C35" i="9"/>
  <c r="F42" i="9" s="1"/>
  <c r="C33" i="9"/>
  <c r="K26" i="9"/>
  <c r="D45" i="9"/>
  <c r="E45" i="9"/>
  <c r="O40" i="9"/>
  <c r="F45" i="9"/>
  <c r="M38" i="9" l="1"/>
  <c r="K27" i="9" s="1"/>
  <c r="D63" i="9"/>
  <c r="C111" i="9" s="1"/>
  <c r="C104" i="9" s="1"/>
  <c r="D14" i="66"/>
  <c r="F14" i="66" s="1"/>
  <c r="N68" i="9"/>
  <c r="R5" i="54"/>
  <c r="B48" i="63" s="1"/>
  <c r="B15" i="69"/>
  <c r="C15" i="69" s="1"/>
  <c r="D15" i="69" s="1"/>
  <c r="B15" i="70"/>
  <c r="C15" i="70" s="1"/>
  <c r="N38" i="9"/>
  <c r="K28" i="9" s="1"/>
  <c r="D42" i="9"/>
  <c r="Q5" i="54" s="1"/>
  <c r="B47" i="63" s="1"/>
  <c r="D6" i="66"/>
  <c r="K31" i="9"/>
  <c r="K32" i="9" s="1"/>
  <c r="R7" i="54"/>
  <c r="B52" i="63" s="1"/>
  <c r="P5" i="54"/>
  <c r="B46" i="63" s="1"/>
  <c r="N69" i="9"/>
  <c r="O39" i="9"/>
  <c r="K29" i="9" s="1"/>
  <c r="D44" i="9"/>
  <c r="E44" i="9"/>
  <c r="F44" i="9"/>
  <c r="C96" i="9" l="1"/>
  <c r="C91" i="9" s="1"/>
  <c r="C82" i="9"/>
  <c r="C81" i="9" s="1"/>
  <c r="C85" i="9" s="1"/>
  <c r="C86" i="9" s="1"/>
  <c r="D72" i="9" s="1"/>
  <c r="D77" i="9"/>
  <c r="N75" i="9" s="1"/>
  <c r="E14" i="66"/>
  <c r="D71" i="9"/>
  <c r="D66" i="9" s="1"/>
  <c r="N72" i="9" s="1"/>
  <c r="D70" i="9"/>
  <c r="C90" i="9"/>
  <c r="C103" i="9"/>
  <c r="C113" i="9" s="1"/>
  <c r="C114" i="9" s="1"/>
  <c r="E114" i="9" s="1"/>
  <c r="E115" i="9" s="1"/>
  <c r="C16" i="69"/>
  <c r="C14" i="69" s="1"/>
  <c r="C17" i="70"/>
  <c r="D15" i="70"/>
  <c r="E15" i="69"/>
  <c r="D16" i="69"/>
  <c r="D14" i="69" s="1"/>
  <c r="M86" i="9"/>
  <c r="N86" i="9" s="1"/>
  <c r="M84" i="9"/>
  <c r="N84" i="9" s="1"/>
  <c r="M88" i="9"/>
  <c r="N88" i="9" s="1"/>
  <c r="M87" i="9"/>
  <c r="N87" i="9" s="1"/>
  <c r="M85" i="9"/>
  <c r="N85" i="9" s="1"/>
  <c r="M83" i="9"/>
  <c r="N83" i="9" s="1"/>
  <c r="K30" i="9"/>
  <c r="R6" i="54"/>
  <c r="B50" i="63" s="1"/>
  <c r="C16" i="70" l="1"/>
  <c r="D15" i="66"/>
  <c r="C97" i="9"/>
  <c r="C98" i="9" s="1"/>
  <c r="E98" i="9" s="1"/>
  <c r="E99" i="9" s="1"/>
  <c r="D17" i="70"/>
  <c r="D16" i="66" s="1"/>
  <c r="E15" i="70"/>
  <c r="C14" i="70"/>
  <c r="F15" i="69"/>
  <c r="F16" i="69" s="1"/>
  <c r="F14" i="69" s="1"/>
  <c r="E16" i="69"/>
  <c r="E14" i="69" s="1"/>
  <c r="N89" i="9"/>
  <c r="C115" i="9"/>
  <c r="D76" i="9" s="1"/>
  <c r="D74" i="9" s="1"/>
  <c r="N74" i="9" s="1"/>
  <c r="E16" i="66" l="1"/>
  <c r="F16" i="66"/>
  <c r="E15" i="66"/>
  <c r="F15" i="66"/>
  <c r="C99" i="9"/>
  <c r="D14" i="70"/>
  <c r="D16" i="70"/>
  <c r="E17" i="70"/>
  <c r="O89" i="9"/>
  <c r="N76" i="9"/>
  <c r="O77" i="9" s="1"/>
  <c r="O78" i="9" s="1"/>
  <c r="E16" i="70" l="1"/>
  <c r="D17" i="66"/>
  <c r="E14" i="70"/>
  <c r="Q77" i="9"/>
  <c r="O79" i="9"/>
  <c r="C46" i="9" s="1"/>
  <c r="K33" i="9" s="1"/>
  <c r="E17" i="66" l="1"/>
  <c r="F17" i="66"/>
  <c r="F46" i="9"/>
  <c r="O41" i="9"/>
  <c r="O80" i="9"/>
  <c r="I14" i="66"/>
  <c r="B8" i="66" s="1"/>
  <c r="E46" i="9"/>
  <c r="D46" i="9"/>
  <c r="O81" i="9"/>
  <c r="K34" i="9"/>
  <c r="D8" i="66"/>
  <c r="R8" i="54"/>
  <c r="B54" i="63" s="1"/>
  <c r="G16" i="69"/>
  <c r="G17" i="70" l="1"/>
  <c r="B42" i="70" l="1"/>
  <c r="B41" i="70" l="1"/>
  <c r="H24" i="70" s="1"/>
  <c r="B40" i="70" l="1"/>
  <c r="B36" i="69"/>
  <c r="H27" i="70" l="1"/>
  <c r="H30" i="70" s="1"/>
  <c r="B19" i="66"/>
  <c r="C37" i="69"/>
  <c r="C43" i="70"/>
  <c r="E19" i="66" l="1"/>
  <c r="B1" i="66"/>
  <c r="C38" i="69"/>
  <c r="C44" i="70"/>
  <c r="C7" i="66" l="1"/>
  <c r="C6" i="66"/>
  <c r="C8" i="66"/>
  <c r="C39" i="69"/>
  <c r="C45" i="70"/>
  <c r="B35" i="69" l="1"/>
  <c r="B38" i="70" l="1"/>
  <c r="B34" i="69" l="1"/>
  <c r="C34" i="69" s="1"/>
  <c r="C35" i="69" s="1"/>
  <c r="C37" i="70"/>
  <c r="C39" i="70" s="1"/>
  <c r="D20" i="66" s="1"/>
  <c r="B33" i="69"/>
  <c r="B36" i="70"/>
  <c r="E20" i="66" l="1"/>
  <c r="F20" i="66"/>
  <c r="B5" i="66"/>
  <c r="C36" i="70"/>
  <c r="C38" i="70"/>
  <c r="D39" i="70"/>
  <c r="B46" i="70" s="1"/>
  <c r="C33" i="69"/>
  <c r="D35" i="69"/>
  <c r="B40" i="69" s="1"/>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<sst xmlns="http://schemas.openxmlformats.org/spreadsheetml/2006/main" count="7900" uniqueCount="3314">
  <si>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</si>
  <si>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</si>
  <si>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</si>
  <si>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</si>
  <si>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</si>
  <si>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</si>
  <si>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</si>
  <si>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</si>
  <si>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</si>
  <si>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</si>
  <si>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</si>
  <si>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</si>
  <si>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</si>
  <si>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</si>
  <si>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</si>
  <si>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</si>
  <si>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</si>
  <si>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</si>
  <si>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</si>
  <si>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</si>
  <si>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</si>
  <si>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</si>
  <si>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</si>
  <si>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</si>
  <si>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</si>
  <si>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</si>
  <si>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</si>
  <si>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</si>
  <si>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</si>
  <si>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</si>
  <si>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</si>
  <si>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</si>
  <si>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</si>
  <si>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</si>
  <si>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</si>
  <si>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</si>
  <si>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</si>
  <si>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</si>
  <si>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</si>
  <si>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</si>
  <si>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</si>
  <si>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</si>
  <si>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</si>
  <si>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</si>
  <si>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</si>
  <si>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</si>
  <si>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</si>
  <si>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</si>
  <si>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</si>
  <si>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</si>
  <si>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</si>
  <si>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</si>
  <si>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</si>
  <si>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</si>
  <si>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</si>
  <si>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</si>
  <si>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</si>
  <si>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</si>
  <si>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</si>
  <si>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</si>
  <si>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</si>
  <si>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</si>
  <si>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</si>
  <si>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</si>
  <si>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</si>
  <si>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</si>
  <si>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</si>
  <si>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</si>
  <si>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</si>
  <si>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</si>
  <si>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</si>
  <si>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</si>
  <si>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</si>
  <si>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</si>
  <si>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</si>
  <si>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</si>
  <si>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</si>
  <si>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</si>
  <si>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</si>
  <si>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</si>
  <si>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</si>
  <si>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</si>
  <si>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</si>
  <si>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</si>
  <si>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</si>
  <si>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</si>
  <si>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</si>
  <si>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</si>
  <si>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</si>
  <si>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</si>
  <si>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</si>
  <si>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</si>
  <si>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</si>
  <si>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</si>
  <si>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</si>
  <si>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</si>
  <si>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</si>
  <si>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</si>
  <si>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</si>
  <si>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</si>
  <si>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</si>
  <si>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</si>
  <si>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</si>
  <si>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</si>
  <si>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</si>
  <si>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</si>
  <si>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</si>
  <si>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</si>
  <si>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</si>
  <si>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</si>
  <si>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</si>
  <si>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</si>
  <si>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</si>
  <si>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</si>
  <si>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</si>
  <si>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</si>
  <si>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</si>
  <si>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</si>
  <si>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</si>
  <si>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</si>
  <si>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</si>
  <si>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</si>
  <si>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</si>
  <si>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</si>
  <si>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</si>
  <si>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</si>
  <si>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</si>
  <si>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</si>
  <si>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</si>
  <si>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</si>
  <si>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</si>
  <si>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</si>
  <si>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</si>
  <si>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</si>
  <si>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</si>
  <si>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</si>
  <si>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</si>
  <si>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</si>
  <si>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</si>
  <si>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</si>
  <si>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</si>
  <si>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</si>
  <si>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</si>
  <si>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</si>
  <si>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</si>
  <si>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</si>
  <si>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</si>
  <si>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</si>
  <si>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</si>
  <si>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</si>
  <si>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</si>
  <si>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</si>
  <si>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</si>
  <si>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</si>
  <si>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</si>
  <si>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</si>
  <si>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</si>
  <si>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</si>
  <si>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</si>
  <si>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</si>
  <si>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</si>
  <si>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</si>
  <si>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</si>
  <si>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</si>
  <si>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</si>
  <si>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</si>
  <si>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</si>
  <si>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</si>
  <si>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</si>
  <si>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</si>
  <si>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</si>
  <si>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</si>
  <si>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</si>
  <si>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</si>
  <si>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</si>
  <si>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</si>
  <si>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</si>
  <si>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</si>
  <si>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</si>
  <si>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</si>
  <si>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</si>
  <si>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</si>
  <si>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</si>
  <si>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</si>
  <si>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</si>
  <si>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</si>
  <si>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</si>
  <si>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</si>
  <si>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</si>
  <si>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</si>
  <si>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</si>
  <si>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</si>
  <si>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</si>
  <si>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</si>
  <si>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</si>
  <si>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</si>
  <si>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</si>
  <si>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</si>
  <si>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</si>
  <si>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</si>
  <si>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</si>
  <si>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</si>
  <si>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</si>
  <si>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</si>
  <si>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</si>
  <si>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</si>
  <si>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</si>
  <si>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</si>
  <si>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</si>
  <si>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</si>
  <si>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</si>
  <si>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</si>
  <si>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</si>
  <si>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</si>
  <si>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</si>
  <si>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</si>
  <si>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</si>
  <si>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</si>
  <si>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</si>
  <si>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</si>
  <si>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</si>
  <si>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</si>
  <si>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</si>
  <si>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</si>
  <si>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</si>
  <si>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</si>
  <si>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</si>
  <si>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</si>
  <si>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</si>
  <si>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</si>
  <si>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</si>
  <si>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</si>
  <si>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</si>
  <si>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</si>
  <si>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</si>
  <si>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</si>
  <si>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</si>
  <si>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</si>
  <si>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</si>
  <si>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</si>
  <si>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</si>
  <si>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</si>
  <si>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</si>
  <si>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</si>
  <si>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</si>
  <si>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</si>
  <si>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</si>
  <si>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</si>
  <si>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</si>
  <si>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</si>
  <si>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</si>
  <si>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</si>
  <si>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</si>
  <si>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</si>
  <si>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</si>
  <si>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</si>
  <si>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</si>
  <si>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</si>
  <si>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</si>
  <si>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</si>
  <si>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</si>
  <si>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</si>
  <si>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</si>
  <si>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</si>
  <si>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</si>
  <si>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</si>
  <si>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</si>
  <si>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</si>
  <si>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</si>
  <si>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</si>
  <si>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</si>
  <si>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</si>
  <si>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</si>
  <si>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</si>
  <si>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</si>
  <si>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</si>
  <si>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</si>
  <si>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</si>
  <si>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</si>
  <si>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</si>
  <si>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</si>
  <si>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</si>
  <si>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</si>
  <si>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</si>
  <si>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</si>
  <si>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</si>
  <si>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</si>
  <si>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</si>
  <si>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</si>
  <si>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</si>
  <si>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</si>
  <si>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</si>
  <si>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</si>
  <si>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</si>
  <si>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</si>
  <si>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</si>
  <si>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</si>
  <si>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</si>
  <si>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</si>
  <si>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</si>
  <si>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</si>
  <si>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</si>
  <si>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</si>
  <si>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</si>
  <si>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</si>
  <si>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</si>
  <si>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</si>
  <si>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</si>
  <si>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</si>
  <si>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</si>
  <si>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</si>
  <si>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</si>
  <si>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</si>
  <si>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</si>
  <si>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</si>
  <si>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</si>
  <si>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</si>
  <si>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</si>
  <si>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</si>
  <si>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</si>
  <si>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</si>
  <si>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</si>
  <si>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</si>
  <si>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</si>
  <si>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</si>
  <si>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</si>
  <si>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</si>
  <si>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</si>
  <si>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</si>
  <si>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</si>
  <si>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</si>
  <si>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</si>
  <si>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</si>
  <si>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</si>
  <si>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</si>
  <si>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</si>
  <si>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</si>
  <si>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</si>
  <si>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</si>
  <si>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</si>
  <si>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</si>
  <si>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</si>
  <si>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</si>
  <si>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</si>
  <si>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</si>
  <si>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</si>
  <si>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</si>
  <si>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</si>
  <si>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</si>
  <si>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</si>
  <si>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</si>
  <si>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</si>
  <si>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</si>
  <si>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</si>
  <si>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</si>
  <si>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</si>
  <si>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</si>
  <si>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</si>
  <si>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</si>
  <si>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</si>
  <si>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</si>
  <si>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</si>
  <si>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</si>
  <si>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</si>
  <si>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</si>
  <si>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</si>
  <si>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</si>
  <si>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</si>
  <si>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</si>
  <si>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</si>
  <si>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</si>
  <si>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</si>
  <si>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</si>
  <si>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</si>
  <si>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</si>
  <si>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</si>
  <si>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</si>
  <si>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</si>
  <si>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</si>
  <si>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</si>
  <si>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</si>
  <si>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</si>
  <si>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</si>
  <si>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</si>
  <si>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</si>
  <si>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</si>
  <si>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</si>
  <si>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</si>
  <si>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</si>
  <si>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</si>
  <si>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</si>
  <si>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</si>
  <si>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</si>
  <si>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</si>
  <si>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</si>
  <si>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</si>
  <si>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</si>
  <si>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</si>
  <si>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</si>
  <si>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</si>
  <si>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</si>
  <si>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</si>
  <si>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</si>
  <si>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</si>
  <si>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</si>
  <si>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</si>
  <si>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</si>
  <si>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</si>
  <si>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</si>
  <si>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</si>
  <si>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</si>
  <si>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</si>
  <si>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</si>
  <si>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</si>
  <si>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</si>
  <si>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</si>
  <si>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</si>
  <si>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</si>
  <si>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</si>
  <si>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</si>
  <si>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</si>
  <si>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</si>
  <si>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</si>
  <si>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</si>
  <si>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</si>
  <si>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</si>
  <si>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</si>
  <si>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</si>
  <si>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</si>
  <si>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</si>
  <si>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</si>
  <si>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</si>
  <si>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</si>
  <si>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</si>
  <si>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</si>
  <si>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</si>
  <si>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</si>
  <si>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</si>
  <si>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</si>
  <si>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</si>
  <si>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</si>
  <si>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</si>
  <si>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</si>
  <si>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</si>
  <si>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</si>
  <si>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</si>
  <si>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</si>
  <si>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</si>
  <si>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</si>
  <si>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</si>
  <si>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</si>
  <si>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</si>
  <si>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</si>
  <si>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</si>
  <si>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</si>
  <si>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</si>
  <si>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</si>
  <si>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</si>
  <si>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</si>
  <si>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</si>
  <si>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</si>
  <si>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</si>
  <si>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</si>
  <si>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</si>
  <si>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</si>
  <si>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</si>
  <si>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</si>
  <si>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</si>
  <si>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</si>
  <si>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</si>
  <si>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</si>
  <si>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</si>
  <si>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</si>
  <si>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</si>
  <si>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</si>
  <si>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</si>
  <si>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</si>
  <si>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</si>
  <si>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</si>
  <si>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</si>
  <si>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</si>
  <si>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</si>
  <si>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</si>
  <si>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</si>
  <si>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</si>
  <si>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</si>
  <si>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</si>
  <si>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</si>
  <si>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</si>
  <si>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</si>
  <si>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</si>
  <si>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</si>
  <si>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</si>
  <si>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</si>
  <si>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</si>
  <si>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</si>
  <si>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</si>
  <si>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</si>
  <si>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</si>
  <si>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</si>
  <si>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</si>
  <si>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</si>
  <si>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</si>
  <si>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</si>
  <si>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</si>
  <si>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</si>
  <si>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</si>
  <si>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</si>
  <si>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</si>
  <si>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</si>
  <si>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</si>
  <si>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</si>
  <si>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</si>
  <si>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</si>
  <si>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</si>
  <si>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</si>
  <si>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</si>
  <si>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</si>
  <si>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</si>
  <si>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</si>
  <si>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</si>
  <si>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</si>
  <si>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</si>
  <si>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</si>
  <si>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</si>
  <si>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</si>
  <si>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</si>
  <si>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</si>
  <si>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</si>
  <si>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</si>
  <si>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</si>
  <si>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</si>
  <si>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</si>
  <si>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</si>
  <si>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</si>
  <si>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</si>
  <si>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</si>
  <si>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</si>
  <si>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</si>
  <si>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</si>
  <si>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</si>
  <si>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</si>
  <si>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</si>
  <si>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</si>
  <si>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</si>
  <si>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</si>
  <si>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</si>
  <si>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</si>
  <si>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</si>
  <si>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</si>
  <si>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</si>
  <si>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</si>
  <si>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</si>
  <si>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</si>
  <si>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</si>
  <si>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</si>
  <si>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</si>
  <si>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</si>
  <si>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</si>
  <si>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</si>
  <si>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</si>
  <si>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</si>
  <si>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</si>
  <si>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</si>
  <si>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</si>
  <si>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</si>
  <si>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</si>
  <si>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</si>
  <si>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</si>
  <si>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</si>
  <si>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</si>
  <si>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</si>
  <si>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</si>
  <si>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</si>
  <si>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</si>
  <si>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</si>
  <si>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</si>
  <si>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</si>
  <si>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</si>
  <si>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</si>
  <si>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</si>
  <si>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</si>
  <si>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</si>
  <si>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</si>
  <si>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</si>
  <si>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</si>
  <si>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</si>
  <si>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</si>
  <si>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</si>
  <si>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</si>
  <si>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</si>
  <si>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</si>
  <si>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</si>
  <si>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</si>
  <si>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</si>
  <si>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</si>
  <si>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</si>
  <si>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</si>
  <si>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</si>
  <si>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</si>
  <si>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</si>
  <si>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</si>
  <si>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</si>
  <si>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</si>
  <si>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</si>
  <si>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</si>
  <si>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</si>
  <si>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</si>
  <si>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</si>
  <si>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</si>
  <si>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</si>
  <si>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</si>
  <si>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</si>
  <si>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</si>
  <si>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</si>
  <si>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</si>
  <si>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</si>
  <si>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</si>
  <si>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</si>
  <si>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</si>
  <si>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</si>
  <si>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</si>
  <si>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</si>
  <si>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</si>
  <si>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</si>
  <si>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</si>
  <si>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</si>
  <si>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</si>
  <si>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</si>
  <si>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</si>
  <si>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</si>
  <si>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</si>
  <si>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</si>
  <si>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</si>
  <si>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</si>
  <si>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</si>
  <si>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</si>
  <si>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</si>
  <si>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</si>
  <si>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</si>
  <si>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</si>
  <si>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</si>
  <si>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</si>
  <si>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</si>
  <si>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</si>
  <si>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</si>
  <si>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</si>
  <si>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</si>
  <si>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</si>
  <si>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</si>
  <si>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</si>
  <si>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</si>
  <si>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</si>
  <si>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</si>
  <si>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</si>
  <si>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</si>
  <si>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</si>
  <si>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</si>
  <si>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</si>
  <si>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</si>
  <si>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</si>
  <si>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</si>
  <si>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</si>
  <si>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</si>
  <si>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</si>
  <si>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</si>
  <si>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</si>
  <si>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</si>
  <si>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</si>
  <si>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</si>
  <si>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</si>
  <si>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</si>
  <si>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</si>
  <si>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</si>
  <si>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</si>
  <si>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</si>
  <si>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</si>
  <si>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</si>
  <si>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</si>
  <si>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</si>
  <si>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</si>
  <si>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</si>
  <si>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</si>
  <si>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</si>
  <si>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</si>
  <si>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</si>
  <si>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</si>
  <si>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</si>
  <si>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</si>
  <si>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</si>
  <si>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</si>
  <si>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</si>
  <si>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</si>
  <si>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</si>
  <si>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</si>
  <si>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</si>
  <si>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</si>
  <si>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</si>
  <si>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</si>
  <si>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</si>
  <si>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</si>
  <si>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</si>
  <si>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</si>
  <si>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</si>
  <si>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</si>
  <si>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</si>
  <si>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</si>
  <si>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</si>
  <si>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</si>
  <si>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</si>
  <si>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</si>
  <si>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</si>
  <si>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</si>
  <si>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</si>
  <si>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</si>
  <si>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</si>
  <si>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</si>
  <si>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</si>
  <si>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</si>
  <si>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</si>
  <si>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</si>
  <si>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</si>
  <si>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</si>
  <si>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</si>
  <si>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</si>
  <si>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</si>
  <si>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</si>
  <si>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</si>
  <si>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</si>
  <si>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</si>
  <si>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</si>
  <si>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</si>
  <si>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</si>
  <si>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</si>
  <si>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</si>
  <si>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</si>
  <si>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</si>
  <si>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</si>
  <si>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</si>
  <si>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</si>
  <si>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</si>
  <si>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</si>
  <si>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</si>
  <si>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</si>
  <si>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</si>
  <si>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</si>
  <si>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</si>
  <si>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</si>
  <si>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</si>
  <si>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</si>
  <si>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</si>
  <si>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</si>
  <si>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</si>
  <si>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</si>
  <si>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</si>
  <si>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</si>
  <si>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</si>
  <si>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</si>
  <si>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</si>
  <si>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</si>
  <si>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</si>
  <si>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</si>
  <si>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</si>
  <si>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</si>
  <si>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</si>
  <si>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</si>
  <si>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</si>
  <si>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</si>
  <si>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</si>
  <si>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</si>
  <si>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</si>
  <si>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</si>
  <si>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</si>
  <si>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</si>
  <si>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</si>
  <si>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</si>
  <si>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</si>
  <si>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</si>
  <si>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</si>
  <si>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</si>
  <si>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</si>
  <si>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</si>
  <si>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</si>
  <si>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</si>
  <si>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</si>
  <si>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</si>
  <si>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</si>
  <si>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</si>
  <si>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</si>
  <si>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</si>
  <si>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</si>
  <si>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</si>
  <si>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</si>
  <si>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</si>
  <si>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</si>
  <si>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</si>
  <si>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</si>
  <si>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</si>
  <si>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</si>
  <si>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</si>
  <si>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</si>
  <si>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</si>
  <si>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</si>
  <si>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</si>
  <si>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</si>
  <si>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</si>
  <si>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</si>
  <si>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</si>
  <si>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</si>
  <si>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</si>
  <si>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</si>
  <si>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</si>
  <si>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</si>
  <si>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</si>
  <si>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</si>
  <si>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</si>
  <si>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</si>
  <si>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</si>
  <si>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</si>
  <si>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</si>
  <si>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</si>
  <si>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</si>
  <si>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</si>
  <si>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</si>
  <si>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</si>
  <si>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</si>
  <si>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</si>
  <si>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</si>
  <si>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</si>
  <si>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</si>
  <si>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</si>
  <si>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</si>
  <si>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</si>
  <si>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</si>
  <si>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</si>
  <si>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</si>
  <si>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</si>
  <si>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</si>
  <si>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</si>
  <si>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</si>
  <si>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</si>
  <si>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</si>
  <si>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</si>
  <si>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</si>
  <si>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</si>
  <si>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</si>
  <si>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</si>
  <si>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</si>
  <si>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</si>
  <si>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</si>
  <si>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</si>
  <si>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</si>
  <si>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</si>
  <si>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</si>
  <si>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</si>
  <si>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</si>
  <si>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</si>
  <si>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</si>
  <si>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</si>
  <si>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</si>
  <si>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</si>
  <si>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</si>
  <si>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</si>
  <si>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</si>
  <si>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</si>
  <si>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</si>
  <si>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</si>
  <si>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</si>
  <si>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</si>
  <si>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</si>
  <si>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</si>
  <si>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</si>
  <si>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</si>
  <si>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</si>
  <si>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</si>
  <si>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</si>
  <si>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</si>
  <si>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</si>
  <si>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</si>
  <si>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</si>
  <si>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</si>
  <si>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</si>
  <si>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</si>
  <si>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</si>
  <si>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</si>
  <si>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</si>
  <si>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</si>
  <si>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</si>
  <si>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</si>
  <si>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</si>
  <si>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</si>
  <si>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</si>
  <si>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</si>
  <si>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</si>
  <si>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</si>
  <si>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</si>
  <si>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</si>
  <si>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</si>
  <si>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</si>
  <si>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</si>
  <si>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</si>
  <si>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</si>
  <si>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</si>
  <si>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</si>
  <si>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</si>
  <si>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</si>
  <si>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</si>
  <si>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</si>
  <si>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</si>
  <si>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</si>
  <si>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</si>
  <si>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</si>
  <si>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</si>
  <si>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</si>
  <si>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</si>
  <si>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</si>
  <si>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</si>
  <si>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</si>
  <si>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</si>
  <si>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</si>
  <si>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</si>
  <si>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</si>
  <si>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</si>
  <si>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</si>
  <si>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</si>
  <si>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</si>
  <si>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</si>
  <si>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</si>
  <si>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</si>
  <si>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</si>
  <si>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</si>
  <si>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</si>
  <si>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</si>
  <si>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</si>
  <si>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</si>
  <si>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</si>
  <si>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</si>
  <si>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</si>
  <si>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</si>
  <si>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</si>
  <si>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</si>
  <si>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</si>
  <si>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</si>
  <si>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</si>
  <si>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</si>
  <si>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</si>
  <si>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</si>
  <si>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</si>
  <si>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</si>
  <si>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</si>
  <si>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</si>
  <si>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</si>
  <si>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</si>
  <si>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</si>
  <si>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</si>
  <si>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</si>
  <si>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</si>
  <si>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</si>
  <si>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</si>
  <si>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</si>
  <si>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</si>
  <si>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</si>
  <si>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</si>
  <si>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</si>
  <si>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</si>
  <si>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</si>
  <si>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</si>
  <si>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</si>
  <si>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</si>
  <si>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</si>
  <si>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</si>
  <si>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</si>
  <si>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</si>
  <si>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</si>
  <si>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</si>
  <si>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</si>
  <si>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</si>
  <si>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</si>
  <si>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</si>
  <si>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</si>
  <si>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</si>
  <si>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</si>
  <si>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</si>
  <si>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</si>
  <si>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</si>
  <si>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</si>
  <si>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</si>
  <si>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</si>
  <si>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</si>
  <si>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</si>
  <si>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</si>
  <si>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</si>
  <si>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</si>
  <si>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</si>
  <si>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</si>
  <si>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</si>
  <si>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</si>
  <si>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</si>
  <si>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</si>
  <si>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</si>
  <si>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</si>
  <si>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</si>
  <si>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</si>
  <si>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</si>
  <si>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</si>
  <si>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</si>
  <si>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</si>
  <si>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</si>
  <si>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</si>
  <si>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</si>
  <si>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</si>
  <si>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</si>
  <si>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</si>
  <si>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</si>
  <si>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</si>
  <si>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</si>
  <si>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</si>
  <si>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</si>
  <si>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</si>
  <si>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</si>
  <si>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</si>
  <si>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</si>
  <si>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</si>
  <si>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</si>
  <si>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</si>
  <si>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</si>
  <si>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</si>
  <si>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</si>
  <si>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</si>
  <si>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</si>
  <si>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</si>
  <si>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</si>
  <si>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</si>
  <si>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</si>
  <si>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</si>
  <si>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</si>
  <si>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</si>
  <si>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</si>
  <si>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</si>
  <si>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</si>
  <si>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</si>
  <si>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</si>
  <si>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</si>
  <si>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</si>
  <si>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</si>
  <si>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</si>
  <si>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</si>
  <si>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</si>
  <si>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</si>
  <si>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</si>
  <si>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</si>
  <si>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</si>
  <si>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</si>
  <si>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</si>
  <si>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</si>
  <si>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</si>
  <si>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</si>
  <si>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</si>
  <si>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</si>
  <si>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</si>
  <si>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</si>
  <si>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</si>
  <si>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</si>
  <si>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</si>
  <si>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</si>
  <si>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</si>
  <si>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</si>
  <si>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</si>
  <si>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</si>
  <si>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</si>
  <si>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</si>
  <si>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</si>
  <si>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</si>
  <si>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</si>
  <si>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</si>
  <si>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</si>
  <si>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</si>
  <si>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</si>
  <si>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</si>
  <si>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</si>
  <si>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</si>
  <si>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</si>
  <si>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</si>
  <si>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</si>
  <si>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</si>
  <si>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</si>
  <si>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</si>
  <si>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</si>
  <si>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</si>
  <si>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</si>
  <si>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</si>
  <si>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</si>
  <si>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</si>
  <si>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</si>
  <si>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</si>
  <si>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</si>
  <si>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</si>
  <si>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</si>
  <si>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</si>
  <si>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</si>
  <si>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</si>
  <si>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</si>
  <si>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</si>
  <si>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</si>
  <si>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</si>
  <si>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</si>
  <si>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</si>
  <si>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</si>
  <si>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</si>
  <si>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</si>
  <si>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</si>
  <si>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</si>
  <si>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</si>
  <si>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</si>
  <si>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</si>
  <si>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</si>
  <si>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</si>
  <si>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</si>
  <si>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</si>
  <si>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</si>
  <si>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</si>
  <si>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</si>
  <si>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</si>
  <si>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</si>
  <si>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</si>
  <si>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</si>
  <si>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</si>
  <si>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</si>
  <si>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</si>
  <si>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</si>
  <si>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</si>
  <si>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</si>
  <si>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</si>
  <si>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</si>
  <si>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</si>
  <si>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</si>
  <si>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</si>
  <si>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</si>
  <si>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</si>
  <si>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</si>
  <si>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</si>
  <si>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</si>
  <si>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</si>
  <si>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</si>
  <si>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</si>
  <si>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</si>
  <si>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</si>
  <si>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</si>
  <si>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</si>
  <si>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</si>
  <si>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</si>
  <si>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</si>
  <si>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</si>
  <si>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</si>
  <si>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</si>
  <si>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</si>
  <si>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</si>
  <si>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</si>
  <si>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</si>
  <si>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</si>
  <si>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</si>
  <si>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</si>
  <si>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</si>
  <si>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</si>
  <si>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</si>
  <si>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</si>
  <si>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</si>
  <si>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</si>
  <si>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</si>
  <si>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</si>
  <si>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</si>
  <si>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</si>
  <si>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</si>
  <si>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</si>
  <si>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</si>
  <si>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</si>
  <si>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</si>
  <si>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</si>
  <si>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</si>
  <si>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</si>
  <si>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</si>
  <si>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</si>
  <si>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</si>
  <si>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</si>
  <si>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</si>
  <si>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</si>
  <si>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</si>
  <si>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</si>
  <si>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</si>
  <si>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</si>
  <si>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</si>
  <si>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</si>
  <si>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</si>
  <si>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</si>
  <si>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</si>
  <si>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</si>
  <si>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</si>
  <si>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</si>
  <si>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</si>
  <si>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</si>
  <si>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</si>
  <si>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</si>
  <si>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</si>
  <si>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</si>
  <si>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</si>
  <si>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</si>
  <si>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</si>
  <si>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</si>
  <si>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</si>
  <si>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</si>
  <si>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</si>
  <si>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</si>
  <si>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</si>
  <si>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</si>
  <si>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</si>
  <si>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</si>
  <si>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</si>
  <si>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</si>
  <si>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</si>
  <si>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</si>
  <si>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</si>
  <si>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</si>
  <si>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</si>
  <si>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</si>
  <si>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</si>
  <si>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</si>
  <si>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</si>
  <si>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</si>
  <si>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</si>
  <si>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</si>
  <si>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</si>
  <si>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</si>
  <si>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</si>
  <si>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</si>
  <si>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</si>
  <si>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</si>
  <si>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</si>
  <si>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</si>
  <si>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</si>
  <si>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</si>
  <si>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</si>
  <si>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</si>
  <si>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</si>
  <si>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</si>
  <si>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</si>
  <si>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</si>
  <si>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</si>
  <si>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</si>
  <si>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</si>
  <si>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</si>
  <si>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</si>
  <si>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</si>
  <si>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</si>
  <si>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</si>
  <si>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</si>
  <si>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</si>
  <si>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</si>
  <si>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</si>
  <si>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</si>
  <si>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</si>
  <si>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</si>
  <si>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</si>
  <si>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</si>
  <si>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</si>
  <si>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</si>
  <si>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</si>
  <si>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</si>
  <si>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</si>
  <si>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</si>
  <si>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</si>
  <si>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</si>
  <si>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</si>
  <si>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</si>
  <si>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</si>
  <si>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</si>
  <si>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</si>
  <si>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</si>
  <si>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</si>
  <si>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</si>
  <si>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</si>
  <si>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</si>
  <si>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</si>
  <si>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</si>
  <si>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</si>
  <si>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</si>
  <si>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</si>
  <si>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</si>
  <si>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</si>
  <si>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</si>
  <si>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</si>
  <si>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</si>
  <si>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</si>
  <si>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</si>
  <si>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</si>
  <si>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</si>
  <si>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</si>
  <si>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</si>
  <si>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</si>
  <si>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</si>
  <si>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</si>
  <si>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</si>
  <si>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</si>
  <si>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</si>
  <si>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</si>
  <si>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</si>
  <si>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</si>
  <si>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</si>
  <si>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</si>
  <si>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</si>
  <si>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</si>
  <si>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</si>
  <si>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</si>
  <si>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</si>
  <si>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</si>
  <si>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</si>
  <si>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</si>
  <si>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</si>
  <si>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</si>
  <si>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</si>
  <si>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</si>
  <si>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</si>
  <si>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</si>
  <si>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</si>
  <si>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</si>
  <si>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</si>
  <si>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</si>
  <si>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</si>
  <si>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</si>
  <si>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</si>
  <si>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</si>
  <si>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</si>
  <si>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</si>
  <si>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</si>
  <si>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</si>
  <si>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</si>
  <si>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</si>
  <si>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</si>
  <si>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</si>
  <si>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</si>
  <si>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</si>
  <si>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</si>
  <si>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</si>
  <si>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</si>
  <si>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</si>
  <si>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</si>
  <si>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</si>
  <si>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</si>
  <si>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</si>
  <si>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</si>
  <si>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</si>
  <si>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</si>
  <si>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</si>
  <si>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</si>
  <si>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</si>
  <si>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</si>
  <si>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</si>
  <si>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</si>
  <si>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</si>
  <si>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</si>
  <si>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</si>
  <si>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</si>
  <si>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</si>
  <si>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</si>
  <si>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</si>
  <si>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</si>
  <si>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</si>
  <si>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</si>
  <si>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</si>
  <si>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</si>
  <si>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</si>
  <si>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</si>
  <si>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</si>
  <si>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</si>
  <si>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</si>
  <si>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</si>
  <si>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</si>
  <si>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</si>
  <si>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</si>
  <si>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</si>
  <si>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</si>
  <si>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</si>
  <si>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</si>
  <si>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</si>
  <si>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</si>
  <si>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</si>
  <si>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</si>
  <si>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</si>
  <si>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</si>
  <si>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</si>
  <si>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</si>
  <si>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</si>
  <si>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</si>
  <si>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</si>
  <si>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</si>
  <si>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</si>
  <si>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</si>
  <si>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</si>
  <si>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</si>
  <si>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</si>
  <si>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</si>
  <si>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</si>
  <si>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</si>
  <si>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</si>
  <si>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</si>
  <si>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</si>
  <si>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</si>
  <si>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</si>
  <si>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</si>
  <si>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</si>
  <si>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</si>
  <si>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</si>
  <si>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</si>
  <si>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</si>
  <si>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</si>
  <si>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</si>
  <si>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</si>
  <si>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</si>
  <si>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</si>
  <si>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</si>
  <si>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</si>
  <si>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</si>
  <si>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</si>
  <si>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</si>
  <si>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</si>
  <si>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</si>
  <si>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</si>
  <si>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</si>
  <si>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</si>
  <si>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</si>
  <si>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</si>
  <si>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</si>
  <si>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</si>
  <si>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</si>
  <si>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</si>
  <si>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</si>
  <si>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</si>
  <si>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</si>
  <si>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</si>
  <si>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</si>
  <si>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</si>
  <si>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</si>
  <si>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</si>
  <si>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</si>
  <si>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</si>
  <si>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</si>
  <si>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</si>
  <si>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</si>
  <si>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</si>
  <si>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</si>
  <si>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</si>
  <si>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</si>
  <si>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</si>
  <si>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</si>
  <si>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</si>
  <si>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</si>
  <si>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</si>
  <si>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</si>
  <si>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</si>
  <si>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</si>
  <si>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</si>
  <si>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</si>
  <si>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</si>
  <si>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</si>
  <si>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</si>
  <si>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</si>
  <si>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</si>
  <si>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</si>
  <si>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</si>
  <si>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</si>
  <si>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</si>
  <si>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</si>
  <si>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</si>
  <si>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</si>
  <si>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</si>
  <si>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</si>
  <si>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</si>
  <si>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</si>
  <si>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</si>
  <si>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</si>
  <si>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</si>
  <si>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</si>
  <si>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</si>
  <si>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</si>
  <si>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</si>
  <si>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</si>
  <si>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</si>
  <si>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</si>
  <si>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</si>
  <si>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</si>
  <si>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</si>
  <si>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</si>
  <si>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</si>
  <si>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</si>
  <si>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</si>
  <si>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</si>
  <si>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</si>
  <si>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</si>
  <si>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</si>
  <si>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</si>
  <si>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</si>
  <si>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</si>
  <si>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</si>
  <si>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</si>
  <si>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</si>
  <si>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</si>
  <si>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</si>
  <si>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</si>
  <si>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</si>
  <si>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</si>
  <si>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</si>
  <si>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</si>
  <si>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</si>
  <si>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</si>
  <si>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</si>
  <si>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</si>
  <si>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</si>
  <si>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</si>
  <si>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</si>
  <si>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</si>
  <si>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</si>
  <si>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</si>
  <si>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</si>
  <si>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</si>
  <si>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</si>
  <si>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</si>
  <si>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</si>
  <si>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</si>
  <si>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</si>
  <si>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</si>
  <si>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</si>
  <si>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</si>
  <si>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</si>
  <si>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</si>
  <si>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</si>
  <si>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</si>
  <si>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</si>
  <si>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</si>
  <si>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</si>
  <si>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</si>
  <si>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</si>
  <si>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</si>
  <si>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</si>
  <si>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</si>
  <si>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</si>
  <si>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</si>
  <si>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</si>
  <si>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</si>
  <si>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</si>
  <si>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</si>
  <si>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</si>
  <si>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</si>
  <si>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</si>
  <si>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</si>
  <si>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</si>
  <si>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</si>
  <si>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</si>
  <si>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</si>
  <si>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</si>
  <si>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</si>
  <si>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</si>
  <si>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</si>
  <si>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</si>
  <si>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</si>
  <si>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</si>
  <si>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</si>
  <si>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</si>
  <si>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</si>
  <si>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</si>
  <si>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</si>
  <si>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</si>
  <si>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</si>
  <si>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</si>
  <si>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</si>
  <si>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</si>
  <si>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</si>
  <si>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</si>
  <si>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</si>
  <si>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</si>
  <si>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</si>
  <si>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</si>
  <si>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</si>
  <si>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</si>
  <si>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</si>
  <si>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</si>
  <si>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</si>
  <si>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</si>
  <si>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</si>
  <si>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</si>
  <si>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</si>
  <si>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</si>
  <si>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</si>
  <si>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</si>
  <si>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</si>
  <si>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</si>
  <si>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</si>
  <si>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</si>
  <si>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</si>
  <si>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</si>
  <si>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</si>
  <si>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</si>
  <si>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</si>
  <si>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</si>
  <si>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</si>
  <si>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</si>
  <si>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</si>
  <si>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</si>
  <si>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</si>
  <si>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</si>
  <si>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</si>
  <si>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</si>
  <si>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</si>
  <si>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</si>
  <si>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</si>
  <si>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</si>
  <si>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</si>
  <si>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</si>
  <si>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</si>
  <si>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</si>
  <si>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</si>
  <si>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</si>
  <si>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</si>
  <si>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</si>
  <si>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</si>
  <si>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</si>
  <si>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</si>
  <si>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</si>
  <si>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</si>
  <si>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</si>
  <si>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</si>
  <si>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</si>
  <si>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</si>
  <si>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</si>
  <si>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</si>
  <si>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</si>
  <si>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</si>
  <si>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</si>
  <si>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</si>
  <si>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</si>
  <si>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</si>
  <si>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</si>
  <si>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</si>
  <si>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</si>
  <si>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</si>
  <si>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</si>
  <si>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</si>
  <si>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</si>
  <si>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</si>
  <si>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</si>
  <si>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</si>
  <si>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</si>
  <si>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</si>
  <si>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</si>
  <si>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</si>
  <si>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</si>
  <si>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</si>
  <si>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</si>
  <si>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</si>
  <si>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</si>
  <si>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</si>
  <si>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</si>
  <si>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</si>
  <si>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</si>
  <si>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</si>
  <si>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</si>
  <si>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</si>
  <si>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</si>
  <si>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</si>
  <si>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</si>
  <si>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</si>
  <si>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</si>
  <si>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</si>
  <si>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</si>
  <si>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</si>
  <si>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</si>
  <si>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</si>
  <si>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</si>
  <si>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</si>
  <si>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</si>
  <si>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</si>
  <si>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</si>
  <si>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</si>
  <si>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</si>
  <si>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</si>
  <si>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</si>
  <si>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</si>
  <si>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</si>
  <si>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</si>
  <si>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</si>
  <si>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</si>
  <si>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</si>
  <si>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</si>
  <si>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</si>
  <si>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</si>
  <si>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</si>
  <si>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</si>
  <si>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</si>
  <si>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</si>
  <si>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</si>
  <si>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</si>
  <si>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</si>
  <si>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</si>
  <si>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</si>
  <si>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</si>
  <si>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</si>
  <si>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</si>
  <si>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</si>
  <si>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</si>
  <si>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</si>
  <si>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</si>
  <si>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</si>
  <si>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</si>
  <si>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</si>
  <si>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</si>
  <si>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</si>
  <si>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</si>
  <si>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</si>
  <si>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</si>
  <si>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</si>
  <si>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</si>
  <si>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</si>
  <si>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</si>
  <si>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</si>
  <si>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</si>
  <si>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</si>
  <si>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</si>
  <si>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</si>
  <si>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</si>
  <si>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</si>
  <si>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</si>
  <si>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</si>
  <si>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</si>
  <si>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</si>
  <si>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</si>
  <si>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</si>
  <si>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</si>
  <si>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</si>
  <si>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</si>
  <si>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</si>
  <si>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</si>
  <si>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</si>
  <si>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</si>
  <si>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</si>
  <si>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</si>
  <si>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</si>
  <si>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</si>
  <si>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</si>
  <si>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</si>
  <si>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</si>
  <si>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</si>
  <si>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</si>
  <si>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</si>
  <si>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</si>
  <si>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</si>
  <si>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</si>
  <si>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</si>
  <si>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</si>
  <si>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</si>
  <si>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</si>
  <si>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</si>
  <si>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</si>
  <si>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</si>
  <si>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</si>
  <si>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</si>
  <si>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</si>
  <si>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</si>
  <si>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</si>
  <si>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</si>
  <si>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</si>
  <si>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</si>
  <si>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</si>
  <si>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</si>
  <si>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</si>
  <si>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</si>
  <si>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</si>
  <si>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</si>
  <si>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</si>
  <si>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</si>
  <si>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</si>
  <si>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</si>
  <si>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</si>
  <si>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</si>
  <si>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</si>
  <si>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</si>
  <si>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</si>
  <si>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</si>
  <si>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</si>
  <si>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</si>
  <si>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</si>
  <si>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</si>
  <si>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</si>
  <si>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</si>
  <si>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</si>
  <si>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</si>
  <si>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</si>
  <si>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</si>
  <si>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</si>
  <si>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</si>
  <si>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</si>
  <si>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</si>
  <si>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</si>
  <si>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</si>
  <si>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</si>
  <si>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</si>
  <si>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</si>
  <si>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</si>
  <si>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</si>
  <si>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</si>
  <si>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</si>
  <si>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</si>
  <si>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</si>
  <si>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</si>
  <si>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</si>
  <si>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</si>
  <si>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</si>
  <si>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</si>
  <si>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</si>
  <si>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</si>
  <si>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</si>
  <si>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</si>
  <si>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</si>
  <si>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</si>
  <si>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</si>
  <si>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</si>
  <si>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</si>
  <si>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</si>
  <si>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</si>
  <si>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</si>
  <si>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</si>
  <si>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</si>
  <si>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</si>
  <si>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</si>
  <si>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</si>
  <si>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</si>
  <si>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</si>
  <si>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</si>
  <si>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</si>
  <si>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</si>
  <si>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</si>
  <si>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</si>
  <si>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</si>
  <si>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</si>
  <si>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</si>
  <si>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</si>
  <si>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</si>
  <si>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</si>
  <si>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</si>
  <si>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</si>
  <si>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</si>
  <si>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</si>
  <si>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</si>
  <si>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</si>
  <si>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</si>
  <si>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</si>
  <si>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</si>
  <si>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</si>
  <si>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</si>
  <si>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</si>
  <si>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</si>
  <si>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</si>
  <si>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</si>
  <si>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</si>
  <si>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</si>
  <si>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</si>
  <si>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</si>
  <si>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</si>
  <si>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</si>
  <si>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</si>
  <si>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</si>
  <si>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</si>
  <si>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</si>
  <si>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</si>
  <si>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</si>
  <si>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</si>
  <si>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</si>
  <si>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</si>
  <si>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</si>
  <si>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</si>
  <si>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</si>
  <si>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</si>
  <si>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</si>
  <si>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</si>
  <si>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</si>
  <si>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</si>
  <si>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</si>
  <si>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</si>
  <si>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</si>
  <si>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</si>
  <si>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</si>
  <si>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</si>
  <si>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</si>
  <si>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</si>
  <si>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</si>
  <si>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</si>
  <si>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</si>
  <si>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</si>
  <si>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</si>
  <si>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</si>
  <si>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</si>
  <si>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</si>
  <si>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</si>
  <si>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</si>
  <si>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</si>
  <si>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</si>
  <si>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</si>
  <si>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</si>
  <si>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</si>
  <si>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</si>
  <si>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</si>
  <si>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</si>
  <si>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</si>
  <si>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</si>
  <si>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</si>
  <si>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</si>
  <si>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</si>
  <si>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</si>
  <si>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</si>
  <si>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</si>
  <si>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</si>
  <si>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</si>
  <si>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</si>
  <si>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</si>
  <si>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</si>
  <si>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</si>
  <si>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</si>
  <si>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</si>
  <si>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</si>
  <si>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</si>
  <si>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</si>
  <si>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</si>
  <si>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</si>
  <si>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</si>
  <si>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</si>
  <si>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</si>
  <si>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</si>
  <si>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</si>
  <si>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</si>
  <si>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</si>
  <si>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</si>
  <si>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</si>
  <si>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</si>
  <si>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</si>
  <si>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</si>
  <si>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</si>
  <si>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</si>
  <si>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</si>
  <si>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</si>
  <si>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</si>
  <si>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</si>
  <si>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</si>
  <si>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</si>
  <si>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</si>
  <si>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</si>
  <si>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</si>
  <si>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</si>
  <si>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</si>
  <si>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</si>
  <si>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</si>
  <si>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</si>
  <si>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</si>
  <si>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</si>
  <si>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</si>
  <si>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</si>
  <si>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</si>
  <si>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</si>
  <si>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</si>
  <si>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</si>
  <si>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</si>
  <si>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</si>
  <si>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</si>
  <si>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</si>
  <si>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</si>
  <si>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</si>
  <si>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</si>
  <si>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</si>
  <si>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</si>
  <si>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</si>
  <si>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</si>
  <si>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</si>
  <si>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</si>
  <si>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</si>
  <si>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</si>
  <si>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</si>
  <si>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</si>
  <si>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</si>
  <si>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</si>
  <si>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</si>
  <si>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</si>
  <si>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</si>
  <si>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</si>
  <si>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</si>
  <si>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</si>
  <si>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</si>
  <si>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</si>
  <si>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</si>
  <si>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</si>
  <si>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</si>
  <si>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</si>
  <si>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</si>
  <si>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</si>
  <si>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</si>
  <si>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</si>
  <si>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</si>
  <si>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</si>
  <si>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</si>
  <si>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</si>
  <si>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</si>
  <si>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</si>
  <si>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</si>
  <si>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</si>
  <si>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</si>
  <si>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</si>
  <si>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</si>
  <si>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</si>
  <si>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</si>
  <si>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</si>
  <si>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</si>
  <si>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</si>
  <si>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</si>
  <si>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</si>
  <si>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</si>
  <si>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</si>
  <si>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</si>
  <si>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</si>
  <si>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</si>
  <si>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</si>
  <si>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</si>
  <si>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</si>
  <si>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</si>
  <si>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</si>
  <si>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</si>
  <si>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</si>
  <si>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</si>
  <si>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</si>
  <si>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</si>
  <si>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</si>
  <si>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</si>
  <si>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</si>
  <si>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</si>
  <si>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</si>
  <si>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</si>
  <si>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</si>
  <si>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</si>
  <si>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</si>
  <si>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</si>
  <si>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</si>
  <si>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</si>
  <si>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</si>
  <si>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</si>
  <si>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</si>
  <si>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</si>
  <si>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</si>
  <si>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</si>
  <si>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</si>
  <si>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</si>
  <si>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</si>
  <si>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</si>
  <si>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</si>
  <si>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</si>
  <si>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</si>
  <si>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</si>
  <si>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</si>
  <si>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</si>
  <si>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</si>
  <si>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</si>
  <si>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</si>
  <si>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</si>
  <si>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</si>
  <si>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</si>
  <si>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</si>
  <si>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</si>
  <si>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</si>
  <si>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</si>
  <si>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</si>
  <si>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</si>
  <si>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</si>
  <si>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</si>
  <si>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</si>
  <si>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</si>
  <si>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</si>
  <si>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</si>
  <si>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</si>
  <si>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</si>
  <si>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</si>
  <si>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</si>
  <si>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</si>
  <si>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</si>
  <si>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</si>
  <si>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</si>
  <si>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</si>
  <si>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</si>
  <si>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</si>
  <si>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</si>
  <si>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</si>
  <si>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</si>
  <si>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</si>
  <si>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</si>
  <si>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</si>
  <si>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</si>
  <si>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</si>
  <si>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</si>
  <si>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</si>
  <si>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</si>
  <si>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</si>
  <si>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</si>
  <si>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</si>
  <si>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</si>
  <si>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</si>
  <si>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</si>
  <si>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</si>
  <si>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</si>
  <si>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</si>
  <si>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</si>
  <si>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</si>
  <si>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</si>
  <si>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</si>
  <si>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</si>
  <si>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</si>
  <si>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</si>
  <si>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</si>
  <si>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</si>
  <si>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</si>
  <si>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</si>
  <si>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</si>
  <si>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</si>
  <si>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</si>
  <si>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</si>
  <si>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</si>
  <si>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</si>
  <si>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</si>
  <si>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</si>
  <si>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</si>
  <si>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</si>
  <si>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</si>
  <si>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</si>
  <si>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</si>
  <si>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</si>
  <si>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</si>
  <si>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</si>
  <si>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</si>
  <si>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</si>
  <si>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</si>
  <si>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</si>
  <si>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</si>
  <si>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</si>
  <si>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</si>
  <si>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</si>
  <si>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</si>
  <si>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</si>
  <si>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</si>
  <si>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</si>
  <si>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</si>
  <si>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</si>
  <si>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</si>
  <si>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</si>
  <si>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</si>
  <si>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</si>
  <si>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</si>
  <si>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</si>
  <si>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</si>
  <si>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</si>
  <si>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</si>
  <si>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</si>
  <si>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</si>
  <si>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</si>
  <si>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</si>
  <si>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</si>
  <si>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</si>
  <si>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</si>
  <si>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</si>
  <si>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</si>
  <si>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</si>
  <si>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</si>
  <si>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</si>
  <si>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</si>
  <si>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</si>
  <si>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</si>
  <si>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</si>
  <si>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</si>
  <si>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</si>
  <si>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</si>
  <si>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</si>
  <si>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</si>
  <si>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</si>
  <si>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</si>
  <si>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</si>
  <si>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</si>
  <si>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</si>
  <si>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</si>
  <si>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</si>
  <si>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</si>
  <si>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</si>
  <si>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</si>
  <si>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</si>
  <si>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</si>
  <si>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</si>
  <si>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</si>
  <si>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</si>
  <si>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</si>
  <si>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</si>
  <si>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</si>
  <si>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</si>
  <si>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</si>
  <si>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</si>
  <si>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</si>
  <si>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</si>
  <si>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</si>
  <si>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</si>
  <si>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</si>
  <si>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</si>
  <si>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</si>
  <si>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</si>
  <si>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</si>
  <si>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</si>
  <si>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</si>
  <si>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</si>
  <si>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</si>
  <si>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</si>
  <si>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</si>
  <si>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</si>
  <si>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</si>
  <si>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</si>
  <si>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</si>
  <si>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</si>
  <si>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</si>
  <si>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</si>
  <si>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</si>
  <si>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</si>
  <si>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</si>
  <si>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</si>
  <si>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</si>
  <si>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</si>
  <si>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</si>
  <si>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</si>
  <si>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</si>
  <si>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</si>
  <si>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</si>
  <si>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</si>
  <si>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</si>
  <si>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</si>
  <si>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</si>
  <si>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</si>
  <si>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</si>
  <si>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</si>
  <si>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</si>
  <si>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</si>
  <si>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</si>
  <si>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</si>
  <si>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</si>
  <si>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</si>
  <si>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</si>
  <si>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</si>
  <si>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</si>
  <si>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</si>
  <si>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</si>
  <si>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</si>
  <si>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</si>
  <si>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</si>
  <si>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</si>
  <si>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</si>
  <si>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</si>
  <si>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</si>
  <si>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</si>
  <si>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</si>
  <si>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</si>
  <si>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</si>
  <si>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</si>
  <si>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</si>
  <si>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</si>
  <si>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</si>
  <si>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</si>
  <si>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</si>
  <si>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</si>
  <si>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</si>
  <si>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</si>
  <si>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</si>
  <si>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</si>
  <si>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</si>
  <si>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</si>
  <si>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</si>
  <si>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</si>
  <si>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</si>
  <si>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</si>
  <si>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</si>
  <si>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</si>
  <si>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</si>
  <si>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</si>
  <si>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</si>
  <si>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</si>
  <si>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</si>
  <si>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</si>
  <si>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</si>
  <si>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</si>
  <si>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</si>
  <si>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</si>
  <si>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</si>
  <si>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</si>
  <si>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</si>
  <si>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</si>
  <si>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</si>
  <si>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</si>
  <si>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</si>
  <si>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</si>
  <si>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</si>
  <si>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</si>
  <si>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</si>
  <si>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</si>
  <si>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</si>
  <si>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</si>
  <si>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</si>
  <si>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</si>
  <si>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</si>
  <si>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</si>
  <si>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</si>
  <si>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</si>
  <si>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</si>
  <si>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</si>
  <si>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</si>
  <si>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</si>
  <si>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</si>
  <si>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</si>
  <si>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</si>
  <si>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</si>
  <si>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</si>
  <si>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</si>
  <si>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</si>
  <si>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</si>
  <si>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</si>
  <si>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</si>
  <si>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</si>
  <si>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</si>
  <si>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</si>
  <si>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</si>
  <si>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</si>
  <si>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</si>
  <si>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</si>
  <si>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</si>
  <si>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</si>
  <si>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</si>
  <si>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</si>
  <si>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</si>
  <si>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</si>
  <si>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</si>
  <si>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</si>
  <si>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</si>
  <si>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</si>
  <si>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</si>
  <si>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</si>
  <si>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</si>
  <si>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</si>
  <si>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</si>
  <si>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</si>
  <si>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</si>
  <si>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</si>
  <si>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</si>
  <si>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</si>
  <si>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</si>
  <si>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</si>
  <si>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</si>
  <si>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</si>
  <si>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</si>
  <si>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</si>
  <si>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</si>
  <si>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</si>
  <si>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</si>
  <si>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</si>
  <si>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</si>
  <si>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</si>
  <si>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</si>
  <si>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</si>
  <si>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</si>
  <si>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</si>
  <si>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</si>
  <si>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</si>
  <si>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</si>
  <si>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</si>
  <si>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</si>
  <si>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</si>
  <si>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</si>
  <si>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</si>
  <si>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</si>
  <si>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</si>
  <si>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</si>
  <si>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</si>
  <si>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</si>
  <si>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</si>
  <si>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</si>
  <si>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</si>
  <si>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</si>
  <si>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</si>
  <si>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</si>
  <si>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</si>
  <si>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</si>
  <si>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</si>
  <si>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</si>
  <si>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</si>
  <si>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</si>
  <si>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</si>
  <si>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</si>
  <si>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</si>
  <si>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</si>
  <si>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</si>
  <si>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</si>
  <si>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</si>
  <si>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</si>
  <si>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</si>
  <si>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</si>
  <si>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</si>
  <si>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</si>
  <si>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</si>
  <si>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</si>
  <si>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</si>
  <si>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</si>
  <si>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</si>
  <si>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</si>
  <si>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</si>
  <si>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</si>
  <si>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</si>
  <si>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</si>
  <si>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</si>
  <si>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</si>
  <si>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</si>
  <si>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</si>
  <si>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</si>
  <si>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</si>
  <si>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</si>
  <si>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</si>
  <si>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</si>
  <si>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</si>
  <si>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</si>
  <si>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</si>
  <si>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</si>
  <si>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</si>
  <si>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</si>
  <si>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</si>
  <si>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</si>
  <si>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</si>
  <si>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</si>
  <si>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</si>
  <si>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</si>
  <si>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</si>
  <si>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</si>
  <si>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</si>
  <si>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</si>
  <si>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</si>
  <si>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</si>
  <si>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</si>
  <si>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</si>
  <si>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</si>
  <si>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</si>
  <si>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</si>
  <si>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</si>
  <si>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</si>
  <si>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</si>
  <si>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</si>
  <si>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</si>
  <si>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</si>
  <si>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</si>
  <si>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</si>
  <si>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</si>
  <si>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</si>
  <si>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</si>
  <si>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</si>
  <si>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</si>
  <si>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</si>
  <si>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</si>
  <si>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</si>
  <si>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</si>
  <si>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</si>
  <si>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</si>
  <si>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</si>
  <si>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</si>
  <si>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</si>
  <si>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</si>
  <si>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</si>
  <si>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</si>
  <si>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</si>
  <si>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</si>
  <si>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</si>
  <si>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</si>
  <si>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</si>
  <si>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</si>
  <si>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</si>
  <si>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</si>
  <si>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</si>
  <si>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</si>
  <si>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</si>
  <si>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</si>
  <si>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</si>
  <si>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</si>
  <si>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</si>
  <si>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</si>
  <si>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</si>
  <si>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</si>
  <si>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</si>
  <si>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</si>
  <si>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</si>
  <si>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</si>
  <si>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</si>
  <si>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</si>
  <si>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</si>
  <si>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</si>
  <si>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</si>
  <si>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</si>
  <si>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</si>
  <si>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</si>
  <si>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</si>
  <si>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</si>
  <si>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</si>
  <si>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</si>
  <si>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</si>
  <si>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</si>
  <si>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</si>
  <si>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</si>
  <si>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</si>
  <si>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</si>
  <si>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</si>
  <si>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</si>
  <si>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</si>
  <si>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</si>
  <si>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</si>
  <si>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</si>
  <si>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</si>
  <si>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</si>
  <si>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</si>
  <si>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</si>
  <si>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</si>
  <si>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</si>
  <si>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</si>
  <si>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</si>
  <si>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</si>
  <si>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</si>
  <si>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</si>
  <si>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</si>
  <si>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</si>
  <si>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</si>
  <si>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</si>
  <si>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</si>
  <si>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</si>
  <si>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</si>
  <si>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</si>
  <si>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</si>
  <si>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</si>
  <si>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</si>
  <si>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</si>
  <si>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</si>
  <si>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</si>
  <si>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</si>
  <si>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</si>
  <si>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</si>
  <si>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</si>
  <si>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</si>
  <si>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</si>
  <si>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</si>
  <si>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</si>
  <si>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</si>
  <si>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</si>
  <si>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</si>
  <si>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</si>
  <si>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</si>
  <si>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</si>
  <si>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</si>
  <si>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</si>
  <si>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</si>
  <si>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</si>
  <si>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</si>
  <si>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</si>
  <si>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</si>
  <si>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</si>
  <si>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</si>
  <si>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</si>
  <si>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</si>
  <si>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</si>
  <si>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</si>
  <si>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</si>
  <si>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</si>
  <si>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</si>
  <si>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</si>
  <si>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</si>
  <si>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</si>
  <si>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</si>
  <si>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</si>
  <si>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</si>
  <si>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</si>
  <si>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</si>
  <si>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</si>
  <si>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</si>
  <si>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</si>
  <si>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</si>
  <si>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</si>
  <si>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</si>
  <si>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</si>
  <si>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</si>
  <si>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</si>
  <si>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</si>
  <si>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</si>
  <si>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</si>
  <si>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</si>
  <si>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</si>
  <si>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</si>
  <si>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</si>
  <si>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</si>
  <si>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</si>
  <si>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</si>
  <si>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</si>
  <si>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</si>
  <si>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</si>
  <si>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</si>
  <si>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</si>
  <si>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</si>
  <si>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</si>
  <si>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</si>
  <si>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</si>
  <si>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</si>
  <si>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</si>
  <si>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</si>
  <si>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</si>
  <si>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</si>
  <si>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</si>
  <si>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</si>
  <si>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</si>
  <si>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</si>
  <si>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</si>
  <si>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</si>
  <si>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</si>
  <si>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</si>
  <si>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</si>
  <si>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</si>
  <si>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</si>
  <si>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</si>
  <si>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</si>
  <si>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</si>
  <si>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</si>
  <si>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</si>
  <si>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</si>
  <si>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</si>
  <si>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</si>
  <si>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</si>
  <si>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</si>
  <si>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</si>
  <si>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</si>
  <si>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</si>
  <si>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</si>
  <si>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</si>
  <si>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</si>
  <si>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</si>
  <si>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</si>
  <si>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</si>
  <si>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</si>
  <si>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</si>
  <si>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</si>
  <si>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</si>
  <si>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</si>
  <si>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</si>
  <si>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</si>
  <si>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</si>
  <si>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</si>
  <si>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</si>
  <si>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</si>
  <si>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</si>
  <si>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</si>
  <si>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</si>
  <si>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</si>
  <si>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</si>
  <si>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</si>
  <si>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</si>
  <si>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</si>
  <si>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</si>
  <si>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</si>
  <si>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</si>
  <si>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</si>
  <si>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</si>
  <si>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</si>
  <si>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</si>
  <si>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</si>
  <si>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</si>
  <si>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</si>
  <si>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</si>
  <si>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</si>
  <si>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</si>
  <si>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</si>
  <si>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</si>
  <si>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</si>
  <si>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</si>
  <si>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</si>
  <si>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</si>
  <si>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</si>
  <si>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</si>
  <si>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</si>
  <si>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</si>
  <si>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</si>
  <si>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</si>
  <si>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</si>
  <si>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</si>
  <si>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</si>
  <si>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</si>
  <si>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</si>
  <si>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</si>
  <si>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</si>
  <si>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</si>
  <si>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</si>
  <si>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</si>
  <si>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</si>
  <si>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</si>
  <si>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</si>
  <si>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</si>
  <si>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</si>
  <si>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</si>
  <si>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</si>
  <si>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</si>
  <si>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</si>
  <si>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</si>
  <si>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</si>
  <si>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</si>
  <si>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</si>
  <si>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</si>
  <si>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</si>
  <si>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</si>
  <si>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</si>
  <si>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</si>
  <si>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</si>
  <si>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</si>
  <si>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</si>
  <si>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</si>
  <si>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</si>
  <si>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</si>
  <si>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</si>
  <si>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</si>
  <si>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</si>
  <si>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</si>
  <si>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</si>
  <si>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</si>
  <si>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</si>
  <si>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</si>
  <si>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</si>
  <si>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</si>
  <si>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</si>
  <si>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</si>
  <si>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</si>
  <si>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</si>
  <si>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</si>
  <si>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</si>
  <si>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</si>
  <si>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</si>
  <si>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</si>
  <si>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</si>
  <si>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</si>
  <si>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</si>
  <si>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</si>
  <si>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</si>
  <si>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</si>
  <si>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</si>
  <si>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</si>
  <si>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</si>
  <si>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</si>
  <si>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</si>
  <si>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</si>
  <si>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</si>
  <si>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</si>
  <si>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</si>
  <si>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</si>
  <si>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</si>
  <si>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</si>
  <si>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</si>
  <si>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</si>
  <si>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</si>
  <si>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</si>
  <si>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</si>
  <si>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</si>
  <si>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</si>
  <si>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</si>
  <si>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</si>
  <si>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</si>
  <si>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</si>
  <si>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</si>
  <si>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</si>
  <si>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</si>
  <si>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</si>
  <si>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</si>
  <si>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</si>
  <si>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</si>
  <si>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</si>
  <si>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</si>
  <si>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</si>
  <si>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</si>
  <si>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</si>
  <si>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</si>
  <si>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</si>
  <si>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</si>
  <si>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</si>
  <si>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</si>
  <si>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</si>
  <si>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</si>
  <si>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</si>
  <si>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</si>
  <si>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</si>
  <si>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</si>
  <si>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</si>
  <si>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</si>
  <si>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</si>
  <si>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</si>
  <si>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</si>
  <si>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</si>
  <si>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</si>
  <si>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</si>
  <si>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</si>
  <si>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</si>
  <si>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</si>
  <si>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</si>
  <si>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</si>
  <si>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</si>
  <si>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</si>
  <si>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</si>
  <si>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</si>
  <si>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</si>
  <si>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</si>
  <si>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</si>
  <si>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</si>
  <si>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</si>
  <si>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</si>
  <si>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</si>
  <si>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</si>
  <si>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</si>
  <si>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</si>
  <si>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</si>
  <si>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</si>
  <si>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</si>
  <si>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</si>
  <si>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</si>
  <si>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</si>
  <si>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</si>
  <si>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</si>
  <si>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</si>
  <si>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</si>
  <si>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</si>
  <si>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</si>
  <si>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</si>
  <si>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</si>
  <si>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</si>
  <si>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</si>
  <si>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</si>
  <si>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</si>
  <si>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</si>
  <si>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</si>
  <si>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</si>
  <si>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</si>
  <si>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</si>
  <si>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</si>
  <si>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</si>
  <si>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</si>
  <si>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</si>
  <si>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</si>
  <si>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</si>
  <si>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</si>
  <si>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</si>
  <si>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</si>
  <si>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</si>
  <si>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</si>
  <si>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</si>
  <si>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</si>
  <si>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</si>
  <si>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</si>
  <si>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</si>
  <si>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</si>
  <si>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</si>
  <si>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</si>
  <si>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</si>
  <si>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</si>
  <si>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</si>
  <si>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</si>
  <si>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</si>
  <si>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</si>
  <si>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</si>
  <si>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</si>
  <si>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</si>
  <si>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</si>
  <si>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</si>
  <si>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</si>
  <si>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</si>
  <si>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</si>
  <si>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</si>
  <si>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</si>
  <si>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</si>
  <si>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</si>
  <si>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</si>
  <si>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</si>
  <si>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</si>
  <si>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</si>
  <si>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</si>
  <si>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</si>
  <si>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</si>
  <si>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</si>
  <si>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</si>
  <si>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</si>
  <si>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</si>
  <si>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</si>
  <si>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</si>
  <si>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</si>
  <si>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</si>
  <si>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</si>
  <si>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</si>
  <si>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</si>
  <si>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</si>
  <si>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</si>
  <si>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</si>
  <si>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</si>
  <si>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</si>
  <si>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</si>
  <si>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</si>
  <si>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</si>
  <si>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</si>
  <si>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</si>
  <si>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</si>
  <si>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</si>
  <si>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</si>
  <si>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</si>
  <si>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</si>
  <si>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</si>
  <si>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</si>
  <si>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</si>
  <si>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</si>
  <si>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</si>
  <si>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</si>
  <si>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</si>
  <si>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</si>
  <si>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</si>
  <si>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</si>
  <si>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</si>
  <si>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</si>
  <si>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</si>
  <si>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</si>
  <si>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</si>
  <si>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</si>
  <si>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</si>
  <si>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</si>
  <si>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</si>
  <si>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</si>
  <si>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</si>
  <si>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</si>
  <si>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</si>
  <si>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</si>
  <si>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</si>
  <si>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</si>
  <si>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</si>
  <si>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</si>
  <si>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</si>
  <si>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</si>
  <si>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</si>
  <si>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</si>
  <si>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</si>
  <si>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</si>
  <si>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</si>
  <si>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</si>
  <si>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</si>
  <si>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</si>
  <si>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</si>
  <si>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</si>
  <si>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</si>
  <si>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</si>
  <si>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</si>
  <si>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</si>
  <si>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</si>
  <si>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</si>
  <si>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</si>
  <si>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</si>
  <si>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</si>
  <si>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</si>
  <si>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</si>
  <si>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</si>
  <si>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河东区广瑞西路与北十五经路交口东南侧</t>
  </si>
  <si>
    <t>天津市</t>
  </si>
  <si>
    <t>综合用地(含住宅)</t>
  </si>
  <si>
    <t>挂牌</t>
  </si>
  <si>
    <t>2017-01-12</t>
  </si>
  <si>
    <t>中建地产(天津)有限公司</t>
  </si>
  <si>
    <t>河东区东兴路与新阔路交口</t>
  </si>
  <si>
    <t>≤3.3</t>
  </si>
  <si>
    <t>2016-06-22</t>
  </si>
  <si>
    <t>中储发展股份有限公司</t>
  </si>
  <si>
    <t>河东区万东路与规划晨光道交口</t>
  </si>
  <si>
    <t>≤3.42</t>
  </si>
  <si>
    <t>2016-03-16</t>
  </si>
  <si>
    <t>天津万方东安房地产开发有限公司</t>
  </si>
  <si>
    <t>2016-03-10</t>
  </si>
  <si>
    <t>北京津辉置业有限公司</t>
  </si>
  <si>
    <t>河东区津滨大道与东兴立交桥交口东侧</t>
  </si>
  <si>
    <t>2015-07-31</t>
  </si>
  <si>
    <t>天津天房津滨新城投资有限公司</t>
  </si>
  <si>
    <t>≥1、≤3</t>
  </si>
  <si>
    <t>2015-03-25</t>
  </si>
  <si>
    <t>天津兴渤海建设发展有限公司</t>
  </si>
  <si>
    <t>河东区海河东路与快速路交口</t>
  </si>
  <si>
    <t>居住不大于2.0、中小学、幼儿园不大于0.6</t>
  </si>
  <si>
    <t>2013-11-29</t>
  </si>
  <si>
    <t>恒大地产集团天津有限公司</t>
  </si>
  <si>
    <t>河东区昆仑路西侧</t>
  </si>
  <si>
    <t>住宅用地</t>
  </si>
  <si>
    <t>2013-10-25</t>
  </si>
  <si>
    <t>天津融科投资有限公司</t>
  </si>
  <si>
    <t>河东区海河东路与昆仑路交口</t>
  </si>
  <si>
    <t>2013-09-11</t>
  </si>
  <si>
    <t>天津港威房地产开发有限公司</t>
  </si>
  <si>
    <t>河东区晨光路北侧</t>
  </si>
  <si>
    <t>2013-08-09</t>
  </si>
  <si>
    <t>天津渤化海晶建设发展有限公司</t>
  </si>
  <si>
    <t>出让</t>
  </si>
  <si>
    <t>商业</t>
  </si>
  <si>
    <t>地上</t>
  </si>
  <si>
    <t>平层住宅</t>
  </si>
  <si>
    <t>正常</t>
  </si>
  <si>
    <t>比较法-住宅、综合</t>
  </si>
  <si>
    <t>剩余法-待开发</t>
  </si>
  <si>
    <t>抵押</t>
  </si>
  <si>
    <t>其他：</t>
  </si>
  <si>
    <t>天津市</t>
    <phoneticPr fontId="6" type="noConversion"/>
  </si>
  <si>
    <t>河东区津滨大道与东兴立交桥交口东北侧（地块一）</t>
    <phoneticPr fontId="6" type="noConversion"/>
  </si>
  <si>
    <t>企业</t>
  </si>
  <si>
    <t>天津市天房天都房地产开发有限公司</t>
    <phoneticPr fontId="6" type="noConversion"/>
  </si>
  <si>
    <t>城镇住宅用地</t>
    <phoneticPr fontId="6" type="noConversion"/>
  </si>
  <si>
    <t>《不动产权证书》[]</t>
    <phoneticPr fontId="6" type="noConversion"/>
  </si>
  <si>
    <t>《总平图》</t>
    <phoneticPr fontId="6" type="noConversion"/>
  </si>
  <si>
    <t>《总平图》</t>
    <phoneticPr fontId="3" type="noConversion"/>
  </si>
  <si>
    <t>否</t>
  </si>
  <si>
    <t>底商</t>
  </si>
  <si>
    <t>底商</t>
    <phoneticPr fontId="7" type="noConversion"/>
  </si>
  <si>
    <t>高层住宅</t>
  </si>
  <si>
    <t>高层住宅</t>
    <phoneticPr fontId="7" type="noConversion"/>
  </si>
  <si>
    <t>不动产收益法</t>
  </si>
  <si>
    <t>钢混</t>
  </si>
  <si>
    <t>押一</t>
  </si>
  <si>
    <t>商业比例</t>
  </si>
  <si>
    <t>成交保障房面积(㎡)</t>
  </si>
  <si>
    <t>配建自住房情况</t>
  </si>
  <si>
    <t>东丽区程新道南侧、迭山路西侧</t>
  </si>
  <si>
    <t>不大于2.0</t>
  </si>
  <si>
    <t>2017-07-31</t>
  </si>
  <si>
    <t>金茂(武汉化资企业管理咨询有限公司)</t>
  </si>
  <si>
    <t>东丽区津滨大道与雪山路交口东北侧</t>
  </si>
  <si>
    <t>c1≤1.7;c2≤2.9</t>
  </si>
  <si>
    <t>C1用地内含商业服务网点建筑面积不小于900平方米;C2用地内含商业服务网点建筑面积不小于900平方米;</t>
  </si>
  <si>
    <t>2017-07-21</t>
  </si>
  <si>
    <t>金茂</t>
  </si>
  <si>
    <t>东丽区津滨大道与沙柳路交口西北侧</t>
  </si>
  <si>
    <t>a1≤2.5</t>
  </si>
  <si>
    <t>2017-03-28</t>
  </si>
  <si>
    <t>天津海景实业有限公司</t>
  </si>
  <si>
    <t>天津市东丽区东丽湖东丽大道以北、景福路以东</t>
  </si>
  <si>
    <t>商业/办公用地</t>
  </si>
  <si>
    <t>≤1.3</t>
  </si>
  <si>
    <t>2016-12-01</t>
  </si>
  <si>
    <t>深圳宝能合兴置业有限公司</t>
  </si>
  <si>
    <t>天津市东丽区东丽湖银桂道以南、景福路以东</t>
  </si>
  <si>
    <t>≤1.2</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</si>
  <si>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</si>
  <si>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</si>
  <si>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</si>
  <si>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</si>
  <si>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</si>
  <si>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</si>
  <si>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河西区梅林路与淇水道交口西北侧</t>
  </si>
  <si>
    <t>2016-07-13</t>
  </si>
  <si>
    <t>天津绿城全运村建设开发有限公司</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</si>
  <si>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</si>
  <si>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</si>
  <si>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</si>
  <si>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</si>
  <si>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</si>
  <si>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</si>
  <si>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</si>
  <si>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</si>
  <si>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t>河西区黑牛城道南侧</t>
  </si>
  <si>
    <t>≤1.78</t>
  </si>
  <si>
    <t>2015-10-22</t>
  </si>
  <si>
    <t>天津天地源置业投资有限公司</t>
  </si>
  <si>
    <t>河西区解放南路东侧</t>
  </si>
  <si>
    <t>≤1.07</t>
  </si>
  <si>
    <t>2015-10-21</t>
  </si>
  <si>
    <t>天津市环渤海汽车市场有限公司</t>
  </si>
  <si>
    <t>弘贯道以南、映春路以东</t>
  </si>
  <si>
    <t>≤1.68</t>
  </si>
  <si>
    <t>2015-06-25</t>
  </si>
  <si>
    <t>于振顺</t>
  </si>
  <si>
    <t>2015-06-12</t>
  </si>
  <si>
    <t>天津天房鼎信建设发展有限公司</t>
  </si>
  <si>
    <t>河西区台儿庄南路南侧</t>
  </si>
  <si>
    <t>居住、1.76中小学0.7</t>
  </si>
  <si>
    <t>2015-06-05</t>
  </si>
  <si>
    <t>天津天房投资有限公司</t>
  </si>
  <si>
    <t>2015-05-13</t>
  </si>
  <si>
    <t>天津渤海天易置业股份有限公司</t>
  </si>
  <si>
    <t>东丽区华明街映春路以北、弘泰道以西</t>
  </si>
  <si>
    <t>*大于或等于0.8并且小于或等于1.5</t>
  </si>
  <si>
    <t>2015-01-14</t>
  </si>
  <si>
    <t>天津鼎利津房房地产开发有限责任公司</t>
  </si>
  <si>
    <t>河西区林海路西侧</t>
  </si>
  <si>
    <t>不大于2.2</t>
  </si>
  <si>
    <t>2014-11-14</t>
  </si>
  <si>
    <t>绿城房地产集团有限公司</t>
  </si>
  <si>
    <t>河西区梅林路东侧</t>
  </si>
  <si>
    <t>2014-11-13</t>
  </si>
  <si>
    <t>东丽区军粮城示范镇兴业道以南、富贵路以东</t>
  </si>
  <si>
    <t>2014-08-21</t>
  </si>
  <si>
    <t>天津市滨丽万家置业有限公司</t>
  </si>
  <si>
    <t>河西区黑牛城道南侧、纯正路东侧</t>
  </si>
  <si>
    <t>招标</t>
  </si>
  <si>
    <t>居住用地2.5;中小学、幼儿园用地0.7</t>
  </si>
  <si>
    <t>2014-08-01</t>
  </si>
  <si>
    <t>天津市河西区宜居安居建设有限公司</t>
  </si>
  <si>
    <t>河西区黑牛城道与洞庭路交口西北侧</t>
  </si>
  <si>
    <t>居住用地3、商业金融业用地7.8</t>
  </si>
  <si>
    <t>37%</t>
  </si>
  <si>
    <t>2014-07-28</t>
  </si>
  <si>
    <t>天津房地产集团有限公司</t>
  </si>
  <si>
    <t>居住2.6、商业金融业5.2、幼儿园用地0.6</t>
  </si>
  <si>
    <t>2014-07-17</t>
  </si>
  <si>
    <t>天津中海海盛地产有限公司</t>
  </si>
  <si>
    <t>河西区黑牛城道与洪泽南路交口东南侧</t>
  </si>
  <si>
    <t>居住用地3.27、商业金融业用地7.4</t>
  </si>
  <si>
    <t>62%</t>
  </si>
  <si>
    <t>2014-07-09</t>
  </si>
  <si>
    <t>天津博雅置业有限公司</t>
  </si>
  <si>
    <t>居住用地3.4、商业金融业用地4.8</t>
  </si>
  <si>
    <t>2014-06-26</t>
  </si>
  <si>
    <t>天津渤海国有资产经营管理有限公司</t>
  </si>
  <si>
    <t>居住用地3.14、商业金融业用地7.02</t>
  </si>
  <si>
    <t>2014-06-05</t>
  </si>
  <si>
    <t>中海地产集团有限公司</t>
  </si>
  <si>
    <t>河西区黑牛城道北侧</t>
  </si>
  <si>
    <t>居住用地:2.78、商业金融业用地:7.11、幼儿园用地:0.83</t>
  </si>
  <si>
    <t>56%</t>
  </si>
  <si>
    <t>2014-05-28</t>
  </si>
  <si>
    <t>中冶置业集团有限公司</t>
  </si>
  <si>
    <t>小于或等于3.3</t>
  </si>
  <si>
    <t>2014-02-19</t>
  </si>
  <si>
    <t>农垦集团</t>
  </si>
  <si>
    <t>大于或等于1并且小于或等于2.3</t>
  </si>
  <si>
    <t>小于或等于1.8</t>
  </si>
  <si>
    <t>东丽区东丽湖以北</t>
  </si>
  <si>
    <t>2014-02-12</t>
  </si>
  <si>
    <t>天津市丽湖投资发展有限公司</t>
  </si>
  <si>
    <t>大于或等于1并且小于或等于1</t>
  </si>
  <si>
    <t>天津市北大资源置业有限公司</t>
  </si>
  <si>
    <t>大于或等于1并且小于或等于1.001</t>
  </si>
  <si>
    <t>东丽区无瑕街为民道以北,钢管三号路以西</t>
  </si>
  <si>
    <t>小于或等于1.7</t>
  </si>
  <si>
    <t>2014-01-17</t>
  </si>
  <si>
    <t>天津市银河大酒店有限公司</t>
  </si>
  <si>
    <t>河西区郁江道与规划彭泽道交口东南侧</t>
  </si>
  <si>
    <t>不大于6.8</t>
  </si>
  <si>
    <t>2013-10-18</t>
  </si>
  <si>
    <t>天津渤海恒源房地产开发股份有限公司</t>
  </si>
  <si>
    <t>东丽区满江东道以北、登州路以西</t>
  </si>
  <si>
    <t>居住用地103121平方米、中学用地11500平方米、小学用地9000平方米、幼儿园用地3000平方米</t>
  </si>
  <si>
    <t>2013-09-26</t>
  </si>
  <si>
    <t>天津住宅建设发展集团有限公司</t>
  </si>
  <si>
    <t>居住用地不大于2.2且不得小于1.0、科教用地建筑面积不大于3360平方米</t>
  </si>
  <si>
    <t>天津金侨城投资有限公司</t>
  </si>
  <si>
    <t>河西区洞庭路西侧</t>
  </si>
  <si>
    <t>不大于5.0</t>
  </si>
  <si>
    <t>2013-08-02</t>
  </si>
  <si>
    <t>天津花样年房地产开发有限公司</t>
  </si>
  <si>
    <t>城镇住宅:大于或等于1并且小于或等于2.3、科教:不大于0.8(不小于3000平方米)</t>
  </si>
  <si>
    <t>2013-05-16</t>
  </si>
  <si>
    <t>天津市房地产发展(集团)股份有限公司</t>
  </si>
  <si>
    <t>大于或等于1并且小于或等于2.7</t>
  </si>
  <si>
    <r>
      <rPr>
        <sz val="10"/>
        <rFont val="宋体"/>
        <family val="3"/>
        <charset val="134"/>
      </rPr>
      <t>成交地面价</t>
    </r>
    <phoneticPr fontId="233" type="noConversion"/>
  </si>
  <si>
    <t>河西区台儿庄南路与秋霞路交口</t>
    <phoneticPr fontId="233" type="noConversion"/>
  </si>
  <si>
    <r>
      <rPr>
        <sz val="10"/>
        <rFont val="宋体"/>
        <family val="3"/>
        <charset val="134"/>
      </rPr>
      <t>河西区珠江道</t>
    </r>
    <r>
      <rPr>
        <sz val="10"/>
        <rFont val="Arial"/>
        <family val="2"/>
      </rPr>
      <t>86</t>
    </r>
    <r>
      <rPr>
        <sz val="10"/>
        <rFont val="宋体"/>
        <family val="3"/>
        <charset val="134"/>
      </rPr>
      <t>号</t>
    </r>
    <phoneticPr fontId="233" type="noConversion"/>
  </si>
  <si>
    <t>住宅、商业</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</si>
  <si>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</si>
  <si>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</si>
  <si>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</si>
  <si>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商圈，周边商业氛围成熟，人流量大，商业繁华度较好</t>
    </r>
    <phoneticPr fontId="3" type="noConversion"/>
  </si>
  <si>
    <t>较好</t>
  </si>
  <si>
    <t>河东区六纬路西侧</t>
    <phoneticPr fontId="233" type="noConversion"/>
  </si>
  <si>
    <t>住宅、商业、科教</t>
    <phoneticPr fontId="26" type="noConversion"/>
  </si>
  <si>
    <t>好</t>
  </si>
  <si>
    <t>七通</t>
  </si>
  <si>
    <t>多面临街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</si>
  <si>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</si>
  <si>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</si>
  <si>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</si>
  <si>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</si>
  <si>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</si>
  <si>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</si>
  <si>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</si>
  <si>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</si>
  <si>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</si>
  <si>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</si>
  <si>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</si>
  <si>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</si>
  <si>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</si>
  <si>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</si>
  <si>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</si>
  <si>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</si>
  <si>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</si>
  <si>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</si>
  <si>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</si>
  <si>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</si>
  <si>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</si>
  <si>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</si>
  <si>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</si>
  <si>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</si>
  <si>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双面临街</t>
  </si>
  <si>
    <t>河东区大直沽西路与八纬路交口</t>
    <phoneticPr fontId="233" type="noConversion"/>
  </si>
  <si>
    <t>住宅</t>
    <phoneticPr fontId="21" type="noConversion"/>
  </si>
  <si>
    <t>60-70（含）</t>
  </si>
  <si>
    <t>低层</t>
    <phoneticPr fontId="21" type="noConversion"/>
  </si>
  <si>
    <t>多层</t>
    <phoneticPr fontId="21" type="noConversion"/>
  </si>
  <si>
    <t>小高层</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</si>
  <si>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</si>
  <si>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</si>
  <si>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</si>
  <si>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</si>
  <si>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</si>
  <si>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</si>
  <si>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低档</t>
    <phoneticPr fontId="21" type="noConversion"/>
  </si>
  <si>
    <t>精装修</t>
  </si>
  <si>
    <t>精装修</t>
    <phoneticPr fontId="21" type="noConversion"/>
  </si>
  <si>
    <t>专业</t>
  </si>
  <si>
    <t>专业</t>
    <phoneticPr fontId="21" type="noConversion"/>
  </si>
  <si>
    <t>普通</t>
    <phoneticPr fontId="21" type="noConversion"/>
  </si>
  <si>
    <t>七通</t>
    <phoneticPr fontId="21" type="noConversion"/>
  </si>
  <si>
    <t>六通</t>
    <phoneticPr fontId="21" type="noConversion"/>
  </si>
  <si>
    <t>简单装修</t>
    <phoneticPr fontId="21" type="noConversion"/>
  </si>
  <si>
    <t>普通装修</t>
    <phoneticPr fontId="21" type="noConversion"/>
  </si>
  <si>
    <t>毛坯</t>
  </si>
  <si>
    <t>毛坯</t>
    <phoneticPr fontId="21" type="noConversion"/>
  </si>
  <si>
    <t>翰澜苑</t>
    <phoneticPr fontId="3" type="noConversion"/>
  </si>
  <si>
    <t>售价</t>
  </si>
  <si>
    <r>
      <t>68.32</t>
    </r>
    <r>
      <rPr>
        <sz val="11"/>
        <color indexed="8"/>
        <rFont val="宋体"/>
        <family val="3"/>
        <charset val="134"/>
      </rPr>
      <t>、</t>
    </r>
    <r>
      <rPr>
        <sz val="11"/>
        <color indexed="8"/>
        <rFont val="Arial"/>
        <family val="2"/>
      </rPr>
      <t>38.29</t>
    </r>
    <phoneticPr fontId="26" type="noConversion"/>
  </si>
  <si>
    <t>地铁</t>
    <phoneticPr fontId="26" type="noConversion"/>
  </si>
  <si>
    <t>单面临街</t>
  </si>
  <si>
    <t>地块一</t>
    <phoneticPr fontId="233" type="noConversion"/>
  </si>
  <si>
    <t>地块二</t>
    <phoneticPr fontId="233" type="noConversion"/>
  </si>
  <si>
    <t>地块四</t>
    <phoneticPr fontId="233" type="noConversion"/>
  </si>
  <si>
    <t>地块五</t>
    <phoneticPr fontId="233" type="noConversion"/>
  </si>
  <si>
    <t>地块六</t>
    <phoneticPr fontId="233" type="noConversion"/>
  </si>
  <si>
    <t>用途</t>
    <phoneticPr fontId="233" type="noConversion"/>
  </si>
  <si>
    <t>容积率</t>
    <phoneticPr fontId="233" type="noConversion"/>
  </si>
  <si>
    <t>面积</t>
    <phoneticPr fontId="233" type="noConversion"/>
  </si>
  <si>
    <t>住宅、商业</t>
    <phoneticPr fontId="233" type="noConversion"/>
  </si>
  <si>
    <t>修正幅度</t>
    <phoneticPr fontId="233" type="noConversion"/>
  </si>
  <si>
    <t>形状</t>
    <phoneticPr fontId="233" type="noConversion"/>
  </si>
  <si>
    <t>规则</t>
    <phoneticPr fontId="233" type="noConversion"/>
  </si>
  <si>
    <t>较规则</t>
    <phoneticPr fontId="233" type="noConversion"/>
  </si>
  <si>
    <t>较不规则</t>
    <phoneticPr fontId="233" type="noConversion"/>
  </si>
  <si>
    <t>较不规则</t>
    <phoneticPr fontId="233" type="noConversion"/>
  </si>
  <si>
    <t>不规则</t>
    <phoneticPr fontId="233" type="noConversion"/>
  </si>
  <si>
    <t>地面单价</t>
    <phoneticPr fontId="233" type="noConversion"/>
  </si>
  <si>
    <t>楼面单价</t>
    <phoneticPr fontId="233" type="noConversion"/>
  </si>
  <si>
    <t>总价</t>
    <phoneticPr fontId="233" type="noConversion"/>
  </si>
  <si>
    <t>建筑面积</t>
    <phoneticPr fontId="233" type="noConversion"/>
  </si>
  <si>
    <t>地块七</t>
    <phoneticPr fontId="233" type="noConversion"/>
  </si>
  <si>
    <t>地块八</t>
    <phoneticPr fontId="233" type="noConversion"/>
  </si>
  <si>
    <t>用途</t>
    <phoneticPr fontId="233" type="noConversion"/>
  </si>
  <si>
    <t>容积率</t>
    <phoneticPr fontId="233" type="noConversion"/>
  </si>
  <si>
    <t>面积</t>
    <phoneticPr fontId="233" type="noConversion"/>
  </si>
  <si>
    <t>形状</t>
    <phoneticPr fontId="233" type="noConversion"/>
  </si>
  <si>
    <t>商业</t>
    <phoneticPr fontId="233" type="noConversion"/>
  </si>
  <si>
    <t>较不规则</t>
    <phoneticPr fontId="233" type="noConversion"/>
  </si>
  <si>
    <t>地面单价</t>
    <phoneticPr fontId="233" type="noConversion"/>
  </si>
  <si>
    <t>楼面单价</t>
    <phoneticPr fontId="233" type="noConversion"/>
  </si>
  <si>
    <t>建筑面积</t>
    <phoneticPr fontId="233" type="noConversion"/>
  </si>
  <si>
    <t>总价</t>
    <phoneticPr fontId="233" type="noConversion"/>
  </si>
  <si>
    <t>楼面地价</t>
  </si>
  <si>
    <t>红城</t>
    <phoneticPr fontId="3" type="noConversion"/>
  </si>
  <si>
    <t>富豪新开门</t>
    <phoneticPr fontId="3" type="noConversion"/>
  </si>
  <si>
    <t>开发完成后住宅价值</t>
    <phoneticPr fontId="233" type="noConversion"/>
  </si>
  <si>
    <t>开发完成后商业价值</t>
    <phoneticPr fontId="233" type="noConversion"/>
  </si>
  <si>
    <t>开发完成后酒店价值</t>
    <phoneticPr fontId="233" type="noConversion"/>
  </si>
  <si>
    <t>开发完成后办公价值</t>
    <phoneticPr fontId="233" type="noConversion"/>
  </si>
  <si>
    <t>地上楼面单价</t>
    <phoneticPr fontId="233" type="noConversion"/>
  </si>
  <si>
    <t>地上建筑面积</t>
    <phoneticPr fontId="233" type="noConversion"/>
  </si>
  <si>
    <t>地下建筑面积</t>
    <phoneticPr fontId="233" type="noConversion"/>
  </si>
  <si>
    <t>地上楼面单价</t>
    <phoneticPr fontId="233" type="noConversion"/>
  </si>
  <si>
    <t>地上建筑面积</t>
    <phoneticPr fontId="233" type="noConversion"/>
  </si>
  <si>
    <t>地下建筑面积</t>
    <phoneticPr fontId="233" type="noConversion"/>
  </si>
  <si>
    <t>地下</t>
  </si>
  <si>
    <t>车库</t>
  </si>
  <si>
    <t>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</si>
  <si>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</si>
  <si>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</si>
  <si>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</si>
  <si>
    <t>地上建筑面积</t>
    <phoneticPr fontId="233" type="noConversion"/>
  </si>
  <si>
    <t>地下建筑面积</t>
    <phoneticPr fontId="233" type="noConversion"/>
  </si>
  <si>
    <t xml:space="preserve">住宅 </t>
    <phoneticPr fontId="233" type="noConversion"/>
  </si>
  <si>
    <t>商业</t>
    <phoneticPr fontId="233" type="noConversion"/>
  </si>
  <si>
    <t>办公</t>
    <phoneticPr fontId="233" type="noConversion"/>
  </si>
  <si>
    <t>设备用房</t>
    <phoneticPr fontId="233" type="noConversion"/>
  </si>
  <si>
    <t>地下车库</t>
    <phoneticPr fontId="233" type="noConversion"/>
  </si>
  <si>
    <t>地块1</t>
    <phoneticPr fontId="233" type="noConversion"/>
  </si>
  <si>
    <t>地块2</t>
  </si>
  <si>
    <t>地块3</t>
  </si>
  <si>
    <t>地块2</t>
    <phoneticPr fontId="233" type="noConversion"/>
  </si>
  <si>
    <t>地块4</t>
  </si>
  <si>
    <t>地块6</t>
  </si>
  <si>
    <t>地块7</t>
  </si>
  <si>
    <t>地块4</t>
    <phoneticPr fontId="233" type="noConversion"/>
  </si>
  <si>
    <t>地块5</t>
    <phoneticPr fontId="233" type="noConversion"/>
  </si>
  <si>
    <t>地块5</t>
    <phoneticPr fontId="233" type="noConversion"/>
  </si>
  <si>
    <t>地块6</t>
    <phoneticPr fontId="233" type="noConversion"/>
  </si>
  <si>
    <t>地块7</t>
    <phoneticPr fontId="233" type="noConversion"/>
  </si>
  <si>
    <t>地块8</t>
    <phoneticPr fontId="233" type="noConversion"/>
  </si>
  <si>
    <t>合计</t>
    <phoneticPr fontId="233" type="noConversion"/>
  </si>
  <si>
    <t>地上合计</t>
    <phoneticPr fontId="233" type="noConversion"/>
  </si>
  <si>
    <t>地下合计</t>
    <phoneticPr fontId="233" type="noConversion"/>
  </si>
  <si>
    <t>总建筑面积</t>
    <phoneticPr fontId="233" type="noConversion"/>
  </si>
  <si>
    <t>.</t>
    <phoneticPr fontId="3" type="noConversion"/>
  </si>
  <si>
    <t>吴薇</t>
  </si>
  <si>
    <t>梁津</t>
  </si>
  <si>
    <t>地价款</t>
    <phoneticPr fontId="233" type="noConversion"/>
  </si>
  <si>
    <t>税</t>
    <phoneticPr fontId="233" type="noConversion"/>
  </si>
  <si>
    <t>票</t>
    <phoneticPr fontId="233" type="noConversion"/>
  </si>
  <si>
    <t>契税</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</si>
</sst>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27" fillId="0" borderId="0" xfId="15" applyFont="1"/>
    <xf numFmtId="0" fontId="86" fillId="6" borderId="0" xfId="15" applyFill="1"/>
    <xf numFmtId="0" fontId="0" fillId="6" borderId="0" xfId="0" applyFill="1">
      <alignment vertical="center"/>
    </xf>
    <xf numFmtId="0" fontId="86" fillId="9" borderId="0" xfId="15" applyFill="1"/>
    <xf numFmtId="0" fontId="86" fillId="0" borderId="0" xfId="15"/>
    <xf numFmtId="0" fontId="0" fillId="9" borderId="0" xfId="0" applyFill="1">
      <alignment vertical="center"/>
    </xf>
    <xf numFmtId="0" fontId="86" fillId="0" borderId="0" xfId="15" applyFill="1"/>
    <xf numFmtId="0" fontId="127" fillId="6" borderId="0" xfId="15" applyFont="1" applyFill="1"/>
    <xf numFmtId="0" fontId="144"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16" borderId="0" xfId="0" applyFill="1">
      <alignment vertical="center"/>
    </xf>
    <xf numFmtId="0" fontId="86" fillId="17" borderId="0" xfId="15" applyFill="1"/>
    <xf numFmtId="0" fontId="0" fillId="17" borderId="0" xfId="0" applyFill="1">
      <alignment vertical="center"/>
    </xf>
    <xf numFmtId="0" fontId="145" fillId="17" borderId="0" xfId="0" applyFont="1" applyFill="1">
      <alignment vertical="center"/>
    </xf>
    <xf numFmtId="0" fontId="145" fillId="16"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0" borderId="2" xfId="0" applyBorder="1">
      <alignment vertical="center"/>
    </xf>
    <xf numFmtId="0" fontId="145" fillId="0" borderId="2" xfId="0" applyFont="1" applyBorder="1">
      <alignment vertical="center"/>
    </xf>
    <xf numFmtId="0" fontId="0" fillId="6" borderId="2" xfId="0" applyFill="1" applyBorder="1">
      <alignment vertical="center"/>
    </xf>
    <xf numFmtId="0" fontId="0" fillId="9" borderId="2" xfId="0" applyFill="1" applyBorder="1">
      <alignment vertical="center"/>
    </xf>
    <xf numFmtId="0" fontId="145" fillId="0" borderId="2" xfId="0" applyFont="1" applyBorder="1" applyAlignment="1">
      <alignment horizontal="center" vertical="center"/>
    </xf>
    <xf numFmtId="49" fontId="76" fillId="5" borderId="0" xfId="0" applyNumberFormat="1" applyFont="1" applyFill="1" applyAlignment="1" applyProtection="1">
      <alignment vertical="center"/>
      <protection locked="0"/>
    </xf>
    <xf numFmtId="49" fontId="82" fillId="5" borderId="0" xfId="0" applyNumberFormat="1" applyFont="1" applyFill="1" applyAlignment="1" applyProtection="1">
      <alignment vertical="center"/>
      <protection locked="0"/>
    </xf>
    <xf numFmtId="177" fontId="0" fillId="0" borderId="0" xfId="0" applyNumberForma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74"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5" xfId="0" applyFont="1" applyBorder="1" applyAlignment="1">
      <alignment horizontal="center" vertical="center"/>
    </xf>
    <xf numFmtId="0" fontId="145" fillId="0" borderId="9"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20;&#22359;&#20108;xlsx.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2235;xlsx.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352;&#24535;&#32753;/1-&#27491;&#24335;&#24037;&#20316;&#25991;&#20214;/2017/&#38134;&#34892;&#32452;/C/&#22825;&#27941;&#22825;&#25151;/&#31532;&#19968;&#29256;/&#27979;&#31639;&#34920;-&#22320;&#22359;&#22235;xls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01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4102;&#36710;&#24211;&#35843;&#39640;&#27979;&#31639;&#34920;-&#22320;&#22359;&#2084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4102;&#36710;&#24211;&#35843;&#39640;&#27979;&#31639;&#34920;-&#22320;&#22359;&#1997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084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20;&#22359;&#22235;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20;&#22359;&#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20;&#22359;&#20845;&#65288;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102;&#36710;&#24211;&#35843;&#39640;&#27979;&#31639;&#34920;-&#22320;&#22359;&#1997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2320;&#22359;&#2084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0&#20159;&#24102;&#36710;&#24211;&#35843;&#39640;&#27979;&#31639;&#34920;-&#22320;&#22359;&#2084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0&#20159;&#24102;&#36710;&#24211;&#35843;&#39640;&#27979;&#31639;&#34920;-&#22320;&#22359;&#1997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352;&#24535;&#32753;/1-&#27491;&#24335;&#24037;&#20316;&#25991;&#20214;/2017/&#35810;&#20215;/&#22825;&#27941;&#34701;&#21019;/&#27979;&#31639;&#34920;-&#22320;&#22359;&#20108;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17805.7</v>
          </cell>
        </row>
      </sheetData>
      <sheetData sheetId="11"/>
      <sheetData sheetId="12">
        <row r="3">
          <cell r="E3">
            <v>66014</v>
          </cell>
        </row>
        <row r="31">
          <cell r="F31">
            <v>44514</v>
          </cell>
          <cell r="G31">
            <v>21500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37427.75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13">
          <cell r="K13">
            <v>6820</v>
          </cell>
        </row>
      </sheetData>
      <sheetData sheetId="11"/>
      <sheetData sheetId="12">
        <row r="29">
          <cell r="F29">
            <v>1530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41417.25</v>
          </cell>
        </row>
        <row r="20">
          <cell r="F20">
            <v>3200</v>
          </cell>
        </row>
        <row r="30">
          <cell r="F30">
            <v>382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修正表"/>
      <sheetName val="修正表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56370</v>
          </cell>
        </row>
        <row r="20">
          <cell r="F20">
            <v>24860</v>
          </cell>
        </row>
        <row r="21">
          <cell r="F21">
            <v>34500</v>
          </cell>
        </row>
        <row r="22">
          <cell r="G22">
            <v>63760</v>
          </cell>
        </row>
        <row r="30">
          <cell r="F30">
            <v>1910</v>
          </cell>
          <cell r="G30">
            <v>19690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10150</v>
          </cell>
        </row>
        <row r="20">
          <cell r="F20">
            <v>21580</v>
          </cell>
        </row>
        <row r="21">
          <cell r="F21">
            <v>62550</v>
          </cell>
        </row>
        <row r="22">
          <cell r="G22">
            <v>21400</v>
          </cell>
        </row>
        <row r="30">
          <cell r="F30">
            <v>3020</v>
          </cell>
          <cell r="G30">
            <v>13750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F20">
            <v>1420</v>
          </cell>
        </row>
        <row r="30">
          <cell r="F30">
            <v>180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18311.3</v>
          </cell>
        </row>
      </sheetData>
      <sheetData sheetId="11"/>
      <sheetData sheetId="12">
        <row r="3">
          <cell r="E3">
            <v>67277.75</v>
          </cell>
        </row>
        <row r="31">
          <cell r="F31">
            <v>45777.75</v>
          </cell>
          <cell r="G31">
            <v>21500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A3">
            <v>18032</v>
          </cell>
        </row>
      </sheetData>
      <sheetData sheetId="11" refreshError="1"/>
      <sheetData sheetId="12">
        <row r="3">
          <cell r="D3">
            <v>18032</v>
          </cell>
          <cell r="E3">
            <v>66999.25</v>
          </cell>
        </row>
        <row r="31">
          <cell r="F31">
            <v>44999.25</v>
          </cell>
          <cell r="G31">
            <v>22000</v>
          </cell>
        </row>
      </sheetData>
      <sheetData sheetId="13" refreshError="1"/>
      <sheetData sheetId="14" refreshError="1"/>
      <sheetData sheetId="15" refreshError="1"/>
      <sheetData sheetId="16">
        <row r="19">
          <cell r="G19">
            <v>78422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商业"/>
      <sheetName val="酒店收入计算"/>
      <sheetName val="成本逼近法"/>
      <sheetName val="不动产收益法-办公"/>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30950.2</v>
          </cell>
        </row>
      </sheetData>
      <sheetData sheetId="11" refreshError="1"/>
      <sheetData sheetId="12">
        <row r="3">
          <cell r="E3">
            <v>201090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14043.6</v>
          </cell>
        </row>
      </sheetData>
      <sheetData sheetId="11" refreshError="1"/>
      <sheetData sheetId="12">
        <row r="3">
          <cell r="E3">
            <v>132450</v>
          </cell>
        </row>
        <row r="31">
          <cell r="F31">
            <v>97300</v>
          </cell>
          <cell r="G31">
            <v>35150</v>
          </cell>
        </row>
      </sheetData>
      <sheetData sheetId="13" refreshError="1"/>
      <sheetData sheetId="14" refreshError="1"/>
      <sheetData sheetId="15" refreshError="1"/>
      <sheetData sheetId="16">
        <row r="19">
          <cell r="G19">
            <v>226059</v>
          </cell>
        </row>
        <row r="33">
          <cell r="C33">
            <v>17067</v>
          </cell>
        </row>
        <row r="34">
          <cell r="C34">
            <v>160969</v>
          </cell>
        </row>
      </sheetData>
      <sheetData sheetId="17">
        <row r="8">
          <cell r="C8">
            <v>40420</v>
          </cell>
          <cell r="D8">
            <v>38352</v>
          </cell>
          <cell r="E8">
            <v>41312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3842.1</v>
          </cell>
        </row>
      </sheetData>
      <sheetData sheetId="11"/>
      <sheetData sheetId="12">
        <row r="3">
          <cell r="E3">
            <v>1600</v>
          </cell>
        </row>
        <row r="31">
          <cell r="F31">
            <v>1600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修正表"/>
      <sheetName val="修正表 (2)"/>
    </sheetNames>
    <sheetDataSet>
      <sheetData sheetId="0"/>
      <sheetData sheetId="1"/>
      <sheetData sheetId="2"/>
      <sheetData sheetId="3"/>
      <sheetData sheetId="4"/>
      <sheetData sheetId="5"/>
      <sheetData sheetId="6"/>
      <sheetData sheetId="7"/>
      <sheetData sheetId="8"/>
      <sheetData sheetId="9"/>
      <sheetData sheetId="10">
        <row r="3">
          <cell r="A3">
            <v>30950.2</v>
          </cell>
        </row>
      </sheetData>
      <sheetData sheetId="11"/>
      <sheetData sheetId="12">
        <row r="3">
          <cell r="E3">
            <v>201090</v>
          </cell>
        </row>
        <row r="31">
          <cell r="F31">
            <v>117640</v>
          </cell>
          <cell r="G31">
            <v>83450</v>
          </cell>
        </row>
      </sheetData>
      <sheetData sheetId="13"/>
      <sheetData sheetId="14"/>
      <sheetData sheetId="15"/>
      <sheetData sheetId="16">
        <row r="19">
          <cell r="G19">
            <v>314306</v>
          </cell>
        </row>
        <row r="33">
          <cell r="C33">
            <v>15630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酒店）"/>
      <sheetName val="不动产收益法（商业）"/>
      <sheetName val="不动产收益法（办公）"/>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222750</v>
          </cell>
        </row>
        <row r="33">
          <cell r="C33">
            <v>16818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row r="3">
          <cell r="A3">
            <v>17805.7</v>
          </cell>
        </row>
      </sheetData>
      <sheetData sheetId="11"/>
      <sheetData sheetId="12">
        <row r="3">
          <cell r="E3">
            <v>66014</v>
          </cell>
        </row>
        <row r="19">
          <cell r="F19">
            <v>37104</v>
          </cell>
        </row>
        <row r="20">
          <cell r="F20">
            <v>7070</v>
          </cell>
        </row>
        <row r="29">
          <cell r="F29">
            <v>340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天津市河东区津滨大道与东兴立交桥交口东北侧（地块一）出让国有建设用地使用权预评估</v>
      </c>
      <c r="AX2" s="2936"/>
      <c r="AZ2" s="2936"/>
      <c r="BA2" s="2937"/>
      <c r="BC2" s="2937"/>
    </row>
    <row r="3" spans="1:55" s="2938" customFormat="1">
      <c r="A3" s="2917" t="s">
        <v>2676</v>
      </c>
      <c r="B3" s="2920">
        <f>'预评函-封皮'!B40</f>
        <v>0</v>
      </c>
    </row>
    <row r="4" spans="1:55" s="2919" customFormat="1">
      <c r="A4" s="2917" t="s">
        <v>2677</v>
      </c>
      <c r="B4" s="2918" t="str">
        <f>'预评函-封皮'!B46</f>
        <v>吴薇、梁津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康正预评字号</v>
      </c>
    </row>
    <row r="6" spans="1:55" s="2941" customFormat="1" ht="15" thickTop="1">
      <c r="A6" s="2933" t="s">
        <v>2720</v>
      </c>
      <c r="B6" s="2934" t="str">
        <f>'预评函-1'!A4</f>
        <v>受贵公司委托，我公司对天津市河东区津滨大道与东兴立交桥交口东北侧（地块一）出让国有建设用地使用权进行了预评估。</v>
      </c>
      <c r="AM6" s="2942"/>
    </row>
    <row r="7" spans="1:55" s="2916" customFormat="1">
      <c r="A7" s="2917" t="s">
        <v>2672</v>
      </c>
      <c r="B7" s="2918" t="str">
        <f>'预评函-1'!A6</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72811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6" customFormat="1">
      <c r="A10" s="2917" t="s">
        <v>2674</v>
      </c>
      <c r="B10" s="2918" t="str">
        <f>'预评函-1'!A11</f>
        <v>2017年10月30日（评估专业人员勘察现场之日）</v>
      </c>
    </row>
    <row r="11" spans="1:55" s="2916" customFormat="1">
      <c r="A11" s="2917" t="s">
        <v>2680</v>
      </c>
      <c r="B11" s="2918" t="str">
        <f>'预评函-1'!A14</f>
        <v>根据《不动产权证书》[]，本次评估估价对象证载（地类）用途为城镇住宅用地。</v>
      </c>
    </row>
    <row r="12" spans="1:55" s="2916" customFormat="1">
      <c r="A12" s="2917" t="s">
        <v>2681</v>
      </c>
      <c r="B12" s="2918" t="str">
        <f>'预评函-1'!A15</f>
        <v>本次评估设定用途即为证载用途。</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根据《国有土地使用证》[]，估价对象（分摊）出让国有建设用地使用权面积为19564.6平方米。根据《总平图》，估价对象规划建筑面积为72811平方米。</v>
      </c>
    </row>
    <row r="16" spans="1:55" s="2916" customFormat="1">
      <c r="A16" s="2917" t="s">
        <v>2684</v>
      </c>
      <c r="B16" s="2918" t="str">
        <f>'预评函-1'!A22</f>
        <v>本次估价对象为出让国有建设用地使用权，依据《不动产权证书》[]、《总平图》，土地终止日期为住宅2085年12月15日、商业2055年12月15日地下车库2065年12月15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估价期日：2017年10月30日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城镇住宅用地</v>
      </c>
      <c r="AV32" s="2922"/>
    </row>
    <row r="33" spans="1:2">
      <c r="A33" s="2917" t="s">
        <v>2728</v>
      </c>
      <c r="B33" s="2918">
        <f>'预评函-2'!F5</f>
        <v>258</v>
      </c>
    </row>
    <row r="34" spans="1:2">
      <c r="A34" s="2917" t="s">
        <v>2729</v>
      </c>
      <c r="B34" s="2918">
        <f>'预评函-2'!G5</f>
        <v>0</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v>
      </c>
    </row>
    <row r="39" spans="1:2">
      <c r="A39" s="2917" t="s">
        <v>2734</v>
      </c>
      <c r="B39" s="2918" t="str">
        <f>'预评函-2'!L5</f>
        <v>红线外七通、宗地红线内场地</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19564.599999999999</v>
      </c>
    </row>
    <row r="44" spans="1:2">
      <c r="A44" s="2917" t="s">
        <v>2755</v>
      </c>
      <c r="B44" s="2918" t="str">
        <f>'预评函-2'!O3</f>
        <v>规划建筑面积/㎡</v>
      </c>
    </row>
    <row r="45" spans="1:2">
      <c r="A45" s="2917" t="s">
        <v>2737</v>
      </c>
      <c r="B45" s="2918">
        <f>'预评函-2'!O5</f>
        <v>72811</v>
      </c>
    </row>
    <row r="46" spans="1:2">
      <c r="A46" s="2917" t="s">
        <v>2738</v>
      </c>
      <c r="B46" s="2918">
        <f ca="1">'预评函-2'!P5</f>
        <v>66358</v>
      </c>
    </row>
    <row r="47" spans="1:2">
      <c r="A47" s="2917" t="s">
        <v>2739</v>
      </c>
      <c r="B47" s="2918">
        <f ca="1">'预评函-2'!Q5</f>
        <v>17831</v>
      </c>
    </row>
    <row r="48" spans="1:2">
      <c r="A48" s="2917" t="s">
        <v>2740</v>
      </c>
      <c r="B48" s="2918">
        <f ca="1">'预评函-2'!R5</f>
        <v>129827</v>
      </c>
    </row>
    <row r="49" spans="1:2">
      <c r="A49" s="2917" t="s">
        <v>2756</v>
      </c>
      <c r="B49" s="2918" t="str">
        <f>'预评函-2'!A6</f>
        <v>抵押价格</v>
      </c>
    </row>
    <row r="50" spans="1:2">
      <c r="A50" s="2917" t="s">
        <v>2741</v>
      </c>
      <c r="B50" s="2918">
        <f ca="1">'预评函-2'!R6</f>
        <v>129827</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1.权利限制：根据估价对象《不动产权证书》复印件、，截至估价期日，估价对象抵押权未见登记。未设定租赁等其他他项权利。</v>
      </c>
    </row>
    <row r="56" spans="1:2">
      <c r="A56" s="2917" t="s">
        <v>2694</v>
      </c>
      <c r="B56" s="2918" t="str">
        <f>'预评函-3'!A3</f>
        <v>2.基础设施条件：估价对象实际开发程度为红线外七通、宗地红线内；本次评估设定开发程度为红线外七通、宗地红线内场地。</v>
      </c>
    </row>
    <row r="57" spans="1:2">
      <c r="A57" s="2917" t="s">
        <v>2695</v>
      </c>
      <c r="B57" s="2918" t="str">
        <f>'预评函-3'!A4</f>
        <v>3.估价规划限制条件：详见《总平图》。</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（1）根据估价对象《不动产权证书》复印件、，截至估价期日，估价对象抵押权未见登记。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吴薇</v>
      </c>
    </row>
    <row r="70" spans="1:2">
      <c r="A70" s="2917" t="s">
        <v>2705</v>
      </c>
      <c r="B70" s="2924">
        <f ca="1">'预评函-3'!B20</f>
        <v>2002110125</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110" zoomScaleNormal="100" zoomScaleSheetLayoutView="110" workbookViewId="0">
      <selection activeCell="D19" sqref="D19"/>
    </sheetView>
  </sheetViews>
  <sheetFormatPr defaultColWidth="10" defaultRowHeight="14.25"/>
  <cols>
    <col min="1" max="1" width="15.375" style="1696" customWidth="1"/>
    <col min="2" max="2" width="11.375" style="1696" customWidth="1"/>
    <col min="3" max="3" width="12.625" style="1696" customWidth="1"/>
    <col min="4" max="4" width="12.25"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12" t="str">
        <f>IF(B10="北京市","北京市",C10)&amp;F10&amp;B16&amp;"国有建设用地使用权"&amp;B9&amp;"预评估"</f>
        <v>天津市河东区津滨大道与东兴立交桥交口东北侧（地块一）出让国有建设用地使用权预评估</v>
      </c>
      <c r="C1" s="3213"/>
      <c r="D1" s="3213"/>
      <c r="E1" s="3213"/>
      <c r="F1" s="3213"/>
      <c r="G1" s="3213"/>
      <c r="H1" s="3213"/>
      <c r="I1" s="3214"/>
      <c r="J1" s="1699"/>
      <c r="K1" s="2490" t="str">
        <f>IF(B10="北京市","北京市",C10)&amp;F10&amp;B16&amp;"国有建设用地使用权"&amp;B9</f>
        <v>天津市河东区津滨大道与东兴立交桥交口东北侧（地块一）出让国有建设用地使用权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天津市河东区津滨大道与东兴立交桥交口东北侧（地块一）出让国有建设用地使用权</v>
      </c>
      <c r="L2" s="1728"/>
      <c r="M2" s="1728"/>
      <c r="N2" s="1699"/>
      <c r="O2" s="1700"/>
      <c r="P2" s="1699"/>
      <c r="Q2" s="1699"/>
      <c r="R2" s="1699"/>
      <c r="S2" s="1699"/>
      <c r="T2" s="1699"/>
      <c r="U2" s="1699"/>
    </row>
    <row r="3" spans="1:21">
      <c r="A3" s="1666" t="s">
        <v>1949</v>
      </c>
      <c r="B3" s="1667">
        <v>43038</v>
      </c>
      <c r="C3" s="1668" t="s">
        <v>2003</v>
      </c>
      <c r="D3" s="1667">
        <f>B3</f>
        <v>43038</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3308</v>
      </c>
      <c r="C4" s="1851">
        <f ca="1">SUMIF(土地估价师,B4,估价师及机构信息!E3:E24)</f>
        <v>2002110125</v>
      </c>
      <c r="D4" s="1848" t="s">
        <v>3309</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吴薇、梁津</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3011</v>
      </c>
      <c r="C8" s="1676"/>
      <c r="D8" s="3218" t="s">
        <v>1954</v>
      </c>
      <c r="E8" s="1849" t="s">
        <v>2004</v>
      </c>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219"/>
      <c r="E9" s="1679"/>
      <c r="F9" s="1752"/>
      <c r="G9" s="1747"/>
      <c r="H9" s="1747"/>
      <c r="I9" s="1748"/>
      <c r="J9" s="1699"/>
      <c r="K9" s="1779"/>
      <c r="L9" s="1728"/>
      <c r="M9" s="1728"/>
      <c r="N9" s="1699"/>
      <c r="O9" s="1700"/>
      <c r="P9" s="1699"/>
      <c r="Q9" s="1699"/>
      <c r="R9" s="1699"/>
      <c r="S9" s="1699"/>
      <c r="T9" s="1699"/>
      <c r="U9" s="1699"/>
    </row>
    <row r="10" spans="1:21" ht="15" thickTop="1">
      <c r="A10" s="1749" t="s">
        <v>2007</v>
      </c>
      <c r="B10" s="1724" t="s">
        <v>3012</v>
      </c>
      <c r="C10" s="1681" t="s">
        <v>3013</v>
      </c>
      <c r="D10" s="1672"/>
      <c r="E10" s="1682" t="s">
        <v>1956</v>
      </c>
      <c r="F10" s="1683" t="s">
        <v>3014</v>
      </c>
      <c r="G10" s="1750"/>
      <c r="H10" s="1751"/>
      <c r="I10" s="1672"/>
      <c r="J10" s="1699"/>
      <c r="K10" s="1779"/>
      <c r="L10" s="1728"/>
      <c r="M10" s="1728"/>
      <c r="N10" s="1699"/>
      <c r="O10" s="1700"/>
      <c r="P10" s="1699"/>
      <c r="Q10" s="1699"/>
      <c r="R10" s="1699"/>
      <c r="S10" s="1699"/>
      <c r="T10" s="1699"/>
      <c r="U10" s="1699"/>
    </row>
    <row r="11" spans="1:21" ht="42.75">
      <c r="A11" s="1702" t="s">
        <v>2008</v>
      </c>
      <c r="B11" s="1703" t="s">
        <v>3015</v>
      </c>
      <c r="C11" s="1684" t="s">
        <v>3016</v>
      </c>
      <c r="D11" s="1767"/>
      <c r="E11" s="1665"/>
      <c r="F11" s="1665"/>
      <c r="G11" s="1665"/>
      <c r="H11" s="1665"/>
      <c r="I11" s="1665"/>
      <c r="J11" s="1699"/>
      <c r="K11" s="1779"/>
      <c r="L11" s="1728"/>
      <c r="M11" s="1728"/>
      <c r="N11" s="1699"/>
      <c r="O11" s="1700"/>
      <c r="P11" s="1699"/>
      <c r="Q11" s="1699"/>
      <c r="R11" s="1699"/>
      <c r="S11" s="1699"/>
      <c r="T11" s="1699"/>
      <c r="U11" s="1699"/>
    </row>
    <row r="12" spans="1:21">
      <c r="A12" s="1790" t="s">
        <v>2066</v>
      </c>
      <c r="B12" s="3215" t="s">
        <v>3017</v>
      </c>
      <c r="C12" s="3216"/>
      <c r="D12" s="3217"/>
      <c r="E12" s="1704" t="s">
        <v>2069</v>
      </c>
      <c r="F12" s="3233" t="s">
        <v>3018</v>
      </c>
      <c r="G12" s="3234"/>
      <c r="H12" s="3234"/>
      <c r="I12" s="3235"/>
      <c r="J12" s="1699"/>
      <c r="K12" s="1779"/>
      <c r="L12" s="1728"/>
      <c r="M12" s="1728"/>
      <c r="N12" s="1699"/>
      <c r="O12" s="1700"/>
      <c r="P12" s="1699"/>
      <c r="Q12" s="1699"/>
      <c r="R12" s="1699"/>
      <c r="S12" s="1699"/>
      <c r="T12" s="1699"/>
      <c r="U12" s="1699"/>
    </row>
    <row r="13" spans="1:21">
      <c r="A13" s="1692" t="s">
        <v>2067</v>
      </c>
      <c r="B13" s="3215"/>
      <c r="C13" s="3216"/>
      <c r="D13" s="3217"/>
      <c r="E13" s="1704" t="s">
        <v>2069</v>
      </c>
      <c r="F13" s="3233" t="s">
        <v>3019</v>
      </c>
      <c r="G13" s="3234"/>
      <c r="H13" s="3234"/>
      <c r="I13" s="3235"/>
      <c r="J13" s="1699"/>
      <c r="K13" s="1779"/>
      <c r="L13" s="1728"/>
      <c r="M13" s="1728"/>
      <c r="N13" s="1699"/>
      <c r="O13" s="1700"/>
      <c r="P13" s="1699"/>
      <c r="Q13" s="1699"/>
      <c r="R13" s="1699"/>
      <c r="S13" s="1699"/>
      <c r="T13" s="1699"/>
      <c r="U13" s="1699"/>
    </row>
    <row r="14" spans="1:21">
      <c r="A14" s="1666" t="s">
        <v>2070</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42.75">
      <c r="A16" s="1685" t="s">
        <v>1957</v>
      </c>
      <c r="B16" s="1686" t="s">
        <v>3004</v>
      </c>
      <c r="C16" s="1704" t="s">
        <v>1958</v>
      </c>
      <c r="D16" s="2682" t="s">
        <v>1959</v>
      </c>
      <c r="E16" s="1727" t="s">
        <v>3005</v>
      </c>
      <c r="F16" s="1727" t="s">
        <v>1681</v>
      </c>
      <c r="G16" s="1727" t="s">
        <v>35</v>
      </c>
      <c r="H16" s="1727"/>
      <c r="I16" s="1691" t="s">
        <v>1964</v>
      </c>
      <c r="J16" s="1699"/>
      <c r="K16" s="2491" t="str">
        <f>IF(D17="","",D16&amp;TEXT(D17,"yyyy年m月d日;;"))</f>
        <v>住宅2085年12月15日</v>
      </c>
      <c r="L16" s="1704" t="str">
        <f>IF(OR(K16="",M16=""),"","、")</f>
        <v>、</v>
      </c>
      <c r="M16" s="2491" t="str">
        <f>IF(E17="","",E16&amp;TEXT(E17,"yyyy年m月d日;;"))</f>
        <v>商业2055年12月15日</v>
      </c>
      <c r="N16" s="1704" t="str">
        <f>IF(OR(M16="",O16=""),"","、")</f>
        <v/>
      </c>
      <c r="O16" s="2491" t="str">
        <f>IF(F17="","",F16&amp;TEXT(F17,"yyyy年m月d日;;"))</f>
        <v/>
      </c>
      <c r="P16" s="1704" t="str">
        <f>IF(OR(O16="",Q16=""),"","、")</f>
        <v/>
      </c>
      <c r="Q16" s="2491" t="str">
        <f>IF(G17="","",G16&amp;TEXT(G17,"yyyy年m月d日;;"))</f>
        <v>地下车库2065年12月15日</v>
      </c>
      <c r="R16" s="1704" t="str">
        <f>IF(OR(Q16="",S16=""),"","、")</f>
        <v/>
      </c>
      <c r="S16" s="2491" t="str">
        <f>IF(H17="","",H16&amp;TEXT(H17,"yyyy年m月d日;;"))</f>
        <v/>
      </c>
      <c r="T16" s="1704" t="str">
        <f>IF(OR(S16="",U16=""),"","、")</f>
        <v/>
      </c>
      <c r="U16" s="2491" t="str">
        <f>IF(I17="","",I16&amp;TEXT(I17,"yyyy年m月d日;;"))</f>
        <v/>
      </c>
    </row>
    <row r="17" spans="1:21">
      <c r="A17" s="1768"/>
      <c r="B17" s="1687"/>
      <c r="C17" s="1688" t="s">
        <v>1965</v>
      </c>
      <c r="D17" s="1705">
        <v>67921</v>
      </c>
      <c r="E17" s="1705">
        <v>56963</v>
      </c>
      <c r="F17" s="1705"/>
      <c r="G17" s="1705">
        <v>60616</v>
      </c>
      <c r="H17" s="1705"/>
      <c r="I17" s="1705"/>
      <c r="J17" s="1699"/>
      <c r="K17" s="2490" t="str">
        <f>CONCATENATE(K16,L16,M16,N16,O16,P16,Q16,R16,S16,T16,,U16)</f>
        <v>住宅2085年12月15日、商业2055年12月15日地下车库2065年12月15日</v>
      </c>
      <c r="L17" s="1728"/>
      <c r="M17" s="1728"/>
      <c r="N17" s="1699"/>
      <c r="O17" s="1700"/>
      <c r="P17" s="1699"/>
      <c r="Q17" s="1699"/>
      <c r="R17" s="1699"/>
      <c r="S17" s="1699"/>
      <c r="T17" s="1699"/>
      <c r="U17" s="1699"/>
    </row>
    <row r="18" spans="1:21">
      <c r="A18" s="1768"/>
      <c r="B18" s="1687"/>
      <c r="C18" s="1688" t="s">
        <v>1966</v>
      </c>
      <c r="D18" s="1689">
        <v>70</v>
      </c>
      <c r="E18" s="1689">
        <v>40</v>
      </c>
      <c r="F18" s="1689">
        <v>50</v>
      </c>
      <c r="G18" s="1689">
        <v>50</v>
      </c>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68.17</v>
      </c>
      <c r="E19" s="1690">
        <f>IF(B16="出让",IF(E17="","",ROUNDDOWN(MIN((E17-$D$3)/365,E18),2)),E18)</f>
        <v>38.15</v>
      </c>
      <c r="F19" s="1690" t="str">
        <f>IF(B16="出让",IF(F17="","",ROUNDDOWN(MIN((F17-$D$3)/365,F18),2)),F18)</f>
        <v/>
      </c>
      <c r="G19" s="1690">
        <f>IF(B16="出让",IF(G17="","",ROUNDDOWN(MIN((G17-$D$3)/365,G18),2)),G18)</f>
        <v>48.15</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2068</v>
      </c>
      <c r="D20" s="3230"/>
      <c r="E20" s="3231"/>
      <c r="F20" s="3231"/>
      <c r="G20" s="3231"/>
      <c r="H20" s="3231"/>
      <c r="I20" s="3232"/>
      <c r="J20" s="1699"/>
      <c r="K20" s="1779"/>
      <c r="L20" s="1728"/>
      <c r="M20" s="1728"/>
      <c r="N20" s="1699"/>
      <c r="O20" s="1700"/>
      <c r="P20" s="1699"/>
      <c r="Q20" s="1699"/>
      <c r="R20" s="1699"/>
      <c r="S20" s="1699"/>
      <c r="T20" s="1699"/>
      <c r="U20" s="1699"/>
    </row>
    <row r="21" spans="1:21">
      <c r="A21" s="1768" t="s">
        <v>1968</v>
      </c>
      <c r="B21" s="1769" t="s">
        <v>1969</v>
      </c>
      <c r="C21" s="1764">
        <f>'数据-汇总表'!E3</f>
        <v>72811</v>
      </c>
      <c r="D21" s="1765" t="s">
        <v>1970</v>
      </c>
      <c r="E21" s="3220" t="s">
        <v>3020</v>
      </c>
      <c r="F21" s="3221"/>
      <c r="G21" s="3221"/>
      <c r="H21" s="3221"/>
      <c r="I21" s="3222"/>
      <c r="J21" s="1699"/>
      <c r="K21" s="1779"/>
      <c r="L21" s="1728"/>
      <c r="M21" s="1728"/>
      <c r="N21" s="1699"/>
      <c r="O21" s="1700"/>
      <c r="P21" s="1699"/>
      <c r="Q21" s="1699"/>
      <c r="R21" s="1699"/>
      <c r="S21" s="1699"/>
      <c r="T21" s="1699"/>
      <c r="U21" s="1699"/>
    </row>
    <row r="22" spans="1:21">
      <c r="A22" s="2673" t="s">
        <v>955</v>
      </c>
      <c r="B22" s="1666" t="s">
        <v>1971</v>
      </c>
      <c r="C22" s="1691">
        <f>'数据-汇总表'!D3</f>
        <v>19564.599999999999</v>
      </c>
      <c r="D22" s="1692" t="s">
        <v>1970</v>
      </c>
      <c r="E22" s="3220" t="s">
        <v>2904</v>
      </c>
      <c r="F22" s="3221"/>
      <c r="G22" s="3221"/>
      <c r="H22" s="3221"/>
      <c r="I22" s="3222"/>
      <c r="J22" s="1699"/>
      <c r="K22" s="1779"/>
      <c r="L22" s="1728"/>
      <c r="M22" s="1728"/>
      <c r="N22" s="1699"/>
      <c r="O22" s="1700"/>
      <c r="P22" s="1699"/>
      <c r="Q22" s="1699"/>
      <c r="R22" s="1699"/>
      <c r="S22" s="1699"/>
      <c r="T22" s="1699"/>
      <c r="U22" s="1699"/>
    </row>
    <row r="23" spans="1:21" ht="43.5" thickBot="1">
      <c r="A23" s="1770" t="s">
        <v>1972</v>
      </c>
      <c r="B23" s="1706" t="s">
        <v>1973</v>
      </c>
      <c r="C23" s="1707" t="s">
        <v>3021</v>
      </c>
      <c r="D23" s="1708" t="s">
        <v>1974</v>
      </c>
      <c r="E23" s="1709" t="s">
        <v>955</v>
      </c>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23" t="s">
        <v>1976</v>
      </c>
      <c r="C24" s="3224"/>
      <c r="D24" s="3225" t="s">
        <v>1977</v>
      </c>
      <c r="E24" s="3226"/>
      <c r="F24" s="1713" t="s">
        <v>1978</v>
      </c>
      <c r="G24" s="1699"/>
      <c r="H24" s="1699"/>
      <c r="I24" s="1712"/>
      <c r="J24" s="1699"/>
      <c r="K24" s="3211" t="s">
        <v>1979</v>
      </c>
      <c r="L24" s="249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8"/>
      <c r="N24" s="1699"/>
      <c r="O24" s="1700"/>
      <c r="P24" s="1699"/>
      <c r="Q24" s="1699"/>
      <c r="R24" s="1699"/>
      <c r="S24" s="1699"/>
      <c r="T24" s="1699"/>
      <c r="U24" s="1699"/>
    </row>
    <row r="25" spans="1:21" ht="28.5">
      <c r="A25" s="1756"/>
      <c r="B25" s="1753" t="s">
        <v>2334</v>
      </c>
      <c r="C25" s="1714" t="s">
        <v>2335</v>
      </c>
      <c r="D25" s="1715"/>
      <c r="E25" s="1716" t="s">
        <v>955</v>
      </c>
      <c r="F25" s="1717"/>
      <c r="G25" s="1699"/>
      <c r="H25" s="1699"/>
      <c r="I25" s="1712"/>
      <c r="J25" s="1699"/>
      <c r="K25" s="3211"/>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211"/>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1980</v>
      </c>
      <c r="B27" s="1758" t="s">
        <v>1981</v>
      </c>
      <c r="C27" s="1718"/>
      <c r="D27" s="2687" t="s">
        <v>1981</v>
      </c>
      <c r="E27" s="1719"/>
      <c r="F27" s="1693"/>
      <c r="G27" s="1699"/>
      <c r="H27" s="1699"/>
      <c r="I27" s="1712"/>
      <c r="J27" s="1699"/>
      <c r="K27" s="1779"/>
      <c r="L27" s="1728"/>
      <c r="M27" s="1728"/>
      <c r="N27" s="1699"/>
      <c r="O27" s="1700"/>
      <c r="P27" s="1699"/>
      <c r="Q27" s="1699"/>
      <c r="R27" s="1699"/>
      <c r="S27" s="1699"/>
      <c r="T27" s="1699"/>
      <c r="U27" s="1699"/>
    </row>
    <row r="28" spans="1:21">
      <c r="A28" s="1761"/>
      <c r="B28" s="1758" t="s">
        <v>1982</v>
      </c>
      <c r="C28" s="1720"/>
      <c r="D28" s="2688" t="s">
        <v>1982</v>
      </c>
      <c r="E28" s="1721"/>
      <c r="F28" s="1693"/>
      <c r="G28" s="1699"/>
      <c r="H28" s="1699"/>
      <c r="I28" s="1712"/>
      <c r="J28" s="1699"/>
      <c r="K28" s="1779"/>
      <c r="L28" s="1728"/>
      <c r="M28" s="1728"/>
      <c r="N28" s="1699"/>
      <c r="O28" s="1700"/>
      <c r="P28" s="1699"/>
      <c r="Q28" s="1699"/>
      <c r="R28" s="1699"/>
      <c r="S28" s="1699"/>
      <c r="T28" s="1699"/>
      <c r="U28" s="1699"/>
    </row>
    <row r="29" spans="1:21">
      <c r="A29" s="1761"/>
      <c r="B29" s="1758" t="s">
        <v>1983</v>
      </c>
      <c r="C29" s="1720"/>
      <c r="D29" s="2688" t="s">
        <v>1983</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1984</v>
      </c>
      <c r="C30" s="1722"/>
      <c r="D30" s="2689" t="s">
        <v>1984</v>
      </c>
      <c r="E30" s="1723"/>
      <c r="F30" s="1694"/>
      <c r="G30" s="1747"/>
      <c r="H30" s="1747"/>
      <c r="I30" s="1748"/>
      <c r="J30" s="1699"/>
      <c r="K30" s="1779"/>
      <c r="L30" s="1728"/>
      <c r="M30" s="1728"/>
      <c r="N30" s="1699"/>
      <c r="O30" s="1700"/>
      <c r="P30" s="1699"/>
      <c r="Q30" s="1699"/>
      <c r="R30" s="1699"/>
      <c r="S30" s="1699"/>
      <c r="T30" s="1699"/>
      <c r="U30" s="1699"/>
    </row>
    <row r="31" spans="1:21" ht="15" thickTop="1">
      <c r="A31" s="3238" t="s">
        <v>2009</v>
      </c>
      <c r="B31" s="1769" t="s">
        <v>2010</v>
      </c>
      <c r="C31" s="3236"/>
      <c r="D31" s="3237"/>
      <c r="E31" s="1699"/>
      <c r="F31" s="1699"/>
      <c r="G31" s="1699"/>
      <c r="H31" s="1699"/>
      <c r="I31" s="1712"/>
      <c r="J31" s="1699"/>
      <c r="K31" s="2493"/>
      <c r="L31" s="1699"/>
      <c r="M31" s="1699"/>
      <c r="N31" s="1699"/>
      <c r="O31" s="1699"/>
      <c r="P31" s="1699"/>
      <c r="Q31" s="1699"/>
      <c r="R31" s="1699"/>
      <c r="S31" s="1699"/>
      <c r="T31" s="1699"/>
      <c r="U31" s="1699"/>
    </row>
    <row r="32" spans="1:21">
      <c r="A32" s="3238"/>
      <c r="B32" s="1666" t="s">
        <v>2011</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38"/>
      <c r="B33" s="1666" t="s">
        <v>2012</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39"/>
      <c r="B34" s="1666" t="s">
        <v>2013</v>
      </c>
      <c r="C34" s="3240"/>
      <c r="D34" s="3241"/>
      <c r="E34" s="1699"/>
      <c r="F34" s="1699"/>
      <c r="G34" s="1699"/>
      <c r="H34" s="1699"/>
      <c r="I34" s="1712"/>
      <c r="J34" s="1699"/>
      <c r="K34" s="2493"/>
      <c r="L34" s="1699"/>
      <c r="M34" s="1699"/>
      <c r="N34" s="1699"/>
      <c r="O34" s="1699"/>
      <c r="P34" s="1699"/>
      <c r="Q34" s="1699"/>
      <c r="R34" s="1699"/>
      <c r="S34" s="1699"/>
      <c r="T34" s="1699"/>
      <c r="U34" s="1699"/>
    </row>
    <row r="35" spans="1:21">
      <c r="A35" s="3242" t="s">
        <v>850</v>
      </c>
      <c r="B35" s="1727"/>
      <c r="C35" s="1781" t="str">
        <f>IF(B35="场地平整","——","具体情况：")</f>
        <v>具体情况：</v>
      </c>
      <c r="D35" s="3244"/>
      <c r="E35" s="3245"/>
      <c r="F35" s="3245"/>
      <c r="G35" s="3245"/>
      <c r="H35" s="3245"/>
      <c r="I35" s="3246"/>
      <c r="J35" s="1699"/>
      <c r="K35" s="1780"/>
      <c r="L35" s="1728"/>
      <c r="M35" s="1728"/>
      <c r="N35" s="1699"/>
      <c r="O35" s="1700"/>
      <c r="P35" s="1699"/>
      <c r="Q35" s="1699"/>
      <c r="R35" s="1699"/>
      <c r="S35" s="1699"/>
      <c r="T35" s="1699"/>
      <c r="U35" s="1699"/>
    </row>
    <row r="36" spans="1:21">
      <c r="A36" s="3238"/>
      <c r="B36" s="3247" t="s">
        <v>2062</v>
      </c>
      <c r="C36" s="3248"/>
      <c r="D36" s="1797"/>
      <c r="E36" s="3249"/>
      <c r="F36" s="3249"/>
      <c r="G36" s="1692" t="str">
        <f>IF(B35="场地未平整","估价结果处理","")</f>
        <v/>
      </c>
      <c r="H36" s="3250"/>
      <c r="I36" s="3250"/>
      <c r="J36" s="1699"/>
      <c r="K36" s="1780"/>
      <c r="L36" s="1728"/>
      <c r="M36" s="1728"/>
      <c r="N36" s="1699"/>
      <c r="O36" s="1700"/>
      <c r="P36" s="1699"/>
      <c r="Q36" s="1699"/>
      <c r="R36" s="1699"/>
      <c r="S36" s="1699"/>
      <c r="T36" s="1699"/>
      <c r="U36" s="1699"/>
    </row>
    <row r="37" spans="1:21" ht="28.5">
      <c r="A37" s="3238"/>
      <c r="B37" s="3227"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38"/>
      <c r="B38" s="3228"/>
      <c r="C38" s="1674" t="s">
        <v>853</v>
      </c>
      <c r="D38" s="1796">
        <f>ROUNDDOWN(MIN(('数据-取费表'!$B$2-D37)/365,D34),1)</f>
        <v>117.9</v>
      </c>
      <c r="E38" s="1732" t="s">
        <v>854</v>
      </c>
      <c r="F38" s="1699"/>
      <c r="G38" s="1699"/>
      <c r="H38" s="1699"/>
      <c r="I38" s="1712"/>
      <c r="J38" s="1699"/>
      <c r="K38" s="1780"/>
      <c r="L38" s="1699"/>
      <c r="M38" s="1699"/>
      <c r="N38" s="1699"/>
      <c r="O38" s="1699"/>
      <c r="P38" s="1699"/>
      <c r="Q38" s="1699"/>
      <c r="R38" s="1699"/>
      <c r="S38" s="1699"/>
      <c r="T38" s="1699"/>
      <c r="U38" s="1699"/>
    </row>
    <row r="39" spans="1:21">
      <c r="A39" s="3239"/>
      <c r="B39" s="3229"/>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1985</v>
      </c>
      <c r="B40" s="1695"/>
      <c r="C40" s="1695"/>
      <c r="D40" s="1695"/>
      <c r="E40" s="1695"/>
      <c r="F40" s="1695"/>
      <c r="G40" s="1695"/>
      <c r="H40" s="1695"/>
      <c r="I40" s="1712"/>
      <c r="J40" s="1699"/>
      <c r="K40" s="1735">
        <f>COUNTIF(B40:H40,"——")</f>
        <v>0</v>
      </c>
      <c r="L40" s="1704" t="s">
        <v>1986</v>
      </c>
      <c r="M40" s="1701" t="s">
        <v>1987</v>
      </c>
      <c r="N40" s="1701" t="s">
        <v>1988</v>
      </c>
      <c r="O40" s="1701" t="s">
        <v>1989</v>
      </c>
      <c r="P40" s="1701" t="s">
        <v>1990</v>
      </c>
      <c r="Q40" s="1701" t="s">
        <v>1991</v>
      </c>
      <c r="R40" s="1701" t="s">
        <v>1992</v>
      </c>
      <c r="S40" s="3210" t="s">
        <v>1993</v>
      </c>
      <c r="T40" s="1736" t="str">
        <f>NUMBERSTRING(7-K40,1)&amp;"通"</f>
        <v>七通</v>
      </c>
      <c r="U40" s="1699"/>
    </row>
    <row r="41" spans="1:21">
      <c r="A41" s="1668"/>
      <c r="B41" s="3243" t="s">
        <v>1725</v>
      </c>
      <c r="C41" s="3243"/>
      <c r="D41" s="3243"/>
      <c r="E41" s="3243"/>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210"/>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2905</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2014</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2015</v>
      </c>
      <c r="B48" s="1691" t="s">
        <v>2016</v>
      </c>
      <c r="C48" s="1691" t="s">
        <v>2017</v>
      </c>
      <c r="D48" s="1691" t="s">
        <v>2018</v>
      </c>
      <c r="E48" s="1691" t="s">
        <v>2019</v>
      </c>
      <c r="F48" s="1691" t="s">
        <v>2020</v>
      </c>
      <c r="G48" s="1691" t="s">
        <v>2021</v>
      </c>
      <c r="H48" s="1691" t="s">
        <v>2022</v>
      </c>
      <c r="I48" s="1691" t="s">
        <v>2023</v>
      </c>
      <c r="J48" s="1777" t="s">
        <v>2024</v>
      </c>
      <c r="K48" s="1771" t="s">
        <v>2025</v>
      </c>
      <c r="L48" s="1771" t="s">
        <v>2026</v>
      </c>
      <c r="M48" s="1771" t="s">
        <v>2027</v>
      </c>
      <c r="N48" s="1691" t="s">
        <v>2028</v>
      </c>
      <c r="O48" s="1691" t="s">
        <v>2029</v>
      </c>
      <c r="P48" s="1691" t="s">
        <v>2030</v>
      </c>
      <c r="Q48" s="1704" t="s">
        <v>2031</v>
      </c>
      <c r="R48" s="1704" t="s">
        <v>2032</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J27" sqref="AJ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19564.599999999999</v>
      </c>
      <c r="B3" s="22">
        <f>IF(C3="否",G5-AT5,G5)</f>
        <v>72811</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72811</v>
      </c>
      <c r="H5" s="27">
        <f t="shared" ref="H5:AT5" si="0">SUM(H13:H641)</f>
        <v>64251</v>
      </c>
      <c r="I5" s="27">
        <f t="shared" si="0"/>
        <v>40541</v>
      </c>
      <c r="J5" s="27">
        <f t="shared" si="0"/>
        <v>0</v>
      </c>
      <c r="K5" s="27">
        <f t="shared" si="0"/>
        <v>6550</v>
      </c>
      <c r="L5" s="27">
        <f t="shared" si="0"/>
        <v>0</v>
      </c>
      <c r="M5" s="27">
        <f t="shared" si="0"/>
        <v>17160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8560</v>
      </c>
      <c r="AD5" s="27">
        <f t="shared" si="0"/>
        <v>1820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6740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72811</v>
      </c>
      <c r="BA5" s="29">
        <f t="shared" si="1"/>
        <v>64251</v>
      </c>
      <c r="BB5" s="29">
        <f t="shared" si="1"/>
        <v>40541</v>
      </c>
      <c r="BC5" s="29">
        <f t="shared" si="1"/>
        <v>6550</v>
      </c>
      <c r="BD5" s="29">
        <f t="shared" si="1"/>
        <v>17160</v>
      </c>
      <c r="BE5" s="29">
        <f t="shared" si="1"/>
        <v>0</v>
      </c>
      <c r="BF5" s="29">
        <f t="shared" si="1"/>
        <v>0</v>
      </c>
      <c r="BG5" s="29">
        <f t="shared" si="1"/>
        <v>0</v>
      </c>
      <c r="BH5" s="29">
        <f t="shared" si="1"/>
        <v>0</v>
      </c>
      <c r="BI5" s="29">
        <f t="shared" si="1"/>
        <v>0</v>
      </c>
      <c r="BJ5" s="29">
        <f t="shared" si="1"/>
        <v>0</v>
      </c>
      <c r="BK5" s="29">
        <f t="shared" si="1"/>
        <v>0</v>
      </c>
      <c r="BL5" s="29">
        <f t="shared" si="1"/>
        <v>8560</v>
      </c>
      <c r="BM5" s="29">
        <f t="shared" si="1"/>
        <v>1820</v>
      </c>
      <c r="BN5" s="29">
        <f t="shared" si="1"/>
        <v>0</v>
      </c>
      <c r="BO5" s="29">
        <f t="shared" si="1"/>
        <v>0</v>
      </c>
      <c r="BP5" s="29">
        <f t="shared" si="1"/>
        <v>0</v>
      </c>
      <c r="BQ5" s="29">
        <f t="shared" si="1"/>
        <v>0</v>
      </c>
      <c r="BR5" s="29">
        <f t="shared" si="1"/>
        <v>6740</v>
      </c>
      <c r="BS5" s="29">
        <f t="shared" si="1"/>
        <v>0</v>
      </c>
      <c r="BT5" s="30">
        <f t="shared" si="1"/>
        <v>0</v>
      </c>
    </row>
    <row r="6" spans="1:72" s="37" customFormat="1" ht="12.75">
      <c r="A6" s="26" t="s">
        <v>169</v>
      </c>
      <c r="B6" s="31"/>
      <c r="C6" s="31"/>
      <c r="D6" s="32"/>
      <c r="E6" s="27">
        <f>H6+AC6+AT6</f>
        <v>19564.59</v>
      </c>
      <c r="F6" s="27" t="s">
        <v>1</v>
      </c>
      <c r="G6" s="27" t="s">
        <v>2</v>
      </c>
      <c r="H6" s="33">
        <f>SUMIF(I$12:AB$12,"总值",I6:AB6)</f>
        <v>17264.490000000002</v>
      </c>
      <c r="I6" s="27">
        <f t="shared" ref="I6:AB6" si="2">ROUND($A$3*I5/$B$3,2)</f>
        <v>10893.52</v>
      </c>
      <c r="J6" s="27">
        <f t="shared" si="2"/>
        <v>0</v>
      </c>
      <c r="K6" s="27">
        <f t="shared" si="2"/>
        <v>1760.01</v>
      </c>
      <c r="L6" s="27">
        <f t="shared" si="2"/>
        <v>0</v>
      </c>
      <c r="M6" s="27">
        <f t="shared" si="2"/>
        <v>4610.96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2300.1</v>
      </c>
      <c r="AD6" s="27">
        <f t="shared" ref="AD6:AS6" si="3">ROUND($A$3*AD5/$B$3,2)</f>
        <v>489.04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1811.06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19564.599999999999</v>
      </c>
      <c r="AZ6" s="27" t="s">
        <v>3</v>
      </c>
      <c r="BA6" s="27">
        <f>ROUND($AY$6*BA5/$AZ$5,2)</f>
        <v>17264.490000000002</v>
      </c>
      <c r="BB6" s="27">
        <f>ROUND($AY$6*BB5/$AZ$5,2)</f>
        <v>10893.52</v>
      </c>
      <c r="BC6" s="27">
        <f t="shared" ref="BC6:BH6" si="4">ROUND($AY$6*BC5/$AZ$5,2)</f>
        <v>1760.01</v>
      </c>
      <c r="BD6" s="27">
        <f t="shared" si="4"/>
        <v>4610.96</v>
      </c>
      <c r="BE6" s="27">
        <f t="shared" si="4"/>
        <v>0</v>
      </c>
      <c r="BF6" s="27">
        <f t="shared" si="4"/>
        <v>0</v>
      </c>
      <c r="BG6" s="27">
        <f t="shared" si="4"/>
        <v>0</v>
      </c>
      <c r="BH6" s="27">
        <f t="shared" si="4"/>
        <v>0</v>
      </c>
      <c r="BI6" s="27">
        <f t="shared" ref="BI6:BT6" si="5">ROUND($AY$6*BI5/$AZ$5,2)</f>
        <v>0</v>
      </c>
      <c r="BJ6" s="27">
        <f t="shared" si="5"/>
        <v>0</v>
      </c>
      <c r="BK6" s="27">
        <f t="shared" si="5"/>
        <v>0</v>
      </c>
      <c r="BL6" s="27">
        <f t="shared" si="5"/>
        <v>2300.11</v>
      </c>
      <c r="BM6" s="27">
        <f t="shared" si="5"/>
        <v>489.04</v>
      </c>
      <c r="BN6" s="27">
        <f t="shared" si="5"/>
        <v>0</v>
      </c>
      <c r="BO6" s="27">
        <f t="shared" si="5"/>
        <v>0</v>
      </c>
      <c r="BP6" s="27">
        <f t="shared" si="5"/>
        <v>0</v>
      </c>
      <c r="BQ6" s="27">
        <f t="shared" si="5"/>
        <v>0</v>
      </c>
      <c r="BR6" s="27">
        <f t="shared" si="5"/>
        <v>1811.06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3006</v>
      </c>
      <c r="J9" s="51"/>
      <c r="K9" s="3058" t="s">
        <v>3006</v>
      </c>
      <c r="L9" s="51"/>
      <c r="M9" s="3058" t="s">
        <v>3277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t="s">
        <v>3005</v>
      </c>
      <c r="L10" s="51"/>
      <c r="M10" s="3060" t="s">
        <v>3278</v>
      </c>
      <c r="N10" s="51"/>
      <c r="O10" s="66"/>
      <c r="P10" s="51"/>
      <c r="Q10" s="66"/>
      <c r="R10" s="51"/>
      <c r="S10" s="66"/>
      <c r="T10" s="51"/>
      <c r="U10" s="66"/>
      <c r="V10" s="51"/>
      <c r="W10" s="66"/>
      <c r="X10" s="51"/>
      <c r="Y10" s="66"/>
      <c r="Z10" s="51"/>
      <c r="AA10" s="66"/>
      <c r="AB10" s="51"/>
      <c r="AC10" s="55"/>
      <c r="AD10" s="2324" t="s">
        <v>2326</v>
      </c>
      <c r="AE10" s="2346"/>
      <c r="AF10" s="2324" t="s">
        <v>2326</v>
      </c>
      <c r="AG10" s="2346"/>
      <c r="AH10" s="2324" t="s">
        <v>2327</v>
      </c>
      <c r="AI10" s="2346"/>
      <c r="AJ10" s="26" t="s">
        <v>2340</v>
      </c>
      <c r="AK10" s="2343"/>
      <c r="AL10" s="2324" t="s">
        <v>2328</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3007</v>
      </c>
      <c r="J11" s="71"/>
      <c r="K11" s="3059" t="s">
        <v>3022</v>
      </c>
      <c r="L11" s="71"/>
      <c r="M11" s="70" t="s">
        <v>3278</v>
      </c>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19564.599999999999</v>
      </c>
      <c r="F13" s="81"/>
      <c r="G13" s="82">
        <f t="shared" ref="G13:G20" si="7">H13+AC13+AT13</f>
        <v>72811</v>
      </c>
      <c r="H13" s="33">
        <f t="shared" ref="H13:H20" si="8">SUMIF(I$12:AB$12,"总值",I13:AB13)</f>
        <v>64251</v>
      </c>
      <c r="I13" s="3057">
        <f>11305+11955+6821+10460</f>
        <v>40541</v>
      </c>
      <c r="J13" s="3057"/>
      <c r="K13" s="3057">
        <f>1972+1468+340+900+1870</f>
        <v>6550</v>
      </c>
      <c r="L13" s="3057"/>
      <c r="M13" s="3057">
        <f>429*40</f>
        <v>17160</v>
      </c>
      <c r="N13" s="83"/>
      <c r="O13" s="83"/>
      <c r="P13" s="83"/>
      <c r="Q13" s="83"/>
      <c r="R13" s="83"/>
      <c r="S13" s="83"/>
      <c r="T13" s="83"/>
      <c r="U13" s="83"/>
      <c r="V13" s="83"/>
      <c r="W13" s="83"/>
      <c r="X13" s="83"/>
      <c r="Y13" s="83"/>
      <c r="Z13" s="83"/>
      <c r="AA13" s="83"/>
      <c r="AB13" s="83"/>
      <c r="AC13" s="27">
        <f t="shared" ref="AC13:AC20" si="9">SUMIF(AD$12:AS$12,"总值",AD13:AS13)</f>
        <v>8560</v>
      </c>
      <c r="AD13" s="3061">
        <f>190+800+640+190</f>
        <v>1820</v>
      </c>
      <c r="AE13" s="3061"/>
      <c r="AF13" s="3061"/>
      <c r="AG13" s="3061"/>
      <c r="AH13" s="3061"/>
      <c r="AI13" s="3061"/>
      <c r="AJ13" s="3061"/>
      <c r="AK13" s="3061"/>
      <c r="AL13" s="3061"/>
      <c r="AM13" s="3061"/>
      <c r="AN13" s="3061">
        <f>23900-M13</f>
        <v>6740</v>
      </c>
      <c r="AO13" s="3061"/>
      <c r="AP13" s="3061"/>
      <c r="AQ13" s="3061"/>
      <c r="AR13" s="3061"/>
      <c r="AS13" s="3061"/>
      <c r="AT13" s="3062"/>
      <c r="AU13" s="3063"/>
      <c r="AV13" s="17">
        <f t="shared" ref="AV13:AX20" si="10">A13</f>
        <v>0</v>
      </c>
      <c r="AW13" s="17">
        <f t="shared" si="10"/>
        <v>0</v>
      </c>
      <c r="AX13" s="17">
        <f t="shared" si="10"/>
        <v>0</v>
      </c>
      <c r="AY13" s="999">
        <f t="shared" ref="AY13:AY20" si="11">ROUND($AY$6*AZ13/$AZ$5,2)</f>
        <v>19564.599999999999</v>
      </c>
      <c r="AZ13" s="27">
        <f t="shared" ref="AZ13:AZ20" si="12">BA13+BL13</f>
        <v>72811</v>
      </c>
      <c r="BA13" s="27">
        <f t="shared" ref="BA13:BA20" si="13">SUM(BB13:BK13)</f>
        <v>64251</v>
      </c>
      <c r="BB13" s="27">
        <f t="shared" ref="BB13:BB20" si="14">IF($D13="是",I13-J13,0)</f>
        <v>40541</v>
      </c>
      <c r="BC13" s="27">
        <f t="shared" ref="BC13:BC20" si="15">IF($D13="是",K13-L13,0)</f>
        <v>6550</v>
      </c>
      <c r="BD13" s="27">
        <f t="shared" ref="BD13:BD20" si="16">IF($D13="是",M13-N13,0)</f>
        <v>17160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8560</v>
      </c>
      <c r="BM13" s="27">
        <f t="shared" ref="BM13:BM20" si="25">IF($D13="是",AD13-AE13,0)</f>
        <v>1820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6740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40" sqref="E40"/>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62" t="s">
        <v>203</v>
      </c>
      <c r="B2" s="3262"/>
      <c r="C2" s="3262"/>
      <c r="D2" s="1981" t="s">
        <v>204</v>
      </c>
      <c r="E2" s="106" t="s">
        <v>205</v>
      </c>
      <c r="F2" s="1990"/>
      <c r="G2" s="1201"/>
      <c r="H2" s="1202"/>
      <c r="I2" s="1203" t="s">
        <v>860</v>
      </c>
      <c r="J2" s="1990"/>
      <c r="K2" s="1990"/>
      <c r="L2" s="1990"/>
    </row>
    <row r="3" spans="1:16" ht="15.75" thickBot="1">
      <c r="A3" s="3263" t="s">
        <v>206</v>
      </c>
      <c r="B3" s="3263"/>
      <c r="C3" s="3263"/>
      <c r="D3" s="107">
        <f>'数据-基础表'!AY6</f>
        <v>19564.599999999999</v>
      </c>
      <c r="E3" s="107">
        <f>'数据-基础表'!AZ5</f>
        <v>72811</v>
      </c>
      <c r="F3" s="1990"/>
      <c r="G3" s="280" t="s">
        <v>861</v>
      </c>
      <c r="H3" s="275" t="s">
        <v>862</v>
      </c>
      <c r="I3" s="1982">
        <f>ROUND('数据-基础表'!B3/'数据-基础表'!A3,2)</f>
        <v>3.72</v>
      </c>
      <c r="J3" s="1990"/>
      <c r="K3" s="1990"/>
      <c r="L3" s="1990"/>
    </row>
    <row r="4" spans="1:16" ht="15">
      <c r="A4" s="3264"/>
      <c r="B4" s="3265"/>
      <c r="C4" s="3266"/>
      <c r="D4" s="108" t="s">
        <v>204</v>
      </c>
      <c r="E4" s="109" t="s">
        <v>205</v>
      </c>
      <c r="F4" s="1990"/>
      <c r="G4" s="1204"/>
      <c r="H4" s="275" t="s">
        <v>863</v>
      </c>
      <c r="I4" s="1982">
        <f>ROUND(SUMIF('数据-基础表'!I9:AS9,"地上",'数据-基础表'!I5:AS5)/'数据-基础表'!A3,2)</f>
        <v>2.5</v>
      </c>
      <c r="J4" s="1990"/>
      <c r="K4" s="1990"/>
      <c r="L4" s="1990"/>
    </row>
    <row r="5" spans="1:16">
      <c r="A5" s="110" t="s">
        <v>207</v>
      </c>
      <c r="B5" s="3267" t="s">
        <v>230</v>
      </c>
      <c r="C5" s="3267"/>
      <c r="D5" s="111">
        <f>ROUND($D$3*E5/$E$3,2)</f>
        <v>10893.52</v>
      </c>
      <c r="E5" s="112">
        <f>SUMIF('数据-基础表'!$11:$11,"住宅",'数据-基础表'!$5:$5)</f>
        <v>40541</v>
      </c>
      <c r="F5" s="1990"/>
      <c r="G5" s="280" t="s">
        <v>864</v>
      </c>
      <c r="H5" s="275" t="s">
        <v>862</v>
      </c>
      <c r="I5" s="1982">
        <f>ROUND(E31/D31,2)</f>
        <v>3.72</v>
      </c>
      <c r="J5" s="1990"/>
      <c r="K5" s="1990"/>
      <c r="L5" s="1990"/>
    </row>
    <row r="6" spans="1:16" ht="15" thickBot="1">
      <c r="A6" s="113"/>
      <c r="B6" s="3267" t="s">
        <v>208</v>
      </c>
      <c r="C6" s="3267"/>
      <c r="D6" s="111">
        <f>ROUND($D$3*E6/$E$3,2)</f>
        <v>8671.08</v>
      </c>
      <c r="E6" s="112">
        <f>E3-E5</f>
        <v>32270</v>
      </c>
      <c r="F6" s="1990"/>
      <c r="G6" s="1204"/>
      <c r="H6" s="275" t="s">
        <v>863</v>
      </c>
      <c r="I6" s="1982">
        <f>ROUND(F31/D31,2)</f>
        <v>2.5</v>
      </c>
      <c r="J6" s="1990"/>
      <c r="K6" s="1990"/>
      <c r="L6" s="1990"/>
    </row>
    <row r="7" spans="1:16" ht="15">
      <c r="A7" s="3259"/>
      <c r="B7" s="3260"/>
      <c r="C7" s="3261"/>
      <c r="D7" s="108" t="s">
        <v>204</v>
      </c>
      <c r="E7" s="114" t="s">
        <v>231</v>
      </c>
      <c r="F7" s="1990"/>
      <c r="G7" s="1159" t="s">
        <v>1649</v>
      </c>
      <c r="H7" s="1160"/>
      <c r="I7" s="1852"/>
      <c r="J7" s="1990"/>
      <c r="K7" s="1990"/>
      <c r="L7" s="1990"/>
    </row>
    <row r="8" spans="1:16">
      <c r="A8" s="110" t="s">
        <v>209</v>
      </c>
      <c r="B8" s="115" t="s">
        <v>210</v>
      </c>
      <c r="C8" s="111" t="s">
        <v>211</v>
      </c>
      <c r="D8" s="111">
        <f t="shared" ref="D8:D15" si="0">ROUND($D$3*E8/$E$3,2)</f>
        <v>12653.54</v>
      </c>
      <c r="E8" s="116">
        <f>SUMIF('数据-基础表'!BB10:BK10,"地上",'数据-基础表'!BB5:BK5)</f>
        <v>47091</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4610.96</v>
      </c>
      <c r="E13" s="116">
        <f>SUMPRODUCT(('数据-基础表'!BB10:BK10="地下")*('数据-基础表'!BB11:BK11="车库")*('数据-基础表'!BB5:BK5))</f>
        <v>17160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17264.5</v>
      </c>
      <c r="E16" s="120">
        <f>SUM(E8:E15)</f>
        <v>64251</v>
      </c>
      <c r="F16" s="1990"/>
      <c r="G16" s="1992"/>
      <c r="H16" s="971" t="s">
        <v>219</v>
      </c>
      <c r="I16" s="972"/>
      <c r="J16" s="1990"/>
      <c r="K16" s="3253" t="s">
        <v>2578</v>
      </c>
      <c r="L16" s="3254"/>
      <c r="M16" s="3254"/>
      <c r="N16" s="3254"/>
      <c r="O16" s="3254"/>
      <c r="P16" s="3255"/>
    </row>
    <row r="17" spans="1:19" ht="15">
      <c r="A17" s="121" t="s">
        <v>216</v>
      </c>
      <c r="B17" s="122" t="s">
        <v>217</v>
      </c>
      <c r="C17" s="2308" t="s">
        <v>2322</v>
      </c>
      <c r="D17" s="108" t="s">
        <v>204</v>
      </c>
      <c r="E17" s="124" t="s">
        <v>205</v>
      </c>
      <c r="F17" s="125"/>
      <c r="G17" s="1370"/>
      <c r="H17" s="973" t="s">
        <v>218</v>
      </c>
      <c r="I17" s="974" t="s">
        <v>2321</v>
      </c>
      <c r="J17" s="1990"/>
      <c r="K17" s="3256" t="s">
        <v>2579</v>
      </c>
      <c r="L17" s="3257"/>
      <c r="M17" s="3258"/>
      <c r="N17" s="3256" t="s">
        <v>2580</v>
      </c>
      <c r="O17" s="3257"/>
      <c r="P17" s="3258"/>
      <c r="R17" s="2309" t="s">
        <v>2320</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2318</v>
      </c>
      <c r="S18" s="2310" t="s">
        <v>2319</v>
      </c>
    </row>
    <row r="19" spans="1:19">
      <c r="A19" s="133"/>
      <c r="B19" s="115" t="s">
        <v>225</v>
      </c>
      <c r="C19" s="3064" t="s">
        <v>3025</v>
      </c>
      <c r="D19" s="111">
        <f t="shared" ref="D19:D26" si="1">ROUND($D$3*E19/$E$3,2)</f>
        <v>10893.52</v>
      </c>
      <c r="E19" s="134">
        <f t="shared" ref="E19:E26" si="2">SUM(F19:G19)</f>
        <v>40541</v>
      </c>
      <c r="F19" s="135">
        <f>'数据-基础表'!I13</f>
        <v>40541</v>
      </c>
      <c r="G19" s="1372"/>
      <c r="H19" s="977">
        <f>ROUND($D$3*I19/$E$3,2)</f>
        <v>1631.79</v>
      </c>
      <c r="I19" s="116">
        <f>IF($I$17="自定义",P19,M19)</f>
        <v>6072.8</v>
      </c>
      <c r="J19" s="1990"/>
      <c r="K19" s="2643">
        <f t="shared" ref="K19:K26" si="3">ROUND(E$28*E19/E$27,2)</f>
        <v>4252.8</v>
      </c>
      <c r="L19" s="275">
        <f t="shared" ref="L19:L26" si="4">ROUND(IF(COUNTIF(C19,"*住宅*")&gt;0,E$29*E19/E$32,0),2)</f>
        <v>1820</v>
      </c>
      <c r="M19" s="2644">
        <f>K19+L19</f>
        <v>6072.8</v>
      </c>
      <c r="N19" s="2645"/>
      <c r="O19" s="2646"/>
      <c r="P19" s="2647">
        <f>N19+O19</f>
        <v>0</v>
      </c>
      <c r="R19" s="275">
        <f t="shared" ref="R19:S26" si="5">D19+H19</f>
        <v>12525.310000000001</v>
      </c>
      <c r="S19" s="2311">
        <f t="shared" si="5"/>
        <v>46613.8</v>
      </c>
    </row>
    <row r="20" spans="1:19">
      <c r="A20" s="138"/>
      <c r="B20" s="115" t="s">
        <v>226</v>
      </c>
      <c r="C20" s="3064" t="s">
        <v>3023</v>
      </c>
      <c r="D20" s="111">
        <f t="shared" si="1"/>
        <v>1760.01</v>
      </c>
      <c r="E20" s="134">
        <f t="shared" si="2"/>
        <v>6550</v>
      </c>
      <c r="F20" s="135">
        <f>'数据-基础表'!K13</f>
        <v>6550</v>
      </c>
      <c r="G20" s="1372"/>
      <c r="H20" s="977">
        <f t="shared" ref="H20:H26" si="6">ROUND($D$3*I20/$E$3,2)</f>
        <v>184.63</v>
      </c>
      <c r="I20" s="116">
        <f t="shared" ref="I20:I26" si="7">IF($I$17="自定义",P20,M20)</f>
        <v>687.1</v>
      </c>
      <c r="J20" s="1990"/>
      <c r="K20" s="2643">
        <f t="shared" si="3"/>
        <v>687.1</v>
      </c>
      <c r="L20" s="275">
        <f t="shared" si="4"/>
        <v>0</v>
      </c>
      <c r="M20" s="2644">
        <f t="shared" ref="M20:M26" si="8">K20+L20</f>
        <v>687.1</v>
      </c>
      <c r="N20" s="2645"/>
      <c r="O20" s="2646"/>
      <c r="P20" s="2647">
        <f t="shared" ref="P20:P26" si="9">N20+O20</f>
        <v>0</v>
      </c>
      <c r="R20" s="275">
        <f t="shared" si="5"/>
        <v>1944.6399999999999</v>
      </c>
      <c r="S20" s="2311">
        <f t="shared" si="5"/>
        <v>7237.1</v>
      </c>
    </row>
    <row r="21" spans="1:19">
      <c r="A21" s="138"/>
      <c r="B21" s="115" t="s">
        <v>226</v>
      </c>
      <c r="C21" s="3064" t="s">
        <v>3279</v>
      </c>
      <c r="D21" s="111">
        <f t="shared" si="1"/>
        <v>4610.96</v>
      </c>
      <c r="E21" s="134">
        <f t="shared" si="2"/>
        <v>17160</v>
      </c>
      <c r="F21" s="135"/>
      <c r="G21" s="1372">
        <f>'数据-基础表'!M13</f>
        <v>17160</v>
      </c>
      <c r="H21" s="977">
        <f t="shared" si="6"/>
        <v>483.69</v>
      </c>
      <c r="I21" s="116">
        <f t="shared" si="7"/>
        <v>1800.1</v>
      </c>
      <c r="J21" s="1990"/>
      <c r="K21" s="2643">
        <f t="shared" si="3"/>
        <v>1800.1</v>
      </c>
      <c r="L21" s="275">
        <f t="shared" si="4"/>
        <v>0</v>
      </c>
      <c r="M21" s="2644">
        <f t="shared" si="8"/>
        <v>1800.1</v>
      </c>
      <c r="N21" s="2645"/>
      <c r="O21" s="2646"/>
      <c r="P21" s="2647">
        <f t="shared" si="9"/>
        <v>0</v>
      </c>
      <c r="R21" s="275">
        <f t="shared" si="5"/>
        <v>5094.6499999999996</v>
      </c>
      <c r="S21" s="2311">
        <f t="shared" si="5"/>
        <v>18960.099999999999</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17264.490000000002</v>
      </c>
      <c r="E27" s="143">
        <f>IF(SUM(E19:E26)='数据-基础表'!BA5,SUM(E19:E26),IF(F27="地上面积有误","面积有误","地下面积有误"))</f>
        <v>64251</v>
      </c>
      <c r="F27" s="134">
        <f>IF(SUM(F19:F26)=E8,SUM(F19:F26),"地上面积有误")</f>
        <v>47091</v>
      </c>
      <c r="G27" s="112">
        <f>SUM(G19:G26)</f>
        <v>17160</v>
      </c>
      <c r="H27" s="978">
        <f>SUM(H19:H26)</f>
        <v>2300.11</v>
      </c>
      <c r="I27" s="979">
        <f>SUM(I19:I26)</f>
        <v>8560</v>
      </c>
      <c r="J27" s="1990"/>
      <c r="K27" s="2652">
        <f>SUM(K19:K26)</f>
        <v>6740</v>
      </c>
      <c r="L27" s="2653">
        <f>SUM(L19:L26)</f>
        <v>1820</v>
      </c>
      <c r="M27" s="2654">
        <f>SUM(M19:M26)</f>
        <v>8560</v>
      </c>
      <c r="N27" s="2652">
        <f t="shared" ref="N27:O27" si="10">SUM(N19:N26)</f>
        <v>0</v>
      </c>
      <c r="O27" s="2653">
        <f t="shared" si="10"/>
        <v>0</v>
      </c>
      <c r="P27" s="2655">
        <f>SUM(P19:P26)</f>
        <v>0</v>
      </c>
      <c r="R27" s="2315">
        <f>IF(SUM(R19:R26)=$D$3,SUM(R19:R26),SUM(R19:R26)&amp;"误差"&amp;ROUND(SUM(R19:R26)-$D$3,2))</f>
        <v>19564.599999999999</v>
      </c>
      <c r="S27" s="275">
        <f>IF(SUM(S19:S26)=$E$3,SUM(S19:S26),SUM(S19:S26)&amp;"误差"&amp;ROUND(SUM(S19:S26)-E3,2))</f>
        <v>72811</v>
      </c>
    </row>
    <row r="28" spans="1:19">
      <c r="A28" s="138"/>
      <c r="B28" s="115" t="s">
        <v>227</v>
      </c>
      <c r="C28" s="136" t="s">
        <v>228</v>
      </c>
      <c r="D28" s="111">
        <f>ROUND($D$3*E28/$E$3,2)</f>
        <v>1811.06</v>
      </c>
      <c r="E28" s="134">
        <f>SUM(F28:G28)</f>
        <v>6740</v>
      </c>
      <c r="F28" s="144">
        <f>'数据-基础表'!BQ5+'数据-基础表'!BS5</f>
        <v>0</v>
      </c>
      <c r="G28" s="145">
        <f>'数据-基础表'!BR5+'数据-基础表'!BT5</f>
        <v>6740</v>
      </c>
      <c r="H28" s="1990"/>
      <c r="I28" s="1990"/>
      <c r="J28" s="1990"/>
      <c r="K28" s="1990"/>
      <c r="L28" s="1990"/>
    </row>
    <row r="29" spans="1:19">
      <c r="A29" s="138"/>
      <c r="B29" s="115" t="s">
        <v>227</v>
      </c>
      <c r="C29" s="2323" t="s">
        <v>2329</v>
      </c>
      <c r="D29" s="111">
        <f>ROUND($D$3*E29/$E$3,2)</f>
        <v>489.04</v>
      </c>
      <c r="E29" s="134">
        <f>SUM(F29:G29)</f>
        <v>1820</v>
      </c>
      <c r="F29" s="144">
        <f>'数据-基础表'!BM5+'数据-基础表'!BO5</f>
        <v>1820</v>
      </c>
      <c r="G29" s="146">
        <f>'数据-基础表'!BN5+'数据-基础表'!BP5</f>
        <v>0</v>
      </c>
      <c r="H29" s="1990"/>
      <c r="I29" s="1990"/>
      <c r="J29" s="1990"/>
      <c r="K29" s="1990"/>
      <c r="L29" s="1990"/>
    </row>
    <row r="30" spans="1:19">
      <c r="A30" s="138"/>
      <c r="B30" s="111"/>
      <c r="C30" s="147" t="s">
        <v>215</v>
      </c>
      <c r="D30" s="134">
        <f>SUM(D28:D29)</f>
        <v>2300.1</v>
      </c>
      <c r="E30" s="134">
        <f>SUM(E28:E29)</f>
        <v>8560</v>
      </c>
      <c r="F30" s="134">
        <f>SUM(F28:F29)</f>
        <v>1820</v>
      </c>
      <c r="G30" s="112">
        <f>SUM(G28:G29)</f>
        <v>6740</v>
      </c>
      <c r="H30" s="1990"/>
      <c r="I30" s="1990"/>
      <c r="J30" s="1990"/>
      <c r="K30" s="1990"/>
      <c r="L30" s="1990"/>
    </row>
    <row r="31" spans="1:19" ht="32.25" customHeight="1" thickBot="1">
      <c r="A31" s="1374"/>
      <c r="B31" s="1375" t="s">
        <v>229</v>
      </c>
      <c r="C31" s="2340" t="s">
        <v>2331</v>
      </c>
      <c r="D31" s="1376">
        <f>D27+D30</f>
        <v>19564.59</v>
      </c>
      <c r="E31" s="1376">
        <f>E27+E30</f>
        <v>72811</v>
      </c>
      <c r="F31" s="1377">
        <f>F27+F30</f>
        <v>48911</v>
      </c>
      <c r="G31" s="1378">
        <f>G27+G30</f>
        <v>23900</v>
      </c>
      <c r="H31" s="1990"/>
      <c r="I31" s="1990"/>
      <c r="J31" s="1990"/>
      <c r="K31" s="1990"/>
      <c r="L31" s="1990"/>
    </row>
    <row r="32" spans="1:19">
      <c r="A32" s="1990"/>
      <c r="B32" s="2373" t="s">
        <v>2330</v>
      </c>
      <c r="C32" s="2683"/>
      <c r="D32" s="1204"/>
      <c r="E32" s="1204">
        <f>SUMIF(C19:C26,"*住宅*",E19:E26)</f>
        <v>40541</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15" activePane="bottomRight" state="frozen"/>
      <selection pane="topRight" activeCell="D1" sqref="D1"/>
      <selection pane="bottomLeft" activeCell="A4" sqref="A4"/>
      <selection pane="bottomRight" activeCell="M33" sqref="M33"/>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14.75" style="1206" bestFit="1"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43038</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2333</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2332</v>
      </c>
      <c r="AI5" s="171" t="s">
        <v>2300</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高层住宅</v>
      </c>
      <c r="B6" s="2347" t="str">
        <f>IF(A6=0,"","经营性")</f>
        <v>经营性</v>
      </c>
      <c r="C6" s="173" t="s">
        <v>926</v>
      </c>
      <c r="D6" s="2318">
        <f>SUMIF(项目基本情况!D$15:I$15,C6,项目基本情况!D$18:I$18)</f>
        <v>70</v>
      </c>
      <c r="E6" s="2319">
        <f>IF(B6="","",SUMIF(项目基本情况!D$15:I$15,C6,项目基本情况!D$17:I$17))</f>
        <v>67921</v>
      </c>
      <c r="F6" s="174">
        <f>SUMIF(项目基本情况!D$15:I$15,C6,项目基本情况!D$19:I$19)</f>
        <v>68.17</v>
      </c>
      <c r="G6" s="175">
        <f>IF(ISERROR(ROUND(POWER(1+H6,D6-F6)*(POWER(1+H6,F6)-1)/(POWER(1+H6,D6)-1),3)),0,ROUND(POWER(1+H6,D6-F6)*(POWER(1+H6,F6)-1)/(POWER(1+H6,D6)-1),3))</f>
        <v>0.996</v>
      </c>
      <c r="H6" s="3065">
        <v>4.4999999999999998E-2</v>
      </c>
      <c r="I6" s="3065">
        <v>0.05</v>
      </c>
      <c r="J6" s="176">
        <v>8.5000000000000006E-2</v>
      </c>
      <c r="K6" s="179">
        <f>SUMIF('数据-汇总表'!C$19:C$33,'数据-取费表'!A6,'数据-汇总表'!E$19:E$33)</f>
        <v>40541</v>
      </c>
      <c r="L6" s="3066">
        <v>2300</v>
      </c>
      <c r="M6" s="177">
        <f t="shared" ref="M6:M14" si="0">ROUND(K6*L6/10000,0)</f>
        <v>9324</v>
      </c>
      <c r="N6" s="3067">
        <v>0</v>
      </c>
      <c r="O6" s="177">
        <f>IF($N$5="成新度","——",ROUND(M6*N6,0))</f>
        <v>0</v>
      </c>
      <c r="P6" s="178">
        <f>IF($N$5="成新度","——",M6-O6)</f>
        <v>9324</v>
      </c>
      <c r="Q6" s="3068">
        <v>0.15</v>
      </c>
      <c r="R6" s="179">
        <f>SUMIF('数据-汇总表'!C$19:C$33,A6,'数据-汇总表'!R$19:R$33)</f>
        <v>12525.310000000001</v>
      </c>
      <c r="S6" s="132">
        <f>IF('数据-汇总表'!$I$17="按面积比例",SUMIF('数据-汇总表'!C$19:C$33,A6,'数据-汇总表'!K$19:K$33),SUMIF('数据-汇总表'!C$19:C$33,A6,'数据-汇总表'!N$19:N$33))</f>
        <v>4252.8</v>
      </c>
      <c r="T6" s="2244">
        <f>IF($T$4="按面积比例",IF(ISERROR(ROUND($M$14*S6/S$16,0)),"0",ROUND($M$14*S6/S$16,0)),"需自行计算录入")</f>
        <v>765</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t="str">
        <f>'数据-汇总表'!C20</f>
        <v>底商</v>
      </c>
      <c r="B7" s="2347" t="str">
        <f t="shared" ref="B7:B13" si="1">IF(A7=0,"","经营性")</f>
        <v>经营性</v>
      </c>
      <c r="C7" s="173" t="s">
        <v>3005</v>
      </c>
      <c r="D7" s="2318">
        <f>SUMIF(项目基本情况!D$15:I$15,C7,项目基本情况!D$18:I$18)</f>
        <v>40</v>
      </c>
      <c r="E7" s="2319">
        <f>IF(B7="","",SUMIF(项目基本情况!D$15:I$15,C7,项目基本情况!D$17:I$17))</f>
        <v>56963</v>
      </c>
      <c r="F7" s="174">
        <f>SUMIF(项目基本情况!D$15:I$15,C7,项目基本情况!D$19:I$19)</f>
        <v>38.15</v>
      </c>
      <c r="G7" s="175">
        <f t="shared" ref="G7:G11" si="2">IF(ISERROR(ROUND(POWER(1+H7,D7-F7)*(POWER(1+H7,F7)-1)/(POWER(1+H7,D7)-1),3)),0,ROUND(POWER(1+H7,D7-F7)*(POWER(1+H7,F7)-1)/(POWER(1+H7,D7)-1),3))</f>
        <v>0.98599999999999999</v>
      </c>
      <c r="H7" s="3065">
        <v>5.5E-2</v>
      </c>
      <c r="I7" s="3065">
        <v>0.06</v>
      </c>
      <c r="J7" s="176">
        <v>8.5000000000000006E-2</v>
      </c>
      <c r="K7" s="179">
        <f>SUMIF('数据-汇总表'!C$19:C$33,'数据-取费表'!A7,'数据-汇总表'!E$19:E$33)</f>
        <v>6550</v>
      </c>
      <c r="L7" s="3066">
        <v>2300</v>
      </c>
      <c r="M7" s="177">
        <f t="shared" si="0"/>
        <v>1507</v>
      </c>
      <c r="N7" s="3067">
        <v>0</v>
      </c>
      <c r="O7" s="177">
        <f t="shared" ref="O7:O14" si="3">IF($N$5="成新度","——",ROUND(M7*N7,0))</f>
        <v>0</v>
      </c>
      <c r="P7" s="178">
        <f t="shared" ref="P7:P14" si="4">IF($N$5="成新度","——",M7-O7)</f>
        <v>1507</v>
      </c>
      <c r="Q7" s="3068">
        <v>0.15</v>
      </c>
      <c r="R7" s="179">
        <f>SUMIF('数据-汇总表'!C$19:C$33,A7,'数据-汇总表'!R$19:R$33)</f>
        <v>1944.6399999999999</v>
      </c>
      <c r="S7" s="132">
        <f>IF('数据-汇总表'!$I$17="按面积比例",SUMIF('数据-汇总表'!C$19:C$33,A7,'数据-汇总表'!K$19:K$33),SUMIF('数据-汇总表'!C$19:C$33,A7,'数据-汇总表'!N$19:N$33))</f>
        <v>687.1</v>
      </c>
      <c r="T7" s="2244">
        <f t="shared" ref="T7:T13" si="5">IF($T$4="按面积比例",IF(ISERROR(ROUND($M$14*S7/S$16,0)),"0",ROUND($M$14*S7/S$16,0)),"需自行计算录入")</f>
        <v>124</v>
      </c>
      <c r="U7" s="180">
        <v>6</v>
      </c>
      <c r="V7" s="181">
        <v>0.03</v>
      </c>
      <c r="W7" s="181">
        <v>0.1</v>
      </c>
      <c r="X7" s="2331"/>
      <c r="Y7" s="182">
        <v>1</v>
      </c>
      <c r="Z7" s="183"/>
      <c r="AA7" s="176"/>
      <c r="AB7" s="176"/>
      <c r="AC7" s="2334"/>
      <c r="AD7" s="184"/>
      <c r="AE7" s="975">
        <f t="shared" ref="AE7:AE13" ca="1" si="6">IF(AN7="",0,SUMIF(INDIRECT("'"&amp;AN7&amp;"'"&amp;"!E:E"),$AE$5,INDIRECT("'"&amp;AN7&amp;"'"&amp;"!F:F")))</f>
        <v>38.15</v>
      </c>
      <c r="AF7" s="141"/>
      <c r="AG7" s="1216">
        <f t="shared" ref="AG7:AG13" si="7">IF(AF7="",0,AE7-AF7)</f>
        <v>0</v>
      </c>
      <c r="AH7" s="141"/>
      <c r="AI7" s="187">
        <v>365</v>
      </c>
      <c r="AJ7" s="188"/>
      <c r="AK7" s="189">
        <v>1.4999999999999999E-2</v>
      </c>
      <c r="AL7" s="190">
        <v>2E-3</v>
      </c>
      <c r="AM7" s="2425">
        <v>0.02</v>
      </c>
      <c r="AN7" s="2427" t="s">
        <v>3026</v>
      </c>
      <c r="AO7" s="2006"/>
      <c r="AP7" s="1207">
        <f t="shared" ref="AP7:AP13" si="8">ROUND(1-1/(1+H7)^F7,3)</f>
        <v>0.87</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t="str">
        <f>'数据-汇总表'!C21</f>
        <v>车库</v>
      </c>
      <c r="B8" s="2347" t="str">
        <f t="shared" si="1"/>
        <v>经营性</v>
      </c>
      <c r="C8" s="173" t="s">
        <v>3278</v>
      </c>
      <c r="D8" s="2318">
        <f>SUMIF(项目基本情况!D$15:I$15,C8,项目基本情况!D$18:I$18)</f>
        <v>50</v>
      </c>
      <c r="E8" s="2319">
        <f>IF(B8="","",SUMIF(项目基本情况!D$15:I$15,C8,项目基本情况!D$17:I$17))</f>
        <v>60616</v>
      </c>
      <c r="F8" s="174">
        <f>SUMIF(项目基本情况!D$15:I$15,C8,项目基本情况!D$19:I$19)</f>
        <v>48.15</v>
      </c>
      <c r="G8" s="175">
        <f t="shared" si="2"/>
        <v>0.98799999999999999</v>
      </c>
      <c r="H8" s="3065">
        <v>0.04</v>
      </c>
      <c r="I8" s="3065">
        <v>4.4999999999999998E-2</v>
      </c>
      <c r="J8" s="176">
        <v>8.5000000000000006E-2</v>
      </c>
      <c r="K8" s="179">
        <f>SUMIF('数据-汇总表'!C$19:C$33,'数据-取费表'!A8,'数据-汇总表'!E$19:E$33)</f>
        <v>17160</v>
      </c>
      <c r="L8" s="3066">
        <v>1800</v>
      </c>
      <c r="M8" s="177">
        <f>ROUND(K8*L8/10000,0)</f>
        <v>3089</v>
      </c>
      <c r="N8" s="3067">
        <v>0</v>
      </c>
      <c r="O8" s="177">
        <f t="shared" si="3"/>
        <v>0</v>
      </c>
      <c r="P8" s="178">
        <f t="shared" si="4"/>
        <v>3089</v>
      </c>
      <c r="Q8" s="3068">
        <v>0.1</v>
      </c>
      <c r="R8" s="179">
        <f>SUMIF('数据-汇总表'!C$19:C$33,A8,'数据-汇总表'!R$19:R$33)</f>
        <v>5094.6499999999996</v>
      </c>
      <c r="S8" s="132">
        <f>IF('数据-汇总表'!$I$17="按面积比例",SUMIF('数据-汇总表'!C$19:C$33,A8,'数据-汇总表'!K$19:K$33),SUMIF('数据-汇总表'!C$19:C$33,A8,'数据-汇总表'!N$19:N$33))</f>
        <v>1800.1</v>
      </c>
      <c r="T8" s="2244">
        <f t="shared" si="5"/>
        <v>324</v>
      </c>
      <c r="U8" s="180">
        <v>0.8</v>
      </c>
      <c r="V8" s="181">
        <v>0.02</v>
      </c>
      <c r="W8" s="181">
        <v>0.1</v>
      </c>
      <c r="X8" s="2331"/>
      <c r="Y8" s="182">
        <v>1</v>
      </c>
      <c r="Z8" s="183"/>
      <c r="AA8" s="176"/>
      <c r="AB8" s="176"/>
      <c r="AC8" s="2334"/>
      <c r="AD8" s="184"/>
      <c r="AE8" s="975">
        <f t="shared" ca="1" si="6"/>
        <v>48.15</v>
      </c>
      <c r="AF8" s="141"/>
      <c r="AG8" s="1216">
        <f t="shared" si="7"/>
        <v>0</v>
      </c>
      <c r="AH8" s="141"/>
      <c r="AI8" s="187">
        <v>365</v>
      </c>
      <c r="AJ8" s="188"/>
      <c r="AK8" s="189">
        <v>1.4999999999999999E-2</v>
      </c>
      <c r="AL8" s="190">
        <v>1.5E-3</v>
      </c>
      <c r="AM8" s="2425">
        <v>0.01</v>
      </c>
      <c r="AN8" s="2427" t="s">
        <v>3282</v>
      </c>
      <c r="AO8" s="2006"/>
      <c r="AP8" s="1207">
        <f t="shared" si="8"/>
        <v>0.84899999999999998</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2323</v>
      </c>
      <c r="B14" s="2316" t="s">
        <v>1683</v>
      </c>
      <c r="C14" s="2317" t="s">
        <v>2323</v>
      </c>
      <c r="D14" s="2318"/>
      <c r="E14" s="2319"/>
      <c r="F14" s="174"/>
      <c r="G14" s="175"/>
      <c r="H14" s="2320"/>
      <c r="I14" s="2320"/>
      <c r="J14" s="2320"/>
      <c r="K14" s="179">
        <f>SUMIF('数据-汇总表'!C$19:C$33,'数据-取费表'!A14,'数据-汇总表'!E$19:E$33)</f>
        <v>6740</v>
      </c>
      <c r="L14" s="193">
        <v>1800</v>
      </c>
      <c r="M14" s="177">
        <f t="shared" si="0"/>
        <v>1213</v>
      </c>
      <c r="N14" s="194">
        <v>0</v>
      </c>
      <c r="O14" s="177">
        <f t="shared" si="3"/>
        <v>0</v>
      </c>
      <c r="P14" s="178">
        <f t="shared" si="4"/>
        <v>1213</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2325</v>
      </c>
      <c r="B15" s="2316" t="s">
        <v>1683</v>
      </c>
      <c r="C15" s="2317" t="s">
        <v>2324</v>
      </c>
      <c r="D15" s="2318"/>
      <c r="E15" s="2319"/>
      <c r="F15" s="174"/>
      <c r="G15" s="175"/>
      <c r="H15" s="2320"/>
      <c r="I15" s="2320"/>
      <c r="J15" s="2320"/>
      <c r="K15" s="179">
        <f>SUMIF('数据-汇总表'!C$19:C$33,'数据-取费表'!A15,'数据-汇总表'!E$19:E$33)</f>
        <v>1820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0.99299999999999999</v>
      </c>
      <c r="H16" s="203">
        <f>ROUND(SUMPRODUCT(H6:H13,K6:K13)/SUMPRODUCT((H6:H13&gt;0)*(K6:K13)),3)</f>
        <v>4.4999999999999998E-2</v>
      </c>
      <c r="I16" s="204"/>
      <c r="J16" s="204"/>
      <c r="K16" s="205">
        <f>SUM(K6:K15)</f>
        <v>72811</v>
      </c>
      <c r="L16" s="206">
        <f>ROUND(M16*10000/SUM(K6:K14),0)</f>
        <v>2132</v>
      </c>
      <c r="M16" s="206">
        <f>SUM(M6:M14)</f>
        <v>15133</v>
      </c>
      <c r="N16" s="207">
        <f>ROUND(SUMPRODUCT(M6:M14,N6:N14)/M16,3)</f>
        <v>0</v>
      </c>
      <c r="O16" s="206">
        <f>SUM(O6:O14)</f>
        <v>0</v>
      </c>
      <c r="P16" s="206">
        <f>SUM(P6:P14)</f>
        <v>15133</v>
      </c>
      <c r="Q16" s="208">
        <f>ROUND(SUMPRODUCT(Q6:Q13,K6:K13)/SUMPRODUCT((Q6:Q13&gt;0)*(K6:K13)),2)</f>
        <v>0.14000000000000001</v>
      </c>
      <c r="R16" s="2321">
        <f>SUM(R6:R13)</f>
        <v>19564.599999999999</v>
      </c>
      <c r="S16" s="209">
        <f>SUM(S6:S13)</f>
        <v>6740</v>
      </c>
      <c r="T16" s="210">
        <f>IF(SUMIF(T6:T13,"&lt;9E307")=M14,SUMIF(T6:T13,"&lt;9E307"),"有误，请检查")</f>
        <v>1213</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0.91500000000000004</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3179"/>
      <c r="T25" s="3180"/>
      <c r="U25" s="1996"/>
      <c r="V25" s="3179"/>
      <c r="W25" s="3179"/>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3179"/>
      <c r="T26" s="3180"/>
      <c r="U26" s="1996"/>
      <c r="V26" s="3179"/>
      <c r="W26" s="3179"/>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v>290</v>
      </c>
      <c r="C27" s="2377" t="s">
        <v>2351</v>
      </c>
      <c r="D27" s="2002"/>
      <c r="E27" s="2000"/>
      <c r="F27" s="2000"/>
      <c r="G27" s="1998"/>
      <c r="H27" s="1998"/>
      <c r="I27" s="1998"/>
      <c r="J27" s="1998"/>
      <c r="K27" s="1997"/>
      <c r="L27" s="1997"/>
      <c r="M27" s="1995"/>
      <c r="N27" s="1995"/>
      <c r="O27" s="1995"/>
      <c r="P27" s="1995"/>
      <c r="Q27" s="1995"/>
      <c r="R27" s="1995"/>
      <c r="S27" s="3179"/>
      <c r="T27" s="3179"/>
      <c r="U27" s="3179"/>
      <c r="V27" s="3179"/>
      <c r="W27" s="3179"/>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320</v>
      </c>
      <c r="C28" s="2376"/>
      <c r="D28" s="2002"/>
      <c r="E28" s="2000"/>
      <c r="F28" s="2000"/>
      <c r="G28" s="1998"/>
      <c r="H28" s="1998"/>
      <c r="I28" s="1998"/>
      <c r="J28" s="1998"/>
      <c r="K28" s="1997"/>
      <c r="L28" s="1997"/>
      <c r="M28" s="1995"/>
      <c r="N28" s="1995"/>
      <c r="O28" s="1995"/>
      <c r="P28" s="1995"/>
      <c r="Q28" s="1995"/>
      <c r="R28" s="1995"/>
      <c r="S28" s="3179"/>
      <c r="T28" s="3179"/>
      <c r="U28" s="3179"/>
      <c r="V28" s="3179"/>
      <c r="W28" s="3179"/>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v>0</v>
      </c>
      <c r="C29" s="1558" t="s">
        <v>2349</v>
      </c>
      <c r="D29" s="2002"/>
      <c r="E29" s="2000"/>
      <c r="F29" s="2000"/>
      <c r="G29" s="1998"/>
      <c r="H29" s="1998"/>
      <c r="I29" s="1998"/>
      <c r="J29" s="1998"/>
      <c r="K29" s="1997"/>
      <c r="L29" s="1997"/>
      <c r="M29" s="1995"/>
      <c r="N29" s="1995"/>
      <c r="O29" s="1995"/>
      <c r="P29" s="1995"/>
      <c r="Q29" s="1995"/>
      <c r="R29" s="1995"/>
      <c r="S29" s="3179"/>
      <c r="T29" s="3179"/>
      <c r="U29" s="3179"/>
      <c r="V29" s="3179"/>
      <c r="W29" s="3179"/>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200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200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0.05</v>
      </c>
      <c r="C33" s="2375" t="s">
        <v>2906</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0.1</v>
      </c>
      <c r="C34" s="2375" t="s">
        <v>2907</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200</v>
      </c>
      <c r="C35" s="2375" t="s">
        <v>2908</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2909</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2910</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2910</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t="s">
        <v>3307</v>
      </c>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9">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2911</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2912</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2913</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2914</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0.03</v>
      </c>
      <c r="C48" s="3115" t="s">
        <v>2915</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5" t="s">
        <v>2916</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1330</v>
      </c>
      <c r="C53" s="3116" t="s">
        <v>2917</v>
      </c>
      <c r="D53" s="3117" t="s">
        <v>2918</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2919</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2920</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2921</v>
      </c>
      <c r="B56" s="186">
        <v>15</v>
      </c>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2922</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2923</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2924</v>
      </c>
      <c r="B59" s="186"/>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2925</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2926</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2927</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2928</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5" sqref="C5"/>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68" t="s">
        <v>1667</v>
      </c>
      <c r="B1" s="3269"/>
      <c r="C1" s="3269"/>
      <c r="D1" s="3269"/>
      <c r="E1" s="3269"/>
      <c r="F1" s="3269"/>
      <c r="G1" s="3269"/>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56" t="s">
        <v>3170</v>
      </c>
      <c r="D3" s="2015"/>
      <c r="E3" s="1232" t="s">
        <v>1670</v>
      </c>
      <c r="F3" s="1233" t="s">
        <v>1658</v>
      </c>
      <c r="G3" s="3124" t="s">
        <v>2934</v>
      </c>
      <c r="H3" s="2014"/>
      <c r="I3" s="2014"/>
      <c r="J3" s="2014"/>
      <c r="K3" s="2014"/>
      <c r="L3" s="2014"/>
      <c r="M3" s="2014"/>
      <c r="N3" s="2014"/>
      <c r="O3" s="2014"/>
      <c r="P3" s="2014"/>
      <c r="Q3" s="2014"/>
      <c r="R3" s="2014"/>
    </row>
    <row r="4" spans="1:18" ht="41.25">
      <c r="A4" s="1232"/>
      <c r="B4" s="1234" t="s">
        <v>1671</v>
      </c>
      <c r="C4" s="3121" t="s">
        <v>3171</v>
      </c>
      <c r="D4" s="2015"/>
      <c r="E4" s="1235"/>
      <c r="F4" s="1236" t="s">
        <v>1672</v>
      </c>
      <c r="G4" s="3122" t="s">
        <v>2931</v>
      </c>
      <c r="H4" s="2014"/>
      <c r="I4" s="2014"/>
      <c r="J4" s="2014"/>
      <c r="K4" s="2014"/>
      <c r="L4" s="2014"/>
      <c r="M4" s="2014"/>
      <c r="N4" s="2014"/>
      <c r="O4" s="2014"/>
      <c r="P4" s="2014"/>
      <c r="Q4" s="2014"/>
      <c r="R4" s="2014"/>
    </row>
    <row r="5" spans="1:18" ht="41.25">
      <c r="A5" s="1232"/>
      <c r="B5" s="1234" t="s">
        <v>1673</v>
      </c>
      <c r="C5" s="3121" t="s">
        <v>2935</v>
      </c>
      <c r="D5" s="2015"/>
      <c r="E5" s="1235"/>
      <c r="F5" s="1234" t="s">
        <v>2558</v>
      </c>
      <c r="G5" s="3122" t="s">
        <v>2932</v>
      </c>
      <c r="H5" s="2014"/>
      <c r="I5" s="2014"/>
      <c r="J5" s="2014"/>
      <c r="K5" s="2014"/>
      <c r="L5" s="2014"/>
      <c r="M5" s="2014"/>
      <c r="N5" s="2014"/>
      <c r="O5" s="2014"/>
      <c r="P5" s="2014"/>
      <c r="Q5" s="2014"/>
      <c r="R5" s="2014"/>
    </row>
    <row r="6" spans="1:18" ht="54">
      <c r="A6" s="1232"/>
      <c r="B6" s="1234" t="s">
        <v>1659</v>
      </c>
      <c r="C6" s="3122" t="s">
        <v>2931</v>
      </c>
      <c r="D6" s="2015"/>
      <c r="E6" s="1235"/>
      <c r="F6" s="1234" t="s">
        <v>2559</v>
      </c>
      <c r="G6" s="3122" t="s">
        <v>2929</v>
      </c>
      <c r="H6" s="2014"/>
      <c r="I6" s="2014"/>
      <c r="J6" s="2014"/>
      <c r="K6" s="2014"/>
      <c r="L6" s="2014"/>
      <c r="M6" s="2014"/>
      <c r="N6" s="2014"/>
      <c r="O6" s="2014"/>
      <c r="P6" s="2014"/>
      <c r="Q6" s="2014"/>
      <c r="R6" s="2014"/>
    </row>
    <row r="7" spans="1:18" ht="41.25" thickBot="1">
      <c r="A7" s="1232"/>
      <c r="B7" s="1234" t="s">
        <v>2558</v>
      </c>
      <c r="C7" s="3122" t="s">
        <v>2932</v>
      </c>
      <c r="D7" s="2016"/>
      <c r="E7" s="1237"/>
      <c r="F7" s="1238" t="s">
        <v>1674</v>
      </c>
      <c r="G7" s="3125" t="s">
        <v>2933</v>
      </c>
      <c r="H7" s="2014"/>
      <c r="I7" s="2014"/>
      <c r="J7" s="2014"/>
      <c r="K7" s="2014"/>
      <c r="L7" s="2014"/>
      <c r="M7" s="2014"/>
      <c r="N7" s="2014"/>
      <c r="O7" s="2014"/>
      <c r="P7" s="2014"/>
      <c r="Q7" s="2014"/>
      <c r="R7" s="2014"/>
    </row>
    <row r="8" spans="1:18" ht="27">
      <c r="A8" s="1232"/>
      <c r="B8" s="1234" t="s">
        <v>2559</v>
      </c>
      <c r="C8" s="3122" t="s">
        <v>2929</v>
      </c>
      <c r="D8" s="2016"/>
      <c r="E8" s="2016"/>
      <c r="F8" s="1559"/>
      <c r="G8" s="1559"/>
      <c r="H8" s="2014"/>
      <c r="I8" s="2014"/>
      <c r="J8" s="2014"/>
      <c r="K8" s="2014"/>
      <c r="L8" s="2014"/>
      <c r="M8" s="2014"/>
      <c r="N8" s="2014"/>
      <c r="O8" s="2014"/>
      <c r="P8" s="2014"/>
      <c r="Q8" s="2014"/>
      <c r="R8" s="2014"/>
    </row>
    <row r="9" spans="1:18" ht="40.5">
      <c r="A9" s="1232"/>
      <c r="B9" s="1234" t="s">
        <v>1660</v>
      </c>
      <c r="C9" s="3121" t="s">
        <v>2930</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3"/>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估价对象周边居住用地比例、居住小区规模和社区发展完善程度，综合评价居住社区成熟度较好</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估价对象位于XX商圈，周边商业氛围成熟，人流量大，商业繁华度较好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2558</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2559</v>
      </c>
      <c r="G20" s="1008" t="str">
        <f>G6</f>
        <v>估价对象所在区域基础设施水平</v>
      </c>
    </row>
    <row r="21" spans="1:7" ht="27">
      <c r="A21" s="2624"/>
      <c r="B21" s="1234" t="s">
        <v>2558</v>
      </c>
      <c r="C21" s="1008" t="str">
        <f>C7</f>
        <v>估价对象所在区域公共配套设施齐备情况</v>
      </c>
      <c r="D21" s="2015"/>
      <c r="E21" s="2621"/>
      <c r="F21" s="1250" t="s">
        <v>1665</v>
      </c>
      <c r="G21" s="3126"/>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6"/>
      <c r="E23" s="2622"/>
      <c r="F23" s="1251" t="s">
        <v>1679</v>
      </c>
      <c r="G23" s="3127"/>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B20"/>
    </sheetView>
  </sheetViews>
  <sheetFormatPr defaultColWidth="14.625" defaultRowHeight="13.5"/>
  <cols>
    <col min="1" max="1" width="24.375" customWidth="1"/>
  </cols>
  <sheetData>
    <row r="1" spans="1:9" ht="16.5">
      <c r="A1" s="3085" t="s">
        <v>2859</v>
      </c>
      <c r="B1" s="3085">
        <f>SUM(B14:B23)</f>
        <v>608242</v>
      </c>
      <c r="C1" s="3086"/>
      <c r="D1" s="3086"/>
      <c r="E1" s="3086"/>
      <c r="F1" s="3086"/>
    </row>
    <row r="2" spans="1:9" ht="16.5">
      <c r="A2" s="3085" t="s">
        <v>2860</v>
      </c>
      <c r="B2" s="3085">
        <f>SUM(C14:C23)</f>
        <v>122549.50000000001</v>
      </c>
      <c r="C2" s="3086"/>
      <c r="D2" s="3086"/>
      <c r="E2" s="3086"/>
      <c r="F2" s="3086"/>
    </row>
    <row r="3" spans="1:9" ht="16.5">
      <c r="A3" s="3085" t="s">
        <v>2861</v>
      </c>
      <c r="B3" s="3087">
        <f>项目基本情况!D3</f>
        <v>43038</v>
      </c>
      <c r="C3" s="3086"/>
      <c r="D3" s="3086"/>
      <c r="E3" s="3086"/>
      <c r="F3" s="3086"/>
    </row>
    <row r="4" spans="1:9" ht="33">
      <c r="A4" s="3085" t="s">
        <v>2862</v>
      </c>
      <c r="B4" s="3085" t="s">
        <v>2863</v>
      </c>
      <c r="C4" s="3085" t="s">
        <v>2864</v>
      </c>
      <c r="D4" s="3085" t="s">
        <v>2865</v>
      </c>
      <c r="E4" s="3086"/>
      <c r="F4" s="3086"/>
    </row>
    <row r="5" spans="1:9" ht="16.5">
      <c r="A5" s="3085" t="s">
        <v>2866</v>
      </c>
      <c r="B5" s="3085">
        <f ca="1">SUM(D14:D23)</f>
        <v>1022148</v>
      </c>
      <c r="C5" s="3085">
        <f ca="1">ROUND(B5*10000/$B$1,0)</f>
        <v>16805</v>
      </c>
      <c r="D5" s="3085">
        <f ca="1">ROUND(B5*10000/$B$2,0)</f>
        <v>83407</v>
      </c>
      <c r="E5" s="3086"/>
      <c r="F5" s="3086"/>
    </row>
    <row r="6" spans="1:9" ht="16.5">
      <c r="A6" s="3085" t="s">
        <v>2867</v>
      </c>
      <c r="B6" s="3085">
        <f ca="1">SUM(G14:G23)</f>
        <v>129827</v>
      </c>
      <c r="C6" s="3085">
        <f t="shared" ref="C6:C8" ca="1" si="0">ROUND(B6*10000/$B$1,0)</f>
        <v>2134</v>
      </c>
      <c r="D6" s="3085">
        <f t="shared" ref="D6:D8" ca="1" si="1">ROUND(B6*10000/$B$2,0)</f>
        <v>10594</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72811</v>
      </c>
      <c r="C14" s="3089">
        <f>'数据-汇总表'!D3</f>
        <v>19564.599999999999</v>
      </c>
      <c r="D14" s="3089">
        <f ca="1">结果表!C42</f>
        <v>129827</v>
      </c>
      <c r="E14" s="3089">
        <f ca="1">ROUND(D14*10000/B14,0)</f>
        <v>17831</v>
      </c>
      <c r="F14" s="3089">
        <f ca="1">ROUND(D14*10000/C14,0)</f>
        <v>66358</v>
      </c>
      <c r="G14" s="3089">
        <f ca="1">结果表!C44</f>
        <v>129827</v>
      </c>
      <c r="H14" s="3089" t="str">
        <f>结果表!C45</f>
        <v>——</v>
      </c>
      <c r="I14" s="3089" t="str">
        <f>结果表!C46</f>
        <v>——</v>
      </c>
    </row>
    <row r="15" spans="1:9" ht="16.5">
      <c r="A15" s="3092" t="s">
        <v>2876</v>
      </c>
      <c r="B15" s="3093">
        <f>'修正表 (2)'!C18</f>
        <v>66014</v>
      </c>
      <c r="C15" s="3093">
        <f>'修正表 (2)'!C8</f>
        <v>17805.7</v>
      </c>
      <c r="D15" s="3093">
        <f ca="1">'修正表 (2)'!C17</f>
        <v>116535</v>
      </c>
      <c r="E15" s="3089">
        <f t="shared" ref="E15:E23" ca="1" si="2">ROUND(D15*10000/B15,0)</f>
        <v>17653</v>
      </c>
      <c r="F15" s="3089">
        <f t="shared" ref="F15:F23" ca="1" si="3">ROUND(D15*10000/C15,0)</f>
        <v>65448</v>
      </c>
      <c r="G15" s="3090"/>
      <c r="H15" s="3090"/>
      <c r="I15" s="3093"/>
    </row>
    <row r="16" spans="1:9" ht="16.5">
      <c r="A16" s="3092" t="s">
        <v>2877</v>
      </c>
      <c r="B16" s="3093">
        <f>'修正表 (2)'!D18</f>
        <v>67277.75</v>
      </c>
      <c r="C16" s="3093">
        <f>'修正表 (2)'!D8</f>
        <v>18311.3</v>
      </c>
      <c r="D16" s="3093">
        <f ca="1">'修正表 (2)'!D17</f>
        <v>118765</v>
      </c>
      <c r="E16" s="3089">
        <f t="shared" ca="1" si="2"/>
        <v>17653</v>
      </c>
      <c r="F16" s="3089">
        <f t="shared" ca="1" si="3"/>
        <v>64859</v>
      </c>
      <c r="G16" s="3090"/>
      <c r="H16" s="3090"/>
      <c r="I16" s="3093"/>
    </row>
    <row r="17" spans="1:9" ht="16.5">
      <c r="A17" s="3092" t="s">
        <v>2878</v>
      </c>
      <c r="B17" s="3093">
        <f>'修正表 (2)'!E18</f>
        <v>66999.25</v>
      </c>
      <c r="C17" s="3093">
        <f>'修正表 (2)'!E8</f>
        <v>18032</v>
      </c>
      <c r="D17" s="3093">
        <f ca="1">'修正表 (2)'!E17</f>
        <v>117088</v>
      </c>
      <c r="E17" s="3089">
        <f t="shared" ca="1" si="2"/>
        <v>17476</v>
      </c>
      <c r="F17" s="3089">
        <f t="shared" ca="1" si="3"/>
        <v>64933</v>
      </c>
      <c r="G17" s="3090"/>
      <c r="H17" s="3090"/>
      <c r="I17" s="3093"/>
    </row>
    <row r="18" spans="1:9" ht="16.5">
      <c r="A18" s="3092" t="s">
        <v>2879</v>
      </c>
      <c r="B18" s="3093">
        <f>'修正表 (2)'!F18</f>
        <v>201090</v>
      </c>
      <c r="C18" s="3093">
        <f>'修正表 (2)'!F8</f>
        <v>30950.2</v>
      </c>
      <c r="D18" s="3093">
        <f ca="1">'修正表 (2)'!F17</f>
        <v>314306</v>
      </c>
      <c r="E18" s="3089">
        <f t="shared" ca="1" si="2"/>
        <v>15630</v>
      </c>
      <c r="F18" s="3089">
        <f t="shared" ca="1" si="3"/>
        <v>101552</v>
      </c>
      <c r="G18" s="3093"/>
      <c r="H18" s="3093"/>
      <c r="I18" s="3093"/>
    </row>
    <row r="19" spans="1:9" ht="16.5">
      <c r="A19" s="3092" t="s">
        <v>2880</v>
      </c>
      <c r="B19" s="3093">
        <f>'修正表 (2)'!B40</f>
        <v>132450</v>
      </c>
      <c r="C19" s="3093">
        <f>'修正表 (2)'!B30</f>
        <v>14043.6</v>
      </c>
      <c r="D19" s="3093">
        <f ca="1">'修正表 (2)'!B39</f>
        <v>222750</v>
      </c>
      <c r="E19" s="3089">
        <f t="shared" ca="1" si="2"/>
        <v>16818</v>
      </c>
      <c r="F19" s="3089">
        <f t="shared" ca="1" si="3"/>
        <v>158613</v>
      </c>
      <c r="G19" s="3093"/>
      <c r="H19" s="3093"/>
      <c r="I19" s="3093"/>
    </row>
    <row r="20" spans="1:9" ht="16.5">
      <c r="A20" s="3092" t="s">
        <v>2881</v>
      </c>
      <c r="B20" s="3093">
        <f>'修正表 (2)'!C40</f>
        <v>1600</v>
      </c>
      <c r="C20" s="3093">
        <f>'修正表 (2)'!C30</f>
        <v>3842.1</v>
      </c>
      <c r="D20" s="3093">
        <f ca="1">'修正表 (2)'!C39</f>
        <v>2877</v>
      </c>
      <c r="E20" s="3089">
        <f t="shared" ca="1" si="2"/>
        <v>17981</v>
      </c>
      <c r="F20" s="3089">
        <f t="shared" ca="1" si="3"/>
        <v>7488</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2063</v>
      </c>
      <c r="B1" s="1783"/>
      <c r="C1" s="1811" t="s">
        <v>2064</v>
      </c>
      <c r="D1" s="1812"/>
      <c r="E1" s="1811" t="s">
        <v>2065</v>
      </c>
      <c r="F1" s="1813"/>
      <c r="G1" s="314"/>
      <c r="H1" s="314"/>
      <c r="I1" s="314"/>
      <c r="J1" s="2035"/>
      <c r="K1" s="2035"/>
      <c r="L1" s="2035"/>
      <c r="M1" s="2035"/>
      <c r="N1" s="2035"/>
      <c r="O1" s="2035"/>
      <c r="P1" s="2035"/>
      <c r="Q1" s="2035"/>
      <c r="R1" s="2035"/>
      <c r="S1" s="2035"/>
      <c r="T1" s="2035"/>
      <c r="U1" s="2035"/>
      <c r="V1" s="2035"/>
    </row>
    <row r="2" spans="1:22" ht="21.75" customHeight="1" thickBot="1">
      <c r="A2" s="3315" t="str">
        <f>项目基本情况!K2</f>
        <v>天津市河东区津滨大道与东兴立交桥交口东北侧（地块一）出让国有建设用地使用权</v>
      </c>
      <c r="B2" s="3316"/>
      <c r="C2" s="3317"/>
      <c r="D2" s="3317"/>
      <c r="E2" s="3317"/>
      <c r="F2" s="3317"/>
      <c r="G2" s="3316"/>
      <c r="H2" s="3316"/>
      <c r="I2" s="3318"/>
      <c r="J2" s="2036"/>
      <c r="K2" s="2035"/>
      <c r="L2" s="2035"/>
      <c r="M2" s="2035"/>
      <c r="N2" s="2035"/>
      <c r="O2" s="2035"/>
      <c r="P2" s="2035"/>
      <c r="Q2" s="2035"/>
      <c r="R2" s="2035"/>
      <c r="S2" s="2035"/>
      <c r="T2" s="2035"/>
      <c r="U2" s="2035"/>
      <c r="V2" s="2035"/>
    </row>
    <row r="3" spans="1:22" ht="14.25">
      <c r="A3" s="3326" t="s">
        <v>298</v>
      </c>
      <c r="B3" s="3327"/>
      <c r="C3" s="3327"/>
      <c r="D3" s="3327"/>
      <c r="E3" s="3327"/>
      <c r="F3" s="3327"/>
      <c r="G3" s="3327"/>
      <c r="H3" s="3327"/>
      <c r="I3" s="3327"/>
      <c r="J3" s="2036"/>
      <c r="K3" s="2035"/>
      <c r="L3" s="2035"/>
      <c r="M3" s="2035"/>
      <c r="N3" s="2035"/>
      <c r="O3" s="2035"/>
      <c r="P3" s="2035"/>
      <c r="Q3" s="2035"/>
      <c r="R3" s="2035"/>
      <c r="S3" s="2035"/>
      <c r="T3" s="2035"/>
      <c r="U3" s="2035"/>
      <c r="V3" s="2035"/>
    </row>
    <row r="4" spans="1:22" ht="14.25">
      <c r="A4" s="258" t="s">
        <v>299</v>
      </c>
      <c r="B4" s="259" t="s">
        <v>300</v>
      </c>
      <c r="C4" s="260" t="s">
        <v>3009</v>
      </c>
      <c r="D4" s="260" t="s">
        <v>3010</v>
      </c>
      <c r="E4" s="3290" t="s">
        <v>301</v>
      </c>
      <c r="F4" s="3332"/>
      <c r="G4" s="3332"/>
      <c r="H4" s="3332"/>
      <c r="I4" s="3291"/>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319" t="s">
        <v>302</v>
      </c>
      <c r="B5" s="3320">
        <v>25</v>
      </c>
      <c r="C5" s="3328"/>
      <c r="D5" s="3331"/>
      <c r="E5" s="261" t="s">
        <v>303</v>
      </c>
      <c r="F5" s="262"/>
      <c r="G5" s="262"/>
      <c r="H5" s="262"/>
      <c r="I5" s="263"/>
      <c r="J5" s="2036"/>
      <c r="K5" s="2035"/>
      <c r="L5" s="2035"/>
      <c r="M5" s="2035"/>
      <c r="N5" s="2035"/>
      <c r="O5" s="2035"/>
      <c r="P5" s="2035"/>
      <c r="Q5" s="2035"/>
      <c r="R5" s="2035"/>
      <c r="S5" s="2035"/>
      <c r="T5" s="2035"/>
      <c r="U5" s="2035"/>
      <c r="V5" s="2035"/>
    </row>
    <row r="6" spans="1:22" ht="14.25">
      <c r="A6" s="3319"/>
      <c r="B6" s="3320"/>
      <c r="C6" s="3329"/>
      <c r="D6" s="3331"/>
      <c r="E6" s="261" t="s">
        <v>304</v>
      </c>
      <c r="F6" s="262"/>
      <c r="G6" s="262"/>
      <c r="H6" s="262"/>
      <c r="I6" s="263"/>
      <c r="J6" s="2036"/>
      <c r="K6" s="2035"/>
      <c r="L6" s="2035"/>
      <c r="M6" s="2035"/>
      <c r="N6" s="2035"/>
      <c r="O6" s="2035"/>
      <c r="P6" s="2035"/>
      <c r="Q6" s="2035"/>
      <c r="R6" s="2035"/>
      <c r="S6" s="2035"/>
      <c r="T6" s="2035"/>
      <c r="U6" s="2035"/>
      <c r="V6" s="2035"/>
    </row>
    <row r="7" spans="1:22" ht="14.25">
      <c r="A7" s="3319"/>
      <c r="B7" s="3320"/>
      <c r="C7" s="3330"/>
      <c r="D7" s="3331"/>
      <c r="E7" s="261" t="s">
        <v>305</v>
      </c>
      <c r="F7" s="262"/>
      <c r="G7" s="262"/>
      <c r="H7" s="262"/>
      <c r="I7" s="263"/>
      <c r="J7" s="2036"/>
      <c r="K7" s="2035"/>
      <c r="L7" s="2035"/>
      <c r="M7" s="2035"/>
      <c r="N7" s="2035"/>
      <c r="O7" s="2035"/>
      <c r="P7" s="2035"/>
      <c r="Q7" s="2035"/>
      <c r="R7" s="2035"/>
      <c r="S7" s="2035"/>
      <c r="T7" s="2035"/>
      <c r="U7" s="2035"/>
      <c r="V7" s="2035"/>
    </row>
    <row r="8" spans="1:22" ht="14.25">
      <c r="A8" s="3319" t="s">
        <v>306</v>
      </c>
      <c r="B8" s="3320">
        <v>15</v>
      </c>
      <c r="C8" s="3328"/>
      <c r="D8" s="3331"/>
      <c r="E8" s="261" t="s">
        <v>307</v>
      </c>
      <c r="F8" s="262"/>
      <c r="G8" s="262"/>
      <c r="H8" s="262"/>
      <c r="I8" s="263"/>
      <c r="J8" s="2036"/>
      <c r="K8" s="2035"/>
      <c r="L8" s="2035"/>
      <c r="M8" s="2035"/>
      <c r="N8" s="2035"/>
      <c r="O8" s="2035"/>
      <c r="P8" s="2035"/>
      <c r="Q8" s="2035"/>
      <c r="R8" s="2035"/>
      <c r="S8" s="2035"/>
      <c r="T8" s="2035"/>
      <c r="U8" s="2035"/>
      <c r="V8" s="2035"/>
    </row>
    <row r="9" spans="1:22" ht="14.25">
      <c r="A9" s="3319"/>
      <c r="B9" s="3320"/>
      <c r="C9" s="3330"/>
      <c r="D9" s="3331"/>
      <c r="E9" s="261" t="s">
        <v>308</v>
      </c>
      <c r="F9" s="262"/>
      <c r="G9" s="262"/>
      <c r="H9" s="262"/>
      <c r="I9" s="263"/>
      <c r="J9" s="2036"/>
      <c r="K9" s="2035"/>
      <c r="L9" s="2035"/>
      <c r="M9" s="2035"/>
      <c r="N9" s="2035"/>
      <c r="O9" s="2035"/>
      <c r="P9" s="2035"/>
      <c r="Q9" s="2035"/>
      <c r="R9" s="2035"/>
      <c r="S9" s="2035"/>
      <c r="T9" s="2035"/>
      <c r="U9" s="2035"/>
      <c r="V9" s="2035"/>
    </row>
    <row r="10" spans="1:22" ht="14.25">
      <c r="A10" s="3319" t="s">
        <v>309</v>
      </c>
      <c r="B10" s="3320">
        <v>15</v>
      </c>
      <c r="C10" s="3328"/>
      <c r="D10" s="3331"/>
      <c r="E10" s="261" t="s">
        <v>310</v>
      </c>
      <c r="F10" s="262"/>
      <c r="G10" s="262"/>
      <c r="H10" s="262"/>
      <c r="I10" s="263"/>
      <c r="J10" s="2036"/>
      <c r="K10" s="2035"/>
      <c r="L10" s="2035"/>
      <c r="M10" s="2035"/>
      <c r="N10" s="2035"/>
      <c r="O10" s="2035"/>
      <c r="P10" s="2035"/>
      <c r="Q10" s="2035"/>
      <c r="R10" s="2035"/>
      <c r="S10" s="2035"/>
      <c r="T10" s="2035"/>
      <c r="U10" s="2035"/>
      <c r="V10" s="2035"/>
    </row>
    <row r="11" spans="1:22" ht="14.25">
      <c r="A11" s="3319"/>
      <c r="B11" s="3320"/>
      <c r="C11" s="3330"/>
      <c r="D11" s="3331"/>
      <c r="E11" s="261" t="s">
        <v>311</v>
      </c>
      <c r="F11" s="262"/>
      <c r="G11" s="262"/>
      <c r="H11" s="262"/>
      <c r="I11" s="263"/>
      <c r="J11" s="2036"/>
      <c r="K11" s="2035"/>
      <c r="L11" s="2035"/>
      <c r="M11" s="2035"/>
      <c r="N11" s="2035"/>
      <c r="O11" s="2035"/>
      <c r="P11" s="2035"/>
      <c r="Q11" s="2035"/>
      <c r="R11" s="2035"/>
      <c r="S11" s="2035"/>
      <c r="T11" s="2035"/>
      <c r="U11" s="2035"/>
      <c r="V11" s="2035"/>
    </row>
    <row r="12" spans="1:22" ht="14.25">
      <c r="A12" s="3319" t="s">
        <v>312</v>
      </c>
      <c r="B12" s="3320">
        <v>15</v>
      </c>
      <c r="C12" s="3328"/>
      <c r="D12" s="3331"/>
      <c r="E12" s="261" t="s">
        <v>313</v>
      </c>
      <c r="F12" s="262"/>
      <c r="G12" s="262"/>
      <c r="H12" s="262"/>
      <c r="I12" s="263"/>
      <c r="J12" s="2036"/>
      <c r="K12" s="2035"/>
      <c r="L12" s="2035"/>
      <c r="M12" s="2035"/>
      <c r="N12" s="2035"/>
      <c r="O12" s="2035"/>
      <c r="P12" s="2035"/>
      <c r="Q12" s="2035"/>
      <c r="R12" s="2035"/>
      <c r="S12" s="2035"/>
      <c r="T12" s="2035"/>
      <c r="U12" s="2035"/>
      <c r="V12" s="2035"/>
    </row>
    <row r="13" spans="1:22" ht="14.25">
      <c r="A13" s="3319"/>
      <c r="B13" s="3320"/>
      <c r="C13" s="3330"/>
      <c r="D13" s="3331"/>
      <c r="E13" s="261" t="s">
        <v>314</v>
      </c>
      <c r="F13" s="262"/>
      <c r="G13" s="262"/>
      <c r="H13" s="262"/>
      <c r="I13" s="263"/>
      <c r="J13" s="2036"/>
      <c r="K13" s="2035"/>
      <c r="L13" s="2035"/>
      <c r="M13" s="2035"/>
      <c r="N13" s="2035"/>
      <c r="O13" s="2035"/>
      <c r="P13" s="2035"/>
      <c r="Q13" s="2035"/>
      <c r="R13" s="2035"/>
      <c r="S13" s="2035"/>
      <c r="T13" s="2035"/>
      <c r="U13" s="2035"/>
      <c r="V13" s="2035"/>
    </row>
    <row r="14" spans="1:22" ht="14.25">
      <c r="A14" s="3319" t="s">
        <v>315</v>
      </c>
      <c r="B14" s="3320">
        <v>30</v>
      </c>
      <c r="C14" s="3328">
        <v>5</v>
      </c>
      <c r="D14" s="3331">
        <v>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319"/>
      <c r="B15" s="3320"/>
      <c r="C15" s="3329"/>
      <c r="D15" s="3331"/>
      <c r="E15" s="261" t="s">
        <v>317</v>
      </c>
      <c r="F15" s="262"/>
      <c r="G15" s="262"/>
      <c r="H15" s="262"/>
      <c r="I15" s="263"/>
      <c r="J15" s="2036"/>
      <c r="K15" s="2035"/>
      <c r="L15" s="2035"/>
      <c r="M15" s="2035"/>
      <c r="N15" s="2035"/>
      <c r="O15" s="2035"/>
      <c r="P15" s="2035"/>
      <c r="Q15" s="2035"/>
      <c r="R15" s="2035"/>
      <c r="S15" s="2035"/>
      <c r="T15" s="2035"/>
      <c r="U15" s="2035"/>
      <c r="V15" s="2035"/>
    </row>
    <row r="16" spans="1:22" ht="14.25">
      <c r="A16" s="3319"/>
      <c r="B16" s="3320"/>
      <c r="C16" s="3330"/>
      <c r="D16" s="3331"/>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5</v>
      </c>
      <c r="D17" s="265">
        <f>SUM(D5:D16)</f>
        <v>5</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129995</v>
      </c>
      <c r="D19" s="271">
        <f ca="1">SUMIF(INDIRECT("'"&amp;D4&amp;"'"&amp;"!A:A"),结果表!B19,INDIRECT("'"&amp;D4&amp;"'"&amp;"!B:B"))</f>
        <v>129658</v>
      </c>
      <c r="E19" s="268" t="s">
        <v>323</v>
      </c>
      <c r="F19" s="269" t="s">
        <v>322</v>
      </c>
      <c r="G19" s="272">
        <f ca="1">ROUND(C19*$C$18+D19*$D$18,0)</f>
        <v>129827</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17854</v>
      </c>
      <c r="D20" s="277">
        <f ca="1">SUMIF(INDIRECT("'"&amp;D4&amp;"'"&amp;"!A:A"),结果表!B20,INDIRECT("'"&amp;D4&amp;"'"&amp;"!B:B"))</f>
        <v>17807</v>
      </c>
      <c r="E20" s="274"/>
      <c r="F20" s="275" t="s">
        <v>325</v>
      </c>
      <c r="G20" s="278">
        <f ca="1">ROUND(C20*$C$18+D20*$D$18,0)</f>
        <v>17831</v>
      </c>
      <c r="H20" s="279" t="s">
        <v>326</v>
      </c>
      <c r="I20" s="314"/>
      <c r="J20" s="2035"/>
      <c r="K20" s="2035">
        <f ca="1">G19*10000/'数据-汇总表'!F31</f>
        <v>26543.517818077733</v>
      </c>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66444</v>
      </c>
      <c r="D21" s="151">
        <f ca="1">SUMIF(INDIRECT("'"&amp;D4&amp;"'"&amp;"!A:A"),结果表!B21,INDIRECT("'"&amp;D4&amp;"'"&amp;"!B:B"))</f>
        <v>66272</v>
      </c>
      <c r="E21" s="274"/>
      <c r="F21" s="280" t="s">
        <v>327</v>
      </c>
      <c r="G21" s="282">
        <f ca="1">ROUND(C21*$C$18+D21*$D$18,0)</f>
        <v>66358</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2.5991454441685047E-3</v>
      </c>
      <c r="E22" s="284"/>
      <c r="F22" s="285"/>
      <c r="G22" s="286">
        <f ca="1">ROUND(G19/('数据-汇总表'!D3/666.67),0)</f>
        <v>4424</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92"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34"/>
      <c r="B25" s="1324" t="s">
        <v>331</v>
      </c>
      <c r="C25" s="290">
        <f>IF(B30=0,0,C30)</f>
        <v>0</v>
      </c>
      <c r="D25" s="291"/>
      <c r="E25" s="314"/>
      <c r="F25" s="314"/>
      <c r="G25" s="314"/>
      <c r="H25" s="314"/>
      <c r="I25" s="314"/>
      <c r="J25" s="2035"/>
      <c r="K25" s="1258" t="str">
        <f ca="1">项目基本情况!B16&amp;"国有建设用地使用权价格："&amp;O38&amp;"万元"</f>
        <v>出让国有建设用地使用权价格：129827万元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大写金额：人民币壹拾贰亿玖仟捌佰贰拾柒万元整</v>
      </c>
      <c r="L26" s="1255"/>
      <c r="M26" s="1255"/>
      <c r="N26" s="1255"/>
      <c r="O26" s="1254"/>
      <c r="P26" s="2035"/>
      <c r="Q26" s="2035"/>
      <c r="R26" s="2035"/>
      <c r="S26" s="2035"/>
      <c r="T26" s="2035"/>
      <c r="U26" s="2035"/>
      <c r="V26" s="2035"/>
      <c r="W26" s="292"/>
      <c r="X26" s="292"/>
      <c r="Y26" s="292"/>
      <c r="Z26" s="292"/>
    </row>
    <row r="27" spans="1:26" ht="18">
      <c r="A27" s="293"/>
      <c r="B27" s="294"/>
      <c r="C27" s="294">
        <f ca="1">G19*10000/'数据-汇总表'!F31</f>
        <v>26543.517818077733</v>
      </c>
      <c r="D27" s="295"/>
      <c r="E27" s="314"/>
      <c r="F27" s="314"/>
      <c r="G27" s="314"/>
      <c r="H27" s="314"/>
      <c r="I27" s="314"/>
      <c r="J27" s="2035"/>
      <c r="K27" s="1261" t="str">
        <f ca="1">"单位面积地价："&amp;M38&amp;"元/平方米"</f>
        <v>单位面积地价：66358元/平方米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楼面地价：17831元/平方米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抵押价格：129827万元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大写金额：人民币壹拾贰亿玖仟捌佰贰拾柒万元整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129827</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17831</v>
      </c>
      <c r="D33" s="1390" t="s">
        <v>1695</v>
      </c>
      <c r="E33" s="3292"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66358</v>
      </c>
      <c r="D34" s="1392" t="s">
        <v>1695</v>
      </c>
      <c r="E34" s="3293"/>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4424</v>
      </c>
      <c r="D35" s="1395" t="s">
        <v>1697</v>
      </c>
      <c r="E35" s="3294"/>
      <c r="F35" s="304" t="s">
        <v>342</v>
      </c>
      <c r="G35" s="985"/>
      <c r="H35" s="984" t="s">
        <v>343</v>
      </c>
      <c r="I35" s="314"/>
      <c r="J35" s="2035"/>
      <c r="K35" s="3298" t="s">
        <v>350</v>
      </c>
      <c r="L35" s="3298" t="s">
        <v>351</v>
      </c>
      <c r="M35" s="1267" t="s">
        <v>352</v>
      </c>
      <c r="N35" s="3298" t="s">
        <v>353</v>
      </c>
      <c r="O35" s="3298" t="s">
        <v>354</v>
      </c>
      <c r="P35" s="2035"/>
      <c r="V35" s="2035"/>
    </row>
    <row r="36" spans="1:26" ht="16.5" customHeight="1">
      <c r="A36" s="306" t="s">
        <v>344</v>
      </c>
      <c r="B36" s="307" t="s">
        <v>333</v>
      </c>
      <c r="C36" s="308" t="s">
        <v>345</v>
      </c>
      <c r="D36" s="308" t="s">
        <v>346</v>
      </c>
      <c r="E36" s="309" t="s">
        <v>347</v>
      </c>
      <c r="F36" s="314"/>
      <c r="G36" s="314"/>
      <c r="H36" s="314"/>
      <c r="I36" s="314"/>
      <c r="J36" s="2037"/>
      <c r="K36" s="3299"/>
      <c r="L36" s="3299"/>
      <c r="M36" s="1269" t="s">
        <v>355</v>
      </c>
      <c r="N36" s="3299"/>
      <c r="O36" s="3299"/>
      <c r="P36" s="2035"/>
      <c r="V36" s="2035"/>
    </row>
    <row r="37" spans="1:26" ht="16.5" customHeight="1" thickBot="1">
      <c r="A37" s="1263" t="s">
        <v>348</v>
      </c>
      <c r="B37" s="310"/>
      <c r="C37" s="294"/>
      <c r="D37" s="294"/>
      <c r="E37" s="295"/>
      <c r="F37" s="314"/>
      <c r="G37" s="314"/>
      <c r="H37" s="314"/>
      <c r="I37" s="314"/>
      <c r="J37" s="2037"/>
      <c r="K37" s="3300"/>
      <c r="L37" s="3300"/>
      <c r="M37" s="1270"/>
      <c r="N37" s="3300"/>
      <c r="O37" s="3300"/>
      <c r="P37" s="2035"/>
      <c r="V37" s="2035"/>
    </row>
    <row r="38" spans="1:26" ht="16.5" customHeight="1" thickBot="1">
      <c r="A38" s="1263" t="s">
        <v>349</v>
      </c>
      <c r="B38" s="310"/>
      <c r="C38" s="294"/>
      <c r="D38" s="294"/>
      <c r="E38" s="295"/>
      <c r="F38" s="314"/>
      <c r="G38" s="314"/>
      <c r="H38" s="314"/>
      <c r="I38" s="314"/>
      <c r="J38" s="2037"/>
      <c r="K38" s="1271">
        <f>'数据-汇总表'!D3</f>
        <v>19564.599999999999</v>
      </c>
      <c r="L38" s="1272">
        <f>'数据-汇总表'!E3</f>
        <v>72811</v>
      </c>
      <c r="M38" s="1272">
        <f ca="1">C34</f>
        <v>66358</v>
      </c>
      <c r="N38" s="1272">
        <f ca="1">C33</f>
        <v>17831</v>
      </c>
      <c r="O38" s="1273">
        <f ca="1">C32</f>
        <v>129827</v>
      </c>
      <c r="P38" s="2035"/>
      <c r="V38" s="2035"/>
    </row>
    <row r="39" spans="1:26" ht="16.5" customHeight="1" thickBot="1">
      <c r="A39" s="1268"/>
      <c r="B39" s="311"/>
      <c r="C39" s="312"/>
      <c r="D39" s="312"/>
      <c r="E39" s="313"/>
      <c r="F39" s="314"/>
      <c r="G39" s="314"/>
      <c r="H39" s="314"/>
      <c r="I39" s="314"/>
      <c r="J39" s="2037"/>
      <c r="K39" s="3275" t="str">
        <f>MID(A44,3,LEN(A44)-2)</f>
        <v>抵押价格</v>
      </c>
      <c r="L39" s="3276"/>
      <c r="M39" s="3276"/>
      <c r="N39" s="3277"/>
      <c r="O39" s="1397">
        <f ca="1">C44</f>
        <v>129827</v>
      </c>
      <c r="P39" s="2035"/>
      <c r="V39" s="2035"/>
    </row>
    <row r="40" spans="1:26" ht="19.5" thickBot="1">
      <c r="A40" s="104" t="s">
        <v>876</v>
      </c>
      <c r="B40" s="314"/>
      <c r="C40" s="314"/>
      <c r="D40" s="314"/>
      <c r="E40" s="314"/>
      <c r="F40" s="314"/>
      <c r="G40" s="314"/>
      <c r="H40" s="314"/>
      <c r="I40" s="314"/>
      <c r="J40" s="2037"/>
      <c r="K40" s="3275" t="str">
        <f t="shared" ref="K40:K41" si="0">MID(A45,3,LEN(A45)-2)</f>
        <v/>
      </c>
      <c r="L40" s="3276"/>
      <c r="M40" s="3276"/>
      <c r="N40" s="3277"/>
      <c r="O40" s="1397" t="str">
        <f>C45</f>
        <v>——</v>
      </c>
      <c r="P40" s="2035"/>
      <c r="V40" s="2035"/>
    </row>
    <row r="41" spans="1:26" ht="16.5" thickBot="1">
      <c r="A41" s="315" t="s">
        <v>356</v>
      </c>
      <c r="B41" s="316"/>
      <c r="C41" s="317" t="s">
        <v>357</v>
      </c>
      <c r="D41" s="318" t="s">
        <v>358</v>
      </c>
      <c r="E41" s="318" t="s">
        <v>359</v>
      </c>
      <c r="F41" s="319" t="s">
        <v>360</v>
      </c>
      <c r="G41" s="314"/>
      <c r="H41" s="314"/>
      <c r="I41" s="314"/>
      <c r="J41" s="2037"/>
      <c r="K41" s="3275" t="str">
        <f t="shared" si="0"/>
        <v/>
      </c>
      <c r="L41" s="3276"/>
      <c r="M41" s="3276"/>
      <c r="N41" s="3277"/>
      <c r="O41" s="1397" t="str">
        <f>C46</f>
        <v>——</v>
      </c>
      <c r="P41" s="2035"/>
      <c r="V41" s="2035"/>
    </row>
    <row r="42" spans="1:26" ht="29.25">
      <c r="A42" s="3335" t="s">
        <v>2075</v>
      </c>
      <c r="B42" s="3336"/>
      <c r="C42" s="264">
        <f ca="1">C32</f>
        <v>129827</v>
      </c>
      <c r="D42" s="320">
        <f ca="1">C33</f>
        <v>17831</v>
      </c>
      <c r="E42" s="320">
        <f ca="1">C34</f>
        <v>66358</v>
      </c>
      <c r="F42" s="321">
        <f ca="1">C35</f>
        <v>4424</v>
      </c>
      <c r="G42" s="314"/>
      <c r="H42" s="314"/>
      <c r="I42" s="322"/>
      <c r="J42" s="2037"/>
      <c r="K42" s="1274" t="s">
        <v>361</v>
      </c>
      <c r="L42" s="2054" t="s">
        <v>362</v>
      </c>
      <c r="M42" s="1275" t="s">
        <v>363</v>
      </c>
      <c r="N42" s="2055" t="s">
        <v>364</v>
      </c>
      <c r="O42" s="2056" t="s">
        <v>365</v>
      </c>
      <c r="P42" s="2035"/>
      <c r="V42" s="2035"/>
    </row>
    <row r="43" spans="1:26" ht="30">
      <c r="A43" s="3345" t="s">
        <v>2745</v>
      </c>
      <c r="B43" s="3346"/>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129995</v>
      </c>
      <c r="M43" s="1278">
        <f>C18</f>
        <v>0.5</v>
      </c>
      <c r="N43" s="1279">
        <f ca="1">IF(N42="测算结果/万元",G19,G20)</f>
        <v>129827</v>
      </c>
      <c r="O43" s="1280">
        <f ca="1">IF(O42="最终结果/万元",C32,C33)</f>
        <v>129827</v>
      </c>
      <c r="P43" s="2035"/>
      <c r="V43" s="2035"/>
    </row>
    <row r="44" spans="1:26" ht="30.75" thickBot="1">
      <c r="A44" s="3335" t="str">
        <f>IF(OR(项目基本情况!E8="抵押价格",项目基本情况!E8="已注销及未注销"),"3.抵押价格","——")</f>
        <v>3.抵押价格</v>
      </c>
      <c r="B44" s="3336"/>
      <c r="C44" s="264">
        <f ca="1">IF(A44="——","——",C42-C43)</f>
        <v>129827</v>
      </c>
      <c r="D44" s="320">
        <f ca="1">ROUND(C44*10000/'数据-汇总表'!E3,0)</f>
        <v>17831</v>
      </c>
      <c r="E44" s="320">
        <f ca="1">ROUND(C44*10000/'数据-汇总表'!D3,0)</f>
        <v>66358</v>
      </c>
      <c r="F44" s="321">
        <f ca="1">ROUND(C44/('数据-汇总表'!D3/666.67),0)</f>
        <v>4424</v>
      </c>
      <c r="G44" s="314"/>
      <c r="H44" s="314"/>
      <c r="I44" s="322"/>
      <c r="J44" s="2037"/>
      <c r="K44" s="1281" t="str">
        <f>D4</f>
        <v>剩余法-待开发</v>
      </c>
      <c r="L44" s="1282">
        <f ca="1">IF(L42="估价结果/万元",D19,D20)</f>
        <v>129658</v>
      </c>
      <c r="M44" s="1283">
        <f>D18</f>
        <v>0.5</v>
      </c>
      <c r="N44" s="1284"/>
      <c r="O44" s="1285"/>
      <c r="P44" s="2035"/>
      <c r="V44" s="2035"/>
    </row>
    <row r="45" spans="1:26" ht="15">
      <c r="A45" s="3340" t="str">
        <f>IF(项目基本情况!E8="已注销及未注销","4.抵押担保权已注销时的抵押价格",IF(项目基本情况!E8="已注销","3.抵押担保权已注销时的抵押价格","——"))</f>
        <v>——</v>
      </c>
      <c r="B45" s="3341"/>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37" t="str">
        <f>IF(项目基本情况!E9="抵押净值",IF(A45="——","4.抵押净值","5.抵押净值"),"——")</f>
        <v>——</v>
      </c>
      <c r="B46" s="3338"/>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03" t="s">
        <v>374</v>
      </c>
      <c r="B63" s="3304"/>
      <c r="C63" s="3305"/>
      <c r="D63" s="344">
        <f ca="1">ROUND(C42*F63,0)</f>
        <v>77896</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42" t="s">
        <v>378</v>
      </c>
      <c r="B64" s="3343"/>
      <c r="C64" s="3343"/>
      <c r="D64" s="3343"/>
      <c r="E64" s="3343"/>
      <c r="F64" s="3343"/>
      <c r="G64" s="3344"/>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39" t="s">
        <v>386</v>
      </c>
      <c r="B66" s="3310"/>
      <c r="C66" s="3310"/>
      <c r="D66" s="261">
        <f ca="1">IF(H66="情况1",0,IF(H66="情况2",D70,IF(H66="情况3",D71,IF(H66="情况4",D72))))</f>
        <v>4192</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279" t="s">
        <v>385</v>
      </c>
      <c r="M66" s="3280"/>
      <c r="N66" s="2494"/>
      <c r="O66" s="2495"/>
      <c r="P66" s="2496"/>
      <c r="Q66" s="2035"/>
      <c r="R66" s="2035"/>
      <c r="S66" s="2035"/>
      <c r="T66" s="2035"/>
      <c r="U66" s="2035"/>
      <c r="V66" s="2035"/>
    </row>
    <row r="67" spans="1:22" ht="25.5" customHeight="1">
      <c r="A67" s="355" t="s">
        <v>390</v>
      </c>
      <c r="B67" s="3322" t="s">
        <v>391</v>
      </c>
      <c r="C67" s="3322"/>
      <c r="D67" s="356">
        <v>0</v>
      </c>
      <c r="E67" s="41" t="s">
        <v>392</v>
      </c>
      <c r="F67" s="62" t="s">
        <v>21</v>
      </c>
      <c r="G67" s="3306"/>
      <c r="H67" s="314"/>
      <c r="I67" s="1295"/>
      <c r="J67" s="2042"/>
      <c r="K67" s="1983">
        <v>2</v>
      </c>
      <c r="L67" s="3278" t="s">
        <v>389</v>
      </c>
      <c r="M67" s="3278"/>
      <c r="N67" s="1328">
        <f>'数据-取费表'!B2</f>
        <v>43038</v>
      </c>
      <c r="O67" s="1328"/>
      <c r="P67" s="1328"/>
      <c r="Q67" s="2035"/>
      <c r="R67" s="2035"/>
      <c r="S67" s="2035"/>
      <c r="T67" s="2035"/>
      <c r="U67" s="2035"/>
      <c r="V67" s="2035"/>
    </row>
    <row r="68" spans="1:22" ht="25.5" customHeight="1">
      <c r="A68" s="357"/>
      <c r="B68" s="3322" t="s">
        <v>394</v>
      </c>
      <c r="C68" s="3322"/>
      <c r="D68" s="358"/>
      <c r="E68" s="77"/>
      <c r="F68" s="359"/>
      <c r="G68" s="3307"/>
      <c r="H68" s="314"/>
      <c r="I68" s="1295"/>
      <c r="J68" s="2042"/>
      <c r="K68" s="1983">
        <v>3</v>
      </c>
      <c r="L68" s="3278" t="s">
        <v>393</v>
      </c>
      <c r="M68" s="3278"/>
      <c r="N68" s="1296">
        <f ca="1">C42</f>
        <v>129827</v>
      </c>
      <c r="O68" s="1296"/>
      <c r="P68" s="1296"/>
      <c r="Q68" s="2035"/>
      <c r="R68" s="2035"/>
      <c r="S68" s="2035"/>
      <c r="T68" s="2035"/>
      <c r="U68" s="2035"/>
      <c r="V68" s="2035"/>
    </row>
    <row r="69" spans="1:22" ht="12" customHeight="1">
      <c r="A69" s="360"/>
      <c r="B69" s="3322" t="s">
        <v>395</v>
      </c>
      <c r="C69" s="3322"/>
      <c r="D69" s="361"/>
      <c r="E69" s="73"/>
      <c r="F69" s="359"/>
      <c r="G69" s="3308"/>
      <c r="H69" s="314"/>
      <c r="I69" s="1295"/>
      <c r="J69" s="2042"/>
      <c r="K69" s="1297">
        <v>4</v>
      </c>
      <c r="L69" s="3284" t="s">
        <v>2898</v>
      </c>
      <c r="M69" s="3285"/>
      <c r="N69" s="1298">
        <f ca="1">C44</f>
        <v>129827</v>
      </c>
      <c r="O69" s="1298"/>
      <c r="P69" s="1298"/>
      <c r="Q69" s="2035"/>
      <c r="R69" s="2035"/>
      <c r="S69" s="2035"/>
      <c r="T69" s="2035"/>
      <c r="U69" s="2035"/>
      <c r="V69" s="2035"/>
    </row>
    <row r="70" spans="1:22" ht="24" customHeight="1">
      <c r="A70" s="362" t="s">
        <v>396</v>
      </c>
      <c r="B70" s="3322" t="s">
        <v>397</v>
      </c>
      <c r="C70" s="3322"/>
      <c r="D70" s="361">
        <f ca="1">ROUND(D63*'数据-取费表'!B41/(1+'数据-取费表'!C42),0)</f>
        <v>4192</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321" t="s">
        <v>405</v>
      </c>
      <c r="C71" s="3333"/>
      <c r="D71" s="361">
        <f ca="1">ROUND(D63*'数据-取费表'!B41/(1+'数据-取费表'!C42),0)</f>
        <v>4192</v>
      </c>
      <c r="E71" s="17" t="s">
        <v>398</v>
      </c>
      <c r="F71" s="363">
        <f>'数据-取费表'!B41</f>
        <v>5.6500000000000002E-2</v>
      </c>
      <c r="G71" s="364"/>
      <c r="H71" s="314"/>
      <c r="I71" s="1295"/>
      <c r="J71" s="2042"/>
      <c r="K71" s="3101" t="s">
        <v>399</v>
      </c>
      <c r="L71" s="3286" t="s">
        <v>400</v>
      </c>
      <c r="M71" s="3286"/>
      <c r="N71" s="3101" t="s">
        <v>401</v>
      </c>
      <c r="O71" s="3101" t="s">
        <v>402</v>
      </c>
      <c r="P71" s="3101" t="s">
        <v>403</v>
      </c>
      <c r="Q71" s="2035"/>
      <c r="R71" s="2035"/>
      <c r="S71" s="2035"/>
      <c r="T71" s="2035"/>
      <c r="U71" s="2035"/>
      <c r="V71" s="2035"/>
    </row>
    <row r="72" spans="1:22" ht="12" customHeight="1">
      <c r="A72" s="362" t="s">
        <v>407</v>
      </c>
      <c r="B72" s="3321" t="s">
        <v>408</v>
      </c>
      <c r="C72" s="3333"/>
      <c r="D72" s="361">
        <f ca="1">C86</f>
        <v>4079</v>
      </c>
      <c r="E72" s="73" t="s">
        <v>409</v>
      </c>
      <c r="F72" s="363">
        <f>'数据-取费表'!B41</f>
        <v>5.6500000000000002E-2</v>
      </c>
      <c r="G72" s="364"/>
      <c r="H72" s="1301"/>
      <c r="I72" s="1295"/>
      <c r="J72" s="2042"/>
      <c r="K72" s="1983">
        <v>1</v>
      </c>
      <c r="L72" s="3283" t="s">
        <v>406</v>
      </c>
      <c r="M72" s="3283"/>
      <c r="N72" s="1299">
        <f ca="1">D66</f>
        <v>4192</v>
      </c>
      <c r="O72" s="1866" t="str">
        <f>E66</f>
        <v>销售额×税（费）率</v>
      </c>
      <c r="P72" s="1300">
        <f>F66</f>
        <v>5.6500000000000002E-2</v>
      </c>
      <c r="Q72" s="2035"/>
      <c r="R72" s="2035"/>
      <c r="S72" s="2035"/>
      <c r="T72" s="2035"/>
      <c r="U72" s="2035"/>
      <c r="V72" s="2035"/>
    </row>
    <row r="73" spans="1:22" ht="24" customHeight="1">
      <c r="A73" s="3309" t="s">
        <v>411</v>
      </c>
      <c r="B73" s="3310"/>
      <c r="C73" s="3310"/>
      <c r="D73" s="365">
        <f>IF(H73="个人住宅",0,ROUND(D63*I73,0))</f>
        <v>0</v>
      </c>
      <c r="E73" s="17" t="s">
        <v>412</v>
      </c>
      <c r="F73" s="363" t="str">
        <f>IF(H73="正常",I73,"免征")</f>
        <v>免征</v>
      </c>
      <c r="G73" s="364"/>
      <c r="H73" s="191" t="s">
        <v>2466</v>
      </c>
      <c r="I73" s="363">
        <f>'数据-取费表'!B49</f>
        <v>5.0000000000000001E-4</v>
      </c>
      <c r="J73" s="2042"/>
      <c r="K73" s="1983">
        <v>2</v>
      </c>
      <c r="L73" s="3283" t="s">
        <v>410</v>
      </c>
      <c r="M73" s="3283"/>
      <c r="N73" s="1299">
        <f t="shared" ref="N73:P74" si="1">D73</f>
        <v>0</v>
      </c>
      <c r="O73" s="1866" t="str">
        <f t="shared" si="1"/>
        <v>销售额×税（费）率</v>
      </c>
      <c r="P73" s="1300" t="str">
        <f t="shared" si="1"/>
        <v>免征</v>
      </c>
      <c r="Q73" s="2035"/>
      <c r="R73" s="2035"/>
      <c r="S73" s="2035"/>
      <c r="T73" s="2035"/>
      <c r="U73" s="2035"/>
      <c r="V73" s="2035"/>
    </row>
    <row r="74" spans="1:22" ht="24.75">
      <c r="A74" s="3309" t="s">
        <v>415</v>
      </c>
      <c r="B74" s="3310"/>
      <c r="C74" s="3310"/>
      <c r="D74" s="365">
        <f ca="1">IF(H74="个人住宅",D75,D76)</f>
        <v>43399</v>
      </c>
      <c r="E74" s="17" t="s">
        <v>416</v>
      </c>
      <c r="F74" s="363" t="str">
        <f>IF(H74="正常",F76,"免征")</f>
        <v>——</v>
      </c>
      <c r="G74" s="986" t="s">
        <v>417</v>
      </c>
      <c r="H74" s="366" t="s">
        <v>413</v>
      </c>
      <c r="I74" s="42"/>
      <c r="J74" s="2042"/>
      <c r="K74" s="1983">
        <v>3</v>
      </c>
      <c r="L74" s="3283" t="s">
        <v>414</v>
      </c>
      <c r="M74" s="3283"/>
      <c r="N74" s="1299">
        <f t="shared" ca="1" si="1"/>
        <v>43399</v>
      </c>
      <c r="O74" s="1866" t="str">
        <f t="shared" si="1"/>
        <v>增值额×税（费）率</v>
      </c>
      <c r="P74" s="1302" t="str">
        <f t="shared" si="1"/>
        <v>——</v>
      </c>
      <c r="Q74" s="2035"/>
      <c r="R74" s="2035"/>
      <c r="S74" s="2035"/>
      <c r="T74" s="2035"/>
      <c r="U74" s="2035"/>
      <c r="V74" s="2035"/>
    </row>
    <row r="75" spans="1:22" ht="24">
      <c r="A75" s="362" t="s">
        <v>418</v>
      </c>
      <c r="B75" s="3290" t="s">
        <v>419</v>
      </c>
      <c r="C75" s="3291"/>
      <c r="D75" s="367">
        <v>0</v>
      </c>
      <c r="E75" s="41" t="s">
        <v>420</v>
      </c>
      <c r="F75" s="368"/>
      <c r="G75" s="364"/>
      <c r="H75" s="42"/>
      <c r="I75" s="42"/>
      <c r="J75" s="2042"/>
      <c r="K75" s="3094">
        <f>IF(H77="非个人房产","",4)</f>
        <v>4</v>
      </c>
      <c r="L75" s="3283" t="str">
        <f>IF(H77="非个人房产","——","个人所得税")</f>
        <v>个人所得税</v>
      </c>
      <c r="M75" s="3283"/>
      <c r="N75" s="1303">
        <f ca="1">D77</f>
        <v>779</v>
      </c>
      <c r="O75" s="1879" t="str">
        <f>E77</f>
        <v>销售额×税（费）率</v>
      </c>
      <c r="P75" s="1304">
        <f>F77</f>
        <v>0.01</v>
      </c>
      <c r="Q75" s="2035"/>
      <c r="R75" s="2035"/>
      <c r="S75" s="2035"/>
      <c r="T75" s="2035"/>
      <c r="U75" s="2035"/>
      <c r="V75" s="2035"/>
    </row>
    <row r="76" spans="1:22" ht="24.75">
      <c r="A76" s="362" t="s">
        <v>396</v>
      </c>
      <c r="B76" s="3290" t="s">
        <v>422</v>
      </c>
      <c r="C76" s="3332"/>
      <c r="D76" s="365">
        <f ca="1">IF(H76="转让取得",C99,C115)</f>
        <v>43399</v>
      </c>
      <c r="E76" s="17" t="s">
        <v>423</v>
      </c>
      <c r="F76" s="53" t="s">
        <v>21</v>
      </c>
      <c r="G76" s="364"/>
      <c r="H76" s="366" t="s">
        <v>424</v>
      </c>
      <c r="I76" s="42"/>
      <c r="J76" s="2042"/>
      <c r="K76" s="3094" t="str">
        <f>IF(项目基本情况!K6="上海银行",IF(K75="",4,K75+1),"")</f>
        <v/>
      </c>
      <c r="L76" s="3271" t="str">
        <f>IF(项目基本情况!K6="上海银行","其他处置费用","")</f>
        <v/>
      </c>
      <c r="M76" s="3272"/>
      <c r="N76" s="1299" t="str">
        <f>IF(项目基本情况!K6="上海银行",N89,"")</f>
        <v/>
      </c>
      <c r="O76" s="3273" t="str">
        <f>IF(项目基本情况!K6="上海银行","包含处置中涉及的律师、诉讼、拍卖、评估等费用","")</f>
        <v/>
      </c>
      <c r="P76" s="3274"/>
      <c r="Q76" s="2035"/>
      <c r="R76" s="2035"/>
      <c r="S76" s="2035"/>
      <c r="T76" s="2035"/>
      <c r="U76" s="2035"/>
      <c r="V76" s="2035"/>
    </row>
    <row r="77" spans="1:22" ht="26.25" thickBot="1">
      <c r="A77" s="3301" t="s">
        <v>426</v>
      </c>
      <c r="B77" s="3302"/>
      <c r="C77" s="3302"/>
      <c r="D77" s="369">
        <f ca="1">IF(H77="非个人房产","——",IF(H77="个人住宅",0,ROUND(D63*I77,0)))</f>
        <v>779</v>
      </c>
      <c r="E77" s="370" t="str">
        <f>IF(H77="非个人房产","——","销售额×税（费）率")</f>
        <v>销售额×税（费）率</v>
      </c>
      <c r="F77" s="371">
        <f>IF(H77="非个人房产","——",IF(H77="个人住宅","免征",I77))</f>
        <v>0.01</v>
      </c>
      <c r="G77" s="987" t="s">
        <v>417</v>
      </c>
      <c r="H77" s="366" t="s">
        <v>2899</v>
      </c>
      <c r="I77" s="372">
        <v>0.01</v>
      </c>
      <c r="J77" s="2042"/>
      <c r="K77" s="3297">
        <f>IF(AND(K75="",K76=""),4,IF(项目基本情况!K6="上海银行",K76+1,K75+1))</f>
        <v>5</v>
      </c>
      <c r="L77" s="3283" t="s">
        <v>2900</v>
      </c>
      <c r="M77" s="3100" t="s">
        <v>421</v>
      </c>
      <c r="N77" s="1305"/>
      <c r="O77" s="1306">
        <f ca="1">SUMIF(N72:N76,"&lt;9e307")</f>
        <v>48370</v>
      </c>
      <c r="P77" s="1307"/>
      <c r="Q77" s="3098">
        <f ca="1">O77/N69</f>
        <v>0.3725727314040993</v>
      </c>
      <c r="R77" s="2035"/>
      <c r="S77" s="2035"/>
      <c r="T77" s="2035"/>
      <c r="U77" s="2035"/>
      <c r="V77" s="2035"/>
    </row>
    <row r="78" spans="1:22" ht="12" customHeight="1">
      <c r="A78" s="1308"/>
      <c r="B78" s="314"/>
      <c r="C78" s="314"/>
      <c r="D78" s="314"/>
      <c r="E78" s="42"/>
      <c r="F78" s="42"/>
      <c r="G78" s="42"/>
      <c r="H78" s="1006"/>
      <c r="I78" s="314"/>
      <c r="J78" s="2042"/>
      <c r="K78" s="3297"/>
      <c r="L78" s="3283"/>
      <c r="M78" s="3100" t="s">
        <v>425</v>
      </c>
      <c r="N78" s="1305"/>
      <c r="O78" s="1306" t="str">
        <f ca="1">NUMBERSTRING(INT(O77*10000),2)&amp;"元整"</f>
        <v>肆亿捌仟叁佰柒拾万元整</v>
      </c>
      <c r="P78" s="1307"/>
      <c r="Q78" s="2035"/>
      <c r="R78" s="2035"/>
      <c r="S78" s="2035"/>
      <c r="T78" s="2035"/>
      <c r="U78" s="2035"/>
      <c r="V78" s="2035"/>
    </row>
    <row r="79" spans="1:22" ht="13.5" thickBot="1">
      <c r="A79" s="3287" t="s">
        <v>427</v>
      </c>
      <c r="B79" s="3287"/>
      <c r="C79" s="3287"/>
      <c r="D79" s="3287"/>
      <c r="E79" s="3287"/>
      <c r="F79" s="42"/>
      <c r="G79" s="42"/>
      <c r="H79" s="1006"/>
      <c r="I79" s="314"/>
      <c r="J79" s="2042"/>
      <c r="K79" s="3281">
        <f>K77+1</f>
        <v>6</v>
      </c>
      <c r="L79" s="3283" t="s">
        <v>2901</v>
      </c>
      <c r="M79" s="3100" t="s">
        <v>421</v>
      </c>
      <c r="N79" s="1305"/>
      <c r="O79" s="1306">
        <f ca="1">N69-O77</f>
        <v>81457</v>
      </c>
      <c r="P79" s="1307"/>
      <c r="Q79" s="2035"/>
      <c r="R79" s="2035"/>
      <c r="S79" s="2035"/>
      <c r="T79" s="2035"/>
      <c r="U79" s="2035"/>
      <c r="V79" s="2035"/>
    </row>
    <row r="80" spans="1:22" ht="25.5">
      <c r="A80" s="3288" t="s">
        <v>428</v>
      </c>
      <c r="B80" s="3289"/>
      <c r="C80" s="997"/>
      <c r="D80" s="997" t="s">
        <v>429</v>
      </c>
      <c r="E80" s="373" t="s">
        <v>430</v>
      </c>
      <c r="F80" s="42"/>
      <c r="G80" s="42"/>
      <c r="H80" s="1006"/>
      <c r="I80" s="314"/>
      <c r="J80" s="2035"/>
      <c r="K80" s="3282"/>
      <c r="L80" s="3283"/>
      <c r="M80" s="3100" t="s">
        <v>425</v>
      </c>
      <c r="N80" s="1305"/>
      <c r="O80" s="1306" t="str">
        <f ca="1">NUMBERSTRING(INT(O79*10000),2)&amp;"元整"</f>
        <v>捌亿壹仟肆佰伍拾柒万元整</v>
      </c>
      <c r="P80" s="1307"/>
      <c r="Q80" s="2035"/>
      <c r="R80" s="2035"/>
      <c r="S80" s="2035"/>
      <c r="T80" s="2035"/>
      <c r="U80" s="2035"/>
      <c r="V80" s="2035"/>
    </row>
    <row r="81" spans="1:26" ht="13.5" thickBot="1">
      <c r="A81" s="384" t="s">
        <v>1828</v>
      </c>
      <c r="B81" s="374" t="s">
        <v>431</v>
      </c>
      <c r="C81" s="375">
        <f ca="1">ROUND((C82+C83)/(1+'数据-取费表'!C42),0)</f>
        <v>74187</v>
      </c>
      <c r="D81" s="376"/>
      <c r="E81" s="377"/>
      <c r="F81" s="42"/>
      <c r="G81" s="42"/>
      <c r="H81" s="1006"/>
      <c r="I81" s="314"/>
      <c r="J81" s="2035"/>
      <c r="K81" s="3094">
        <f>K79+1</f>
        <v>7</v>
      </c>
      <c r="L81" s="3295" t="s">
        <v>2902</v>
      </c>
      <c r="M81" s="3296"/>
      <c r="N81" s="1309"/>
      <c r="O81" s="1310">
        <f ca="1">ROUND(O79*10000/'数据-汇总表'!E3,0)</f>
        <v>11187</v>
      </c>
      <c r="P81" s="1311"/>
      <c r="Q81" s="2035"/>
      <c r="R81" s="2035"/>
      <c r="S81" s="2035"/>
      <c r="T81" s="2035"/>
      <c r="U81" s="2035"/>
      <c r="V81" s="2035"/>
    </row>
    <row r="82" spans="1:26" ht="13.5" thickTop="1">
      <c r="A82" s="378" t="s">
        <v>1829</v>
      </c>
      <c r="B82" s="379" t="s">
        <v>432</v>
      </c>
      <c r="C82" s="380">
        <f ca="1">D63</f>
        <v>77896</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70" t="s">
        <v>2889</v>
      </c>
      <c r="L83" s="3106" t="s">
        <v>2890</v>
      </c>
      <c r="M83" s="3096">
        <f ca="1">IF(N69&gt;10000,N69*0.5%,IF(AND(N69&gt;1000,N69&lt;=10000),N69*1%,IF(AND(N69&gt;100,N69&lt;=1000),N69*3%,IF(AND(N69&gt;10,N69&lt;=100),N69*5%,N69*8%))))</f>
        <v>649.13499999999999</v>
      </c>
      <c r="N83" s="53">
        <f ca="1">ROUND(M83,1)</f>
        <v>649.1</v>
      </c>
      <c r="O83" s="3099"/>
      <c r="P83" s="2035"/>
      <c r="Q83" s="2035"/>
      <c r="R83" s="2035"/>
      <c r="S83" s="2035"/>
      <c r="T83" s="2035"/>
      <c r="U83" s="2035"/>
      <c r="V83" s="2035"/>
    </row>
    <row r="84" spans="1:26" ht="12.75">
      <c r="A84" s="384" t="s">
        <v>1831</v>
      </c>
      <c r="B84" s="385" t="s">
        <v>434</v>
      </c>
      <c r="C84" s="386">
        <v>2000</v>
      </c>
      <c r="D84" s="387" t="s">
        <v>19</v>
      </c>
      <c r="E84" s="3140" t="s">
        <v>2954</v>
      </c>
      <c r="F84" s="42"/>
      <c r="G84" s="42"/>
      <c r="H84" s="1006"/>
      <c r="I84" s="314"/>
      <c r="J84" s="2035"/>
      <c r="K84" s="3270"/>
      <c r="L84" s="3106" t="s">
        <v>2891</v>
      </c>
      <c r="M84" s="3096">
        <f ca="1">IF(N69&gt;2000,N69*0.5%,IF(AND(N69&gt;1000,N69&lt;=2000),N69*0.6%,IF(AND(N69&gt;500,N69&lt;=1000),N69*0.7%,IF(AND(N69&gt;200,N69&lt;=500),N69*0.8%,IF(AND(N69&gt;100,N69&lt;=200),N69*0.9%,IF(AND(N69&gt;50,N69&lt;=100),N69*1%,IF(AND(N69&gt;20,N69&lt;=50),N69*1.5%,IF(AND(N69&gt;10,N69&lt;=20),N69*2%,IF(AND(N69&gt;1,N69&lt;=10),N69*2.5%)))))))))</f>
        <v>649.13499999999999</v>
      </c>
      <c r="N84" s="53">
        <f t="shared" ref="N84:N85" ca="1" si="2">ROUND(M84,1)</f>
        <v>649.1</v>
      </c>
      <c r="O84" s="2035" t="s">
        <v>2892</v>
      </c>
      <c r="P84" s="2035"/>
      <c r="Q84" s="2035"/>
      <c r="R84" s="2035"/>
      <c r="S84" s="2035"/>
      <c r="T84" s="2035"/>
      <c r="U84" s="2035"/>
      <c r="V84" s="2035"/>
    </row>
    <row r="85" spans="1:26" ht="12.75">
      <c r="A85" s="384" t="s">
        <v>1832</v>
      </c>
      <c r="B85" s="385" t="s">
        <v>435</v>
      </c>
      <c r="C85" s="388">
        <f ca="1">C81-C84</f>
        <v>72187</v>
      </c>
      <c r="D85" s="381" t="s">
        <v>19</v>
      </c>
      <c r="E85" s="382"/>
      <c r="F85" s="42"/>
      <c r="G85" s="42"/>
      <c r="H85" s="1006"/>
      <c r="I85" s="314"/>
      <c r="J85" s="2035"/>
      <c r="K85" s="3270"/>
      <c r="L85" s="3106" t="s">
        <v>2893</v>
      </c>
      <c r="M85" s="3096">
        <f ca="1">IF(N69&gt;1000,N69*0.1%,IF(AND(N69&gt;500,N69&lt;=1000),N69*0.5%,IF(AND(N69&gt;50,N69&lt;=500),N69*1%,IF(AND(N69&gt;1,N69&lt;=50),N69*1.5%))))</f>
        <v>129.827</v>
      </c>
      <c r="N85" s="53">
        <f t="shared" ca="1" si="2"/>
        <v>129.80000000000001</v>
      </c>
      <c r="O85" s="2035" t="s">
        <v>2892</v>
      </c>
      <c r="P85" s="2035"/>
      <c r="Q85" s="2035"/>
      <c r="R85" s="2035"/>
      <c r="S85" s="2035"/>
      <c r="T85" s="2035"/>
      <c r="U85" s="2035"/>
      <c r="V85" s="2035"/>
    </row>
    <row r="86" spans="1:26" ht="13.5" thickBot="1">
      <c r="A86" s="389" t="s">
        <v>1833</v>
      </c>
      <c r="B86" s="390" t="s">
        <v>436</v>
      </c>
      <c r="C86" s="391">
        <f ca="1">IF(C85&lt;=0,0,ROUND(C85*D86,0))</f>
        <v>4079</v>
      </c>
      <c r="D86" s="392">
        <f>'数据-取费表'!B41</f>
        <v>5.6500000000000002E-2</v>
      </c>
      <c r="E86" s="393"/>
      <c r="F86" s="42"/>
      <c r="G86" s="42"/>
      <c r="H86" s="1006"/>
      <c r="I86" s="314"/>
      <c r="J86" s="2035"/>
      <c r="K86" s="3270"/>
      <c r="L86" s="3106" t="s">
        <v>2894</v>
      </c>
      <c r="M86" s="3096">
        <f ca="1">N69*0.5%</f>
        <v>649.13499999999999</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70"/>
      <c r="L87" s="3106" t="s">
        <v>2896</v>
      </c>
      <c r="M87" s="3096">
        <f ca="1">IF(N69&gt;=10000,(8.25+(N69-10000)*0.01%),IF(AND(N69&gt;=8000,N69&lt;10000),(7.85+(N69-8000)*0.02%),IF(AND(N69&gt;=5000,N69&lt;8000),(6.65+(N69-5000)*0.04%),IF(AND(N69&gt;=2000,N69&lt;5000),(4.25+(PN69-2000)*0.08%),IF(AND(N69&gt;=1000,N69&lt;2000),(2.75+(N69-1000)*0.15%),IF(AND(N69&gt;=100,N69&lt;1000),(0.5+(N69-100)*0.25%),IF(AND(N69&gt;0,N69&lt;100),N69*0.5%)))))))</f>
        <v>20.232700000000001</v>
      </c>
      <c r="N87" s="53">
        <f ca="1">ROUND(M87*0.9,1)</f>
        <v>18.2</v>
      </c>
      <c r="O87" s="3099"/>
      <c r="P87" s="314"/>
      <c r="Q87" s="2035"/>
      <c r="R87" s="2035"/>
      <c r="S87" s="2035"/>
      <c r="T87" s="2035"/>
      <c r="U87" s="2035"/>
      <c r="V87" s="2035"/>
      <c r="W87" s="292"/>
      <c r="X87" s="292"/>
      <c r="Y87" s="292"/>
      <c r="Z87" s="292"/>
    </row>
    <row r="88" spans="1:26" s="1317" customFormat="1" ht="15" thickBot="1">
      <c r="A88" s="3324" t="s">
        <v>437</v>
      </c>
      <c r="B88" s="3325"/>
      <c r="C88" s="3325"/>
      <c r="D88" s="3325"/>
      <c r="E88" s="3325"/>
      <c r="F88" s="3325"/>
      <c r="G88" s="3325"/>
      <c r="H88" s="3325"/>
      <c r="I88" s="1318"/>
      <c r="J88" s="2043"/>
      <c r="K88" s="3270"/>
      <c r="L88" s="3106" t="s">
        <v>2897</v>
      </c>
      <c r="M88" s="3096">
        <f ca="1">IF(N69&gt;10000,N69*0.5%,IF(AND(N69&gt;5000,N69&lt;=10000),N69*1%,IF(AND(N69&gt;1000,N69&lt;=5000),N69*2%,IF(AND(N69&gt;200,N69&lt;=1000),N69*3%,N69*5%))))</f>
        <v>649.13499999999999</v>
      </c>
      <c r="N88" s="53">
        <f ca="1">ROUND(M88,1)</f>
        <v>649.1</v>
      </c>
      <c r="O88" s="3099"/>
      <c r="P88" s="11"/>
      <c r="Q88" s="2040"/>
      <c r="R88" s="2040"/>
      <c r="S88" s="2040"/>
      <c r="T88" s="2040"/>
      <c r="U88" s="2040"/>
      <c r="V88" s="2040"/>
      <c r="W88" s="2044"/>
      <c r="X88" s="2044"/>
      <c r="Y88" s="2044"/>
      <c r="Z88" s="2044"/>
    </row>
    <row r="89" spans="1:26" s="1317" customFormat="1" ht="14.25">
      <c r="A89" s="3288" t="s">
        <v>428</v>
      </c>
      <c r="B89" s="3289"/>
      <c r="C89" s="997"/>
      <c r="D89" s="997" t="s">
        <v>429</v>
      </c>
      <c r="E89" s="394" t="s">
        <v>438</v>
      </c>
      <c r="F89" s="395"/>
      <c r="G89" s="395"/>
      <c r="H89" s="396"/>
      <c r="I89" s="1319"/>
      <c r="J89" s="2045"/>
      <c r="K89" s="3270"/>
      <c r="L89" s="3106" t="s">
        <v>27</v>
      </c>
      <c r="M89" s="3097"/>
      <c r="N89" s="53">
        <f ca="1">ROUND(SUM(N83:N88),0)</f>
        <v>2096</v>
      </c>
      <c r="O89" s="3107">
        <f ca="1">N89/N69</f>
        <v>1.614456160891032E-2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74187</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3043</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321" t="s">
        <v>447</v>
      </c>
      <c r="F94" s="3322"/>
      <c r="G94" s="3322"/>
      <c r="H94" s="3323"/>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482</v>
      </c>
      <c r="D96" s="409">
        <f>'数据-取费表'!B43</f>
        <v>6.5000000000000006E-3</v>
      </c>
      <c r="E96" s="3311" t="s">
        <v>2438</v>
      </c>
      <c r="F96" s="3312"/>
      <c r="G96" s="3312"/>
      <c r="H96" s="3313"/>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71144</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23.379559645087085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41621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24" t="s">
        <v>454</v>
      </c>
      <c r="B101" s="3325"/>
      <c r="C101" s="3325"/>
      <c r="D101" s="3325"/>
      <c r="E101" s="3325"/>
      <c r="F101" s="3325"/>
      <c r="G101" s="3325"/>
      <c r="H101" s="3325"/>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88" t="s">
        <v>428</v>
      </c>
      <c r="B102" s="3289"/>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74187</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1172</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572</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314" t="s">
        <v>462</v>
      </c>
      <c r="F109" s="3312"/>
      <c r="G109" s="3312"/>
      <c r="H109" s="1948" t="s">
        <v>2287</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314" t="s">
        <v>464</v>
      </c>
      <c r="F110" s="3312"/>
      <c r="G110" s="3312"/>
      <c r="H110" s="3313"/>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482</v>
      </c>
      <c r="D111" s="409">
        <f>'数据-取费表'!B43</f>
        <v>6.5000000000000006E-3</v>
      </c>
      <c r="E111" s="3311" t="s">
        <v>2438</v>
      </c>
      <c r="F111" s="3312"/>
      <c r="G111" s="3312"/>
      <c r="H111" s="3313"/>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314" t="s">
        <v>2463</v>
      </c>
      <c r="F112" s="3312"/>
      <c r="G112" s="3312"/>
      <c r="H112" s="3313"/>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73015</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62.299488054607508</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43399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rintOptions horizontalCentered="1" verticalCentered="1"/>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4" workbookViewId="0">
      <selection activeCell="M24" sqref="M24"/>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9</v>
      </c>
    </row>
    <row r="2" spans="1:31" s="2048" customFormat="1" ht="18" customHeight="1">
      <c r="A2" s="2112" t="s">
        <v>467</v>
      </c>
      <c r="B2" s="2116">
        <f ca="1">C36</f>
        <v>129658</v>
      </c>
      <c r="C2" s="2115"/>
      <c r="D2" s="2115"/>
      <c r="E2" s="2115"/>
      <c r="F2" s="2115"/>
      <c r="G2" s="2115"/>
      <c r="H2" s="2115"/>
      <c r="I2" s="2115"/>
      <c r="J2" s="2115"/>
      <c r="K2" s="2115"/>
    </row>
    <row r="3" spans="1:31" s="2048" customFormat="1" ht="18" customHeight="1">
      <c r="A3" s="2117" t="s">
        <v>1688</v>
      </c>
      <c r="B3" s="2118">
        <f ca="1">ROUND(B2*10000/IF(B1="",'数据-汇总表'!E3,INDIRECT("'数据-取费表'!K"&amp;$K$1)),0)</f>
        <v>17807</v>
      </c>
      <c r="C3" s="2115"/>
      <c r="D3" s="2115"/>
      <c r="E3" s="2115"/>
      <c r="F3" s="2115"/>
      <c r="G3" s="2115"/>
      <c r="H3" s="2115"/>
      <c r="I3" s="2115"/>
      <c r="J3" s="2115"/>
      <c r="K3" s="2115"/>
    </row>
    <row r="4" spans="1:31" s="2048" customFormat="1" ht="18" customHeight="1">
      <c r="A4" s="429" t="s">
        <v>468</v>
      </c>
      <c r="B4" s="430">
        <f ca="1">ROUND(B2*10000/IF(B1="",'数据-汇总表'!D3,INDIRECT("'数据-取费表'!R"&amp;$K$1)),0)</f>
        <v>66272</v>
      </c>
      <c r="C4" s="431"/>
      <c r="D4" s="425"/>
      <c r="E4" s="425"/>
      <c r="F4" s="425"/>
      <c r="G4" s="425"/>
      <c r="H4" s="425"/>
      <c r="I4" s="425"/>
      <c r="J4" s="425"/>
      <c r="K4" s="425"/>
    </row>
    <row r="5" spans="1:31" s="2048" customFormat="1" ht="18" customHeight="1" thickBot="1">
      <c r="A5" s="432"/>
      <c r="B5" s="433">
        <f ca="1">ROUND(B2/(IF(B1="",'数据-汇总表'!D3,INDIRECT("'数据-取费表'!R"&amp;$K$1))/666.67),0)</f>
        <v>4418</v>
      </c>
      <c r="C5" s="434" t="s">
        <v>469</v>
      </c>
      <c r="D5" s="425"/>
      <c r="E5" s="425"/>
      <c r="F5" s="425"/>
      <c r="G5" s="425"/>
      <c r="H5" s="425"/>
      <c r="I5" s="425"/>
      <c r="J5" s="425"/>
      <c r="K5" s="425"/>
    </row>
    <row r="6" spans="1:31" s="2122" customFormat="1" ht="16.5" customHeight="1">
      <c r="A6" s="2868" t="s">
        <v>1847</v>
      </c>
      <c r="B6" s="2869"/>
      <c r="C6" s="2870">
        <f ca="1">SUM(C10:K10)</f>
        <v>208070</v>
      </c>
      <c r="D6" s="2869"/>
      <c r="E6" s="2869"/>
      <c r="F6" s="2869"/>
      <c r="G6" s="2869"/>
      <c r="H6" s="2869"/>
      <c r="I6" s="2869"/>
      <c r="J6" s="2869"/>
      <c r="K6" s="2871"/>
    </row>
    <row r="7" spans="1:31" s="2124" customFormat="1" ht="15">
      <c r="A7" s="2872" t="s">
        <v>470</v>
      </c>
      <c r="B7" s="2873" t="s">
        <v>471</v>
      </c>
      <c r="C7" s="439" t="s">
        <v>3024</v>
      </c>
      <c r="D7" s="439" t="s">
        <v>3022</v>
      </c>
      <c r="E7" s="439" t="s">
        <v>3278</v>
      </c>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'不动产比较法-住宅'!B3</f>
        <v>43178</v>
      </c>
      <c r="D8" s="2874">
        <f ca="1">不动产收益法!B3</f>
        <v>38308</v>
      </c>
      <c r="E8" s="2874">
        <f ca="1">'不动产收益法 (2)'!B3</f>
        <v>4621</v>
      </c>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40541</v>
      </c>
      <c r="D9" s="444">
        <f>SUMIF('数据-汇总表'!$C19:$C33,'剩余法-待开发'!D7,'数据-汇总表'!$E19:$E33)</f>
        <v>6550</v>
      </c>
      <c r="E9" s="444">
        <f>SUMIF('数据-汇总表'!$C19:$C33,'剩余法-待开发'!E7,'数据-汇总表'!$E19:$E33)</f>
        <v>17160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175048</v>
      </c>
      <c r="D10" s="3069">
        <f ca="1">不动产收益法!B2</f>
        <v>25092</v>
      </c>
      <c r="E10" s="3069">
        <f ca="1">'不动产收益法 (2)'!B2</f>
        <v>7930</v>
      </c>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15133</v>
      </c>
      <c r="D13" s="2884"/>
      <c r="E13" s="2885"/>
      <c r="F13" s="2886"/>
      <c r="G13" s="2852"/>
      <c r="H13" s="2853"/>
      <c r="I13" s="2853"/>
      <c r="J13" s="2853"/>
      <c r="K13" s="2854"/>
    </row>
    <row r="14" spans="1:31" s="2127" customFormat="1" ht="13.5" customHeight="1">
      <c r="A14" s="2882" t="s">
        <v>1854</v>
      </c>
      <c r="B14" s="2883" t="s">
        <v>480</v>
      </c>
      <c r="C14" s="53">
        <f ca="1">ROUND(C13*F14,0)</f>
        <v>757</v>
      </c>
      <c r="D14" s="2884"/>
      <c r="E14" s="2885"/>
      <c r="F14" s="2887">
        <f>'数据-取费表'!B33</f>
        <v>0.05</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932</v>
      </c>
      <c r="D15" s="2884"/>
      <c r="E15" s="2885"/>
      <c r="F15" s="2887">
        <f>'数据-取费表'!B34</f>
        <v>0.1</v>
      </c>
      <c r="G15" s="2852" t="s">
        <v>483</v>
      </c>
      <c r="H15" s="2853"/>
      <c r="I15" s="2853"/>
      <c r="J15" s="2853"/>
      <c r="K15" s="2854"/>
    </row>
    <row r="16" spans="1:31" s="2128" customFormat="1" ht="13.5" customHeight="1">
      <c r="A16" s="2882" t="s">
        <v>1856</v>
      </c>
      <c r="B16" s="2883" t="s">
        <v>484</v>
      </c>
      <c r="C16" s="53">
        <f ca="1">ROUND(D16*E16/10000,0)</f>
        <v>1456</v>
      </c>
      <c r="D16" s="2884">
        <f ca="1">IF(B1="",'数据-汇总表'!E3,INDIRECT("'数据-取费表'!K"&amp;$K$1)+INDIRECT("'数据-取费表'!S"&amp;$K$1))</f>
        <v>72811</v>
      </c>
      <c r="E16" s="53">
        <f>'数据-取费表'!B35</f>
        <v>200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227</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18505</v>
      </c>
      <c r="D18" s="2893"/>
      <c r="E18" s="471"/>
      <c r="F18" s="471"/>
      <c r="G18" s="2856" t="s">
        <v>2440</v>
      </c>
      <c r="H18" s="2857"/>
      <c r="I18" s="2857"/>
      <c r="J18" s="2857"/>
      <c r="K18" s="2858"/>
    </row>
    <row r="19" spans="1:14" s="2127" customFormat="1" ht="13.5" customHeight="1">
      <c r="A19" s="2890" t="s">
        <v>1859</v>
      </c>
      <c r="B19" s="2891" t="s">
        <v>488</v>
      </c>
      <c r="C19" s="2848">
        <f ca="1">ROUND(D19*E19/10000,0)</f>
        <v>1456</v>
      </c>
      <c r="D19" s="2894">
        <f ca="1">D16</f>
        <v>72811</v>
      </c>
      <c r="E19" s="2848">
        <f>'数据-取费表'!B32</f>
        <v>200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2209</v>
      </c>
      <c r="D20" s="2894"/>
      <c r="E20" s="2848"/>
      <c r="F20" s="2895"/>
      <c r="G20" s="3128"/>
      <c r="H20" s="2850"/>
      <c r="I20" s="2851" t="s">
        <v>2666</v>
      </c>
      <c r="J20" s="2857"/>
      <c r="K20" s="2858"/>
    </row>
    <row r="21" spans="1:14" s="2127" customFormat="1" ht="13.5" customHeight="1">
      <c r="A21" s="2882" t="s">
        <v>1861</v>
      </c>
      <c r="B21" s="2883" t="s">
        <v>491</v>
      </c>
      <c r="C21" s="53">
        <f ca="1">ROUND(D21*E21/10000,0)</f>
        <v>1176</v>
      </c>
      <c r="D21" s="2884">
        <f ca="1">IF(B1="",'数据-汇总表'!E5,IF(INDIRECT("'数据-取费表'!c"&amp;$K$1)="住宅",INDIRECT("'数据-取费表'!k"&amp;$K$1),0))</f>
        <v>40541</v>
      </c>
      <c r="E21" s="53">
        <f>'数据-取费表'!B27</f>
        <v>290</v>
      </c>
      <c r="F21" s="2887"/>
      <c r="G21" s="26"/>
      <c r="H21" s="51"/>
      <c r="I21" s="51"/>
      <c r="J21" s="51"/>
      <c r="K21" s="2859"/>
    </row>
    <row r="22" spans="1:14" s="2127" customFormat="1" ht="13.5" customHeight="1">
      <c r="A22" s="2882" t="s">
        <v>1862</v>
      </c>
      <c r="B22" s="2883" t="s">
        <v>492</v>
      </c>
      <c r="C22" s="53">
        <f ca="1">ROUND(D22*E22/10000,0)</f>
        <v>1033</v>
      </c>
      <c r="D22" s="2884">
        <f ca="1">IF(B1="",'数据-汇总表'!E6,IF(INDIRECT("'数据-取费表'!c"&amp;$K$1)="住宅",INDIRECT("'数据-取费表'!s"&amp;$K$1),INDIRECT("'数据-取费表'!k"&amp;$K$1)+INDIRECT("'数据-取费表'!s"&amp;$K$1)))</f>
        <v>32270</v>
      </c>
      <c r="E22" s="53">
        <f>'数据-取费表'!B28</f>
        <v>320</v>
      </c>
      <c r="F22" s="2887"/>
      <c r="G22" s="26"/>
      <c r="H22" s="51"/>
      <c r="I22" s="51"/>
      <c r="J22" s="51"/>
      <c r="K22" s="2859"/>
    </row>
    <row r="23" spans="1:14" s="2127" customFormat="1" ht="13.5" customHeight="1">
      <c r="A23" s="2890" t="s">
        <v>1863</v>
      </c>
      <c r="B23" s="3075" t="s">
        <v>2849</v>
      </c>
      <c r="C23" s="2892">
        <f ca="1">ROUND((C18+C19+C20)*F23,0)</f>
        <v>443</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4161</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2.9000000000000001E-2</v>
      </c>
      <c r="D25" s="465" t="s">
        <v>2844</v>
      </c>
      <c r="E25" s="472"/>
      <c r="F25" s="2896">
        <f>'数据-取费表'!B48+'数据-取费表'!B49</f>
        <v>3.0499999999999999E-2</v>
      </c>
      <c r="G25" s="2860" t="s">
        <v>2297</v>
      </c>
      <c r="H25" s="2853"/>
      <c r="I25" s="2853"/>
      <c r="J25" s="2853"/>
      <c r="K25" s="2854"/>
    </row>
    <row r="26" spans="1:14" s="2129" customFormat="1" ht="13.5" customHeight="1">
      <c r="A26" s="2890" t="s">
        <v>1866</v>
      </c>
      <c r="B26" s="3076" t="s">
        <v>2851</v>
      </c>
      <c r="C26" s="2897">
        <f ca="1">C28</f>
        <v>1272</v>
      </c>
      <c r="D26" s="470">
        <f ca="1">C27</f>
        <v>0.10009999999999999</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0.10009999999999999</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1272</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11196</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39242</v>
      </c>
      <c r="D30" s="480">
        <f ca="1">C32</f>
        <v>0.12909999999999999</v>
      </c>
      <c r="E30" s="472" t="s">
        <v>495</v>
      </c>
      <c r="F30" s="474"/>
      <c r="G30" s="2852" t="s">
        <v>501</v>
      </c>
      <c r="H30" s="2853"/>
      <c r="I30" s="2853"/>
      <c r="J30" s="2853"/>
      <c r="K30" s="2854"/>
    </row>
    <row r="31" spans="1:14" s="2131" customFormat="1" ht="13.5" customHeight="1">
      <c r="A31" s="806" t="s">
        <v>1861</v>
      </c>
      <c r="B31" s="2898"/>
      <c r="C31" s="453">
        <f ca="1">C18+C19+C20+C23+C24+C26+C29</f>
        <v>39242</v>
      </c>
      <c r="D31" s="475"/>
      <c r="E31" s="476"/>
      <c r="F31" s="477"/>
      <c r="G31" s="261"/>
      <c r="H31" s="2855"/>
      <c r="I31" s="2855"/>
      <c r="J31" s="2855"/>
      <c r="K31" s="279"/>
    </row>
    <row r="32" spans="1:14" s="2131" customFormat="1" ht="13.5" customHeight="1">
      <c r="A32" s="806" t="s">
        <v>1862</v>
      </c>
      <c r="B32" s="2898"/>
      <c r="C32" s="53">
        <f ca="1">ROUND(C25+D26,4)</f>
        <v>0.12909999999999999</v>
      </c>
      <c r="D32" s="475"/>
      <c r="E32" s="476"/>
      <c r="F32" s="477"/>
      <c r="G32" s="261"/>
      <c r="H32" s="2855"/>
      <c r="I32" s="2855"/>
      <c r="J32" s="2855"/>
      <c r="K32" s="279"/>
    </row>
    <row r="33" spans="1:11" s="2133" customFormat="1" ht="13.5" customHeight="1">
      <c r="A33" s="3074" t="s">
        <v>2848</v>
      </c>
      <c r="B33" s="3072" t="s">
        <v>2846</v>
      </c>
      <c r="C33" s="481">
        <f ca="1">C35</f>
        <v>3748</v>
      </c>
      <c r="D33" s="470">
        <f ca="1">C34</f>
        <v>0.14410000000000001</v>
      </c>
      <c r="E33" s="472" t="s">
        <v>495</v>
      </c>
      <c r="F33" s="482">
        <f ca="1">IF(B1="",'数据-取费表'!Q16,INDIRECT("'数据-取费表'!q"&amp;$K$1))</f>
        <v>0.14000000000000001</v>
      </c>
      <c r="G33" s="2856"/>
      <c r="H33" s="2857"/>
      <c r="I33" s="2857"/>
      <c r="J33" s="2857"/>
      <c r="K33" s="2858"/>
    </row>
    <row r="34" spans="1:11" s="2134" customFormat="1" ht="13.5" customHeight="1">
      <c r="A34" s="378" t="s">
        <v>1861</v>
      </c>
      <c r="B34" s="2903" t="s">
        <v>502</v>
      </c>
      <c r="C34" s="475">
        <f ca="1">ROUND((1+C25)*F33,4)</f>
        <v>0.14410000000000001</v>
      </c>
      <c r="D34" s="475"/>
      <c r="E34" s="476"/>
      <c r="F34" s="483"/>
      <c r="G34" s="261" t="s">
        <v>2298</v>
      </c>
      <c r="H34" s="2855"/>
      <c r="I34" s="2855"/>
      <c r="J34" s="2855"/>
      <c r="K34" s="279"/>
    </row>
    <row r="35" spans="1:11" s="2134" customFormat="1" ht="13.5" customHeight="1" thickBot="1">
      <c r="A35" s="1642" t="s">
        <v>1862</v>
      </c>
      <c r="B35" s="3073" t="s">
        <v>2854</v>
      </c>
      <c r="C35" s="1634">
        <f ca="1">ROUND((C18+C19+C20+C23+C24)*F33,0)</f>
        <v>3748</v>
      </c>
      <c r="D35" s="1635"/>
      <c r="E35" s="2904"/>
      <c r="F35" s="1636"/>
      <c r="G35" s="2862"/>
      <c r="H35" s="2863"/>
      <c r="I35" s="2863"/>
      <c r="J35" s="2863"/>
      <c r="K35" s="2864"/>
    </row>
    <row r="36" spans="1:11" s="2093" customFormat="1" ht="13.5" customHeight="1" thickBot="1">
      <c r="A36" s="284" t="s">
        <v>1849</v>
      </c>
      <c r="B36" s="2866"/>
      <c r="C36" s="2905">
        <f ca="1">ROUND((C6-C30-C33)/(1+D30+D33),0)</f>
        <v>129658</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rintOptions horizontalCentered="1" verticalCentered="1"/>
  <pageMargins left="0.70866141732283472" right="0.70866141732283472" top="0.74803149606299213" bottom="0.74803149606299213" header="0.31496062992125984" footer="0.31496062992125984"/>
  <pageSetup paperSize="9" scale="4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9</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15133</v>
      </c>
      <c r="D13" s="454"/>
      <c r="E13" s="368"/>
      <c r="F13" s="455"/>
      <c r="G13" s="447"/>
      <c r="H13" s="450"/>
      <c r="I13" s="450"/>
      <c r="J13" s="450"/>
      <c r="K13" s="451"/>
    </row>
    <row r="14" spans="1:41" s="2127" customFormat="1" ht="13.5" customHeight="1">
      <c r="A14" s="1639" t="s">
        <v>1854</v>
      </c>
      <c r="B14" s="452" t="s">
        <v>480</v>
      </c>
      <c r="C14" s="53">
        <f ca="1">ROUND(C13*F14,0)</f>
        <v>757</v>
      </c>
      <c r="D14" s="454"/>
      <c r="E14" s="368"/>
      <c r="F14" s="456">
        <f>'数据-取费表'!B33</f>
        <v>0.05</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932</v>
      </c>
      <c r="D15" s="454"/>
      <c r="E15" s="368"/>
      <c r="F15" s="456">
        <f>'数据-取费表'!B34</f>
        <v>0.1</v>
      </c>
      <c r="G15" s="447" t="s">
        <v>503</v>
      </c>
      <c r="H15" s="450"/>
      <c r="I15" s="450"/>
      <c r="J15" s="450"/>
      <c r="K15" s="451"/>
    </row>
    <row r="16" spans="1:41" s="2128" customFormat="1" ht="13.5" customHeight="1">
      <c r="A16" s="1639" t="s">
        <v>1856</v>
      </c>
      <c r="B16" s="452" t="s">
        <v>484</v>
      </c>
      <c r="C16" s="53">
        <f ca="1">ROUND(D16*E16/10000,0)</f>
        <v>1456</v>
      </c>
      <c r="D16" s="454">
        <f ca="1">IF(B1="",'数据-汇总表'!E3,INDIRECT("'数据-取费表'!K"&amp;$K$1)+INDIRECT("'数据-取费表'!S"&amp;$K$1))</f>
        <v>72811</v>
      </c>
      <c r="E16" s="53">
        <f>'数据-取费表'!B35</f>
        <v>200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227</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18505</v>
      </c>
      <c r="D18" s="464"/>
      <c r="E18" s="465"/>
      <c r="F18" s="465"/>
      <c r="G18" s="1330" t="s">
        <v>2442</v>
      </c>
      <c r="H18" s="450"/>
      <c r="I18" s="450"/>
      <c r="J18" s="450"/>
      <c r="K18" s="451"/>
    </row>
    <row r="19" spans="1:14" s="2130" customFormat="1" ht="13.5" customHeight="1">
      <c r="A19" s="1640" t="s">
        <v>1859</v>
      </c>
      <c r="B19" s="462" t="s">
        <v>493</v>
      </c>
      <c r="C19" s="463">
        <f ca="1">ROUND(C18*F19,0)</f>
        <v>370</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897</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897</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2643</v>
      </c>
      <c r="D24" s="492">
        <f ca="1">C26</f>
        <v>2.8E-3</v>
      </c>
      <c r="E24" s="472" t="s">
        <v>508</v>
      </c>
      <c r="F24" s="482">
        <f ca="1">IF(B1="",'数据-取费表'!Q16,INDIRECT("'数据-取费表'!q"&amp;$K$1))</f>
        <v>0.14000000000000001</v>
      </c>
      <c r="G24" s="447"/>
      <c r="H24" s="450"/>
      <c r="I24" s="450"/>
      <c r="J24" s="450"/>
      <c r="K24" s="451"/>
    </row>
    <row r="25" spans="1:14" s="2131" customFormat="1" ht="13.5" customHeight="1">
      <c r="A25" s="1639" t="s">
        <v>1853</v>
      </c>
      <c r="B25" s="1331" t="s">
        <v>2446</v>
      </c>
      <c r="C25" s="493">
        <f ca="1">ROUND((C18+C19)*F24,0)</f>
        <v>2643</v>
      </c>
      <c r="D25" s="475"/>
      <c r="E25" s="476"/>
      <c r="F25" s="483"/>
      <c r="G25" s="1329" t="s">
        <v>2443</v>
      </c>
      <c r="H25" s="460"/>
      <c r="I25" s="460"/>
      <c r="J25" s="460"/>
      <c r="K25" s="461"/>
    </row>
    <row r="26" spans="1:14" s="2131" customFormat="1" ht="13.5" customHeight="1">
      <c r="A26" s="1639" t="s">
        <v>1854</v>
      </c>
      <c r="B26" s="1331" t="s">
        <v>510</v>
      </c>
      <c r="C26" s="494">
        <f ca="1">ROUND(F20*F24,4)</f>
        <v>2.8E-3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2299</v>
      </c>
      <c r="H27" s="450"/>
      <c r="I27" s="450"/>
      <c r="J27" s="450"/>
      <c r="K27" s="451"/>
    </row>
    <row r="28" spans="1:14" s="2132" customFormat="1" ht="13.5" customHeight="1">
      <c r="A28" s="1643" t="s">
        <v>1873</v>
      </c>
      <c r="B28" s="479" t="s">
        <v>513</v>
      </c>
      <c r="C28" s="473">
        <f ca="1">ROUND((C18+C19+C21+C24)/(1-C20-D21-D24-C27),0)</f>
        <v>24301</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82" t="str">
        <f>项目基本情况!B1</f>
        <v>天津市河东区津滨大道与东兴立交桥交口东北侧（地块一）出让国有建设用地使用权预评估</v>
      </c>
      <c r="C37" s="3182"/>
      <c r="D37" s="3182"/>
      <c r="E37" s="3182"/>
      <c r="F37" s="3182"/>
      <c r="G37" s="3182"/>
      <c r="H37" s="3182"/>
      <c r="I37" s="3182"/>
    </row>
    <row r="38" spans="1:9">
      <c r="A38" s="1662"/>
      <c r="B38" s="1662"/>
    </row>
    <row r="39" spans="1:9">
      <c r="A39" s="1660" t="s">
        <v>1906</v>
      </c>
      <c r="B39" s="1660" t="s">
        <v>2054</v>
      </c>
    </row>
    <row r="40" spans="1:9">
      <c r="A40" s="1660"/>
      <c r="B40" s="1660">
        <f>项目基本情况!B5</f>
        <v>0</v>
      </c>
    </row>
    <row r="41" spans="1:9">
      <c r="A41" s="1660"/>
      <c r="B41" s="1660"/>
    </row>
    <row r="42" spans="1:9">
      <c r="A42" s="1660" t="s">
        <v>1906</v>
      </c>
      <c r="B42" s="1660" t="s">
        <v>2055</v>
      </c>
    </row>
    <row r="43" spans="1:9">
      <c r="A43" s="1660"/>
      <c r="B43" s="1660" t="s">
        <v>1908</v>
      </c>
    </row>
    <row r="44" spans="1:9">
      <c r="A44" s="1660"/>
      <c r="B44" s="1660"/>
    </row>
    <row r="45" spans="1:9">
      <c r="A45" s="1660" t="s">
        <v>1906</v>
      </c>
      <c r="B45" s="1660" t="s">
        <v>2053</v>
      </c>
    </row>
    <row r="46" spans="1:9" s="1660" customFormat="1" ht="12.75">
      <c r="B46" s="1660" t="str">
        <f>项目基本情况!K4</f>
        <v>吴薇、梁津</v>
      </c>
    </row>
    <row r="47" spans="1:9">
      <c r="A47" s="1660"/>
      <c r="B47" s="1660"/>
    </row>
    <row r="48" spans="1:9">
      <c r="A48" s="1660" t="s">
        <v>1906</v>
      </c>
      <c r="B48" s="1660" t="s">
        <v>2056</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G7" sqref="G7:H7"/>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129995</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17854</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66444</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4430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69" t="s">
        <v>523</v>
      </c>
      <c r="D6" s="3370"/>
      <c r="E6" s="3369" t="s">
        <v>524</v>
      </c>
      <c r="F6" s="3370"/>
      <c r="G6" s="3369" t="s">
        <v>525</v>
      </c>
      <c r="H6" s="3370"/>
      <c r="I6" s="3369" t="s">
        <v>526</v>
      </c>
      <c r="J6" s="3370"/>
      <c r="K6" s="517" t="s">
        <v>527</v>
      </c>
      <c r="L6" s="2144"/>
      <c r="M6" s="2143"/>
      <c r="N6" s="2143"/>
      <c r="O6" s="2145"/>
      <c r="P6" s="3371" t="s">
        <v>528</v>
      </c>
      <c r="Q6" s="3372"/>
      <c r="R6" s="3357" t="s">
        <v>524</v>
      </c>
      <c r="S6" s="3358"/>
      <c r="T6" s="3357" t="s">
        <v>525</v>
      </c>
      <c r="U6" s="3358"/>
      <c r="V6" s="3377" t="s">
        <v>526</v>
      </c>
      <c r="W6" s="3377"/>
      <c r="X6" s="1573"/>
      <c r="Y6" s="3357" t="s">
        <v>528</v>
      </c>
      <c r="Z6" s="3358"/>
      <c r="AA6" s="3352" t="s">
        <v>524</v>
      </c>
      <c r="AB6" s="3353" t="s">
        <v>525</v>
      </c>
      <c r="AC6" s="3352" t="s">
        <v>526</v>
      </c>
    </row>
    <row r="7" spans="1:30" ht="33.75" customHeight="1">
      <c r="A7" s="518"/>
      <c r="B7" s="519"/>
      <c r="C7" s="3382" t="s">
        <v>2941</v>
      </c>
      <c r="D7" s="3381"/>
      <c r="E7" s="3380" t="str">
        <f>土地案例!A2</f>
        <v>东丽区程新道南侧、迭山路西侧</v>
      </c>
      <c r="F7" s="3381"/>
      <c r="G7" s="3380" t="str">
        <f>土地案例!A4</f>
        <v>东丽区津滨大道与沙柳路交口西北侧</v>
      </c>
      <c r="H7" s="3381"/>
      <c r="I7" s="3380" t="str">
        <f>土地案例!A5</f>
        <v>河东区广瑞西路与北十五经路交口东南侧</v>
      </c>
      <c r="J7" s="3381"/>
      <c r="K7" s="517"/>
      <c r="L7" s="2144"/>
      <c r="M7" s="2143"/>
      <c r="N7" s="2143"/>
      <c r="O7" s="2145"/>
      <c r="P7" s="3373"/>
      <c r="Q7" s="3374"/>
      <c r="R7" s="3359"/>
      <c r="S7" s="3360"/>
      <c r="T7" s="3359"/>
      <c r="U7" s="3360"/>
      <c r="V7" s="3377"/>
      <c r="W7" s="3377"/>
      <c r="X7" s="1573"/>
      <c r="Y7" s="3359"/>
      <c r="Z7" s="3360"/>
      <c r="AA7" s="3353"/>
      <c r="AB7" s="3353"/>
      <c r="AC7" s="3353"/>
    </row>
    <row r="8" spans="1:30" ht="21" thickBot="1">
      <c r="A8" s="518"/>
      <c r="B8" s="519"/>
      <c r="C8" s="3383" t="s">
        <v>2945</v>
      </c>
      <c r="D8" s="3384"/>
      <c r="E8" s="3383" t="s">
        <v>2945</v>
      </c>
      <c r="F8" s="3384"/>
      <c r="G8" s="3378" t="s">
        <v>2945</v>
      </c>
      <c r="H8" s="3379"/>
      <c r="I8" s="3378" t="s">
        <v>2945</v>
      </c>
      <c r="J8" s="3379"/>
      <c r="K8" s="517" t="s">
        <v>529</v>
      </c>
      <c r="L8" s="2144"/>
      <c r="M8" s="2143"/>
      <c r="N8" s="2143"/>
      <c r="O8" s="2145"/>
      <c r="P8" s="3375"/>
      <c r="Q8" s="3376"/>
      <c r="R8" s="3359"/>
      <c r="S8" s="3360"/>
      <c r="T8" s="3361"/>
      <c r="U8" s="3362"/>
      <c r="V8" s="3377"/>
      <c r="W8" s="3377"/>
      <c r="X8" s="1573"/>
      <c r="Y8" s="3361"/>
      <c r="Z8" s="3362"/>
      <c r="AA8" s="3354"/>
      <c r="AB8" s="3354"/>
      <c r="AC8" s="3354"/>
    </row>
    <row r="9" spans="1:30" s="1223" customFormat="1" ht="21" thickBot="1">
      <c r="A9" s="2952"/>
      <c r="B9" s="2959" t="s">
        <v>530</v>
      </c>
      <c r="C9" s="2951">
        <f>'数据-取费表'!B2</f>
        <v>43038</v>
      </c>
      <c r="D9" s="523">
        <v>100</v>
      </c>
      <c r="E9" s="524" t="str">
        <f>土地案例!K2</f>
        <v>2017-07-31</v>
      </c>
      <c r="F9" s="525">
        <f>SUMIF(72:72,YEAR(E9)&amp;"-"&amp;INT((MONTH(E9)+2)/3),73:73)</f>
        <v>99</v>
      </c>
      <c r="G9" s="526" t="str">
        <f>土地案例!K4</f>
        <v>2017-03-28</v>
      </c>
      <c r="H9" s="523">
        <f>SUMIF(72:72,YEAR(G9)&amp;"-"&amp;INT((MONTH(G9)+2)/3),73:73)</f>
        <v>97</v>
      </c>
      <c r="I9" s="526" t="str">
        <f>土地案例!K5</f>
        <v>2017-01-12</v>
      </c>
      <c r="J9" s="523">
        <f>SUMIF(72:72,YEAR(I9)&amp;"-"&amp;INT((MONTH(I9)+2)/3),73:73)</f>
        <v>97</v>
      </c>
      <c r="K9" s="527"/>
      <c r="L9" s="2146"/>
      <c r="M9" s="2143"/>
      <c r="N9" s="2143"/>
      <c r="O9" s="2147"/>
      <c r="P9" s="3355" t="s">
        <v>531</v>
      </c>
      <c r="Q9" s="3364"/>
      <c r="R9" s="1574" t="s">
        <v>8</v>
      </c>
      <c r="S9" s="1575">
        <f t="shared" ref="S9:S17" si="0">F9</f>
        <v>99</v>
      </c>
      <c r="T9" s="1574" t="s">
        <v>8</v>
      </c>
      <c r="U9" s="1575">
        <f t="shared" ref="U9:U17" si="1">H9</f>
        <v>97</v>
      </c>
      <c r="V9" s="1574" t="s">
        <v>8</v>
      </c>
      <c r="W9" s="1575">
        <f t="shared" ref="W9:W17" si="2">J9</f>
        <v>97</v>
      </c>
      <c r="X9" s="1576"/>
      <c r="Y9" s="3355" t="s">
        <v>531</v>
      </c>
      <c r="Z9" s="3356"/>
      <c r="AA9" s="1577">
        <f>D9/F9</f>
        <v>1.0101010101010102</v>
      </c>
      <c r="AB9" s="1577">
        <f>D9/H9</f>
        <v>1.0309278350515463</v>
      </c>
      <c r="AC9" s="1577">
        <f>D9/J9</f>
        <v>1.0309278350515463</v>
      </c>
    </row>
    <row r="10" spans="1:30" s="1223" customFormat="1" ht="21" thickBot="1">
      <c r="A10" s="2953"/>
      <c r="B10" s="2960" t="s">
        <v>532</v>
      </c>
      <c r="C10" s="859" t="s">
        <v>533</v>
      </c>
      <c r="D10" s="523">
        <v>100</v>
      </c>
      <c r="E10" s="528" t="s">
        <v>3008</v>
      </c>
      <c r="F10" s="525">
        <f>SUMIF(75:75,E10,76:76)-SUMIF(75:75,C10,76:76)+100</f>
        <v>100</v>
      </c>
      <c r="G10" s="528" t="s">
        <v>3008</v>
      </c>
      <c r="H10" s="523">
        <f>SUMIF(75:75,G10,76:76)-SUMIF(75:75,C10,76:76)+100</f>
        <v>100</v>
      </c>
      <c r="I10" s="528" t="s">
        <v>3008</v>
      </c>
      <c r="J10" s="523">
        <f>SUMIF(75:75,I10,76:76)-SUMIF(75:75,C10,76:76)+100</f>
        <v>100</v>
      </c>
      <c r="K10" s="527"/>
      <c r="L10" s="2146"/>
      <c r="M10" s="2143"/>
      <c r="N10" s="2143"/>
      <c r="O10" s="2147"/>
      <c r="P10" s="3355" t="s">
        <v>534</v>
      </c>
      <c r="Q10" s="3356"/>
      <c r="R10" s="1574" t="s">
        <v>8</v>
      </c>
      <c r="S10" s="1575">
        <f t="shared" si="0"/>
        <v>100</v>
      </c>
      <c r="T10" s="1574" t="s">
        <v>8</v>
      </c>
      <c r="U10" s="1575">
        <f t="shared" si="1"/>
        <v>100</v>
      </c>
      <c r="V10" s="1574" t="s">
        <v>8</v>
      </c>
      <c r="W10" s="1575">
        <f t="shared" si="2"/>
        <v>100</v>
      </c>
      <c r="X10" s="1576"/>
      <c r="Y10" s="3355" t="s">
        <v>534</v>
      </c>
      <c r="Z10" s="3356"/>
      <c r="AA10" s="1577">
        <f t="shared" ref="AA10:AA47" si="3">D10/F10</f>
        <v>1</v>
      </c>
      <c r="AB10" s="1577">
        <f t="shared" ref="AB10:AB47" si="4">D10/H10</f>
        <v>1</v>
      </c>
      <c r="AC10" s="1577">
        <f t="shared" ref="AC10:AC47" si="5">D10/J10</f>
        <v>1</v>
      </c>
    </row>
    <row r="11" spans="1:30" s="1223" customFormat="1" ht="20.25">
      <c r="A11" s="2954"/>
      <c r="B11" s="2961" t="s">
        <v>2771</v>
      </c>
      <c r="C11" s="2948" t="s">
        <v>3167</v>
      </c>
      <c r="D11" s="254">
        <v>100</v>
      </c>
      <c r="E11" s="529" t="s">
        <v>3167</v>
      </c>
      <c r="F11" s="254">
        <f>SUMIF(77:77,E11,78:78)-SUMIF(77:77,C11,78:78)+100</f>
        <v>100</v>
      </c>
      <c r="G11" s="529" t="s">
        <v>3167</v>
      </c>
      <c r="H11" s="254">
        <f>SUMIF(77:77,G11,78:78)-SUMIF(77:77,C11,78:78)+100</f>
        <v>100</v>
      </c>
      <c r="I11" s="529" t="s">
        <v>3167</v>
      </c>
      <c r="J11" s="254">
        <f>SUMIF(77:77,I11,78:78)-SUMIF(77:77,C11,78:78)+100</f>
        <v>100</v>
      </c>
      <c r="K11" s="527"/>
      <c r="L11" s="2146"/>
      <c r="M11" s="2143"/>
      <c r="N11" s="2143"/>
      <c r="O11" s="2148"/>
      <c r="P11" s="3363" t="s">
        <v>536</v>
      </c>
      <c r="Q11" s="1154" t="str">
        <f t="shared" ref="Q11:Q17" si="6">B11</f>
        <v>用途</v>
      </c>
      <c r="R11" s="1574" t="s">
        <v>8</v>
      </c>
      <c r="S11" s="1575">
        <f t="shared" si="0"/>
        <v>100</v>
      </c>
      <c r="T11" s="1574" t="s">
        <v>8</v>
      </c>
      <c r="U11" s="1575">
        <f t="shared" si="1"/>
        <v>100</v>
      </c>
      <c r="V11" s="1574" t="s">
        <v>8</v>
      </c>
      <c r="W11" s="1575">
        <f t="shared" si="2"/>
        <v>100</v>
      </c>
      <c r="X11" s="1576"/>
      <c r="Y11" s="3320" t="s">
        <v>537</v>
      </c>
      <c r="Z11" s="1153" t="str">
        <f t="shared" ref="Z11:Z17" si="7">Q11</f>
        <v>用途</v>
      </c>
      <c r="AA11" s="1577">
        <f t="shared" si="3"/>
        <v>1</v>
      </c>
      <c r="AB11" s="1577">
        <f t="shared" si="4"/>
        <v>1</v>
      </c>
      <c r="AC11" s="1577">
        <f t="shared" si="5"/>
        <v>1</v>
      </c>
    </row>
    <row r="12" spans="1:30" s="1341" customFormat="1" ht="27">
      <c r="A12" s="2955"/>
      <c r="B12" s="2960" t="s">
        <v>2772</v>
      </c>
      <c r="C12" s="913" t="s">
        <v>3229</v>
      </c>
      <c r="D12" s="255">
        <v>100</v>
      </c>
      <c r="E12" s="532" t="s">
        <v>3169</v>
      </c>
      <c r="F12" s="255">
        <f>ROUND(100/'数据-取费表'!G16,0)</f>
        <v>101</v>
      </c>
      <c r="G12" s="532" t="s">
        <v>3169</v>
      </c>
      <c r="H12" s="255">
        <f>ROUND(100/'数据-取费表'!G16,0)</f>
        <v>101</v>
      </c>
      <c r="I12" s="532" t="s">
        <v>3169</v>
      </c>
      <c r="J12" s="255">
        <f>ROUND(100/'数据-取费表'!G16,0)</f>
        <v>101</v>
      </c>
      <c r="K12" s="534"/>
      <c r="L12" s="2149"/>
      <c r="M12" s="2143"/>
      <c r="N12" s="2143"/>
      <c r="O12" s="2150"/>
      <c r="P12" s="3363"/>
      <c r="Q12" s="1154" t="str">
        <f t="shared" si="6"/>
        <v>土地使用年限（年）</v>
      </c>
      <c r="R12" s="1574" t="s">
        <v>8</v>
      </c>
      <c r="S12" s="1575">
        <f t="shared" si="0"/>
        <v>101</v>
      </c>
      <c r="T12" s="1574" t="s">
        <v>8</v>
      </c>
      <c r="U12" s="1575">
        <f t="shared" si="1"/>
        <v>101</v>
      </c>
      <c r="V12" s="1574" t="s">
        <v>8</v>
      </c>
      <c r="W12" s="1575">
        <f t="shared" si="2"/>
        <v>101</v>
      </c>
      <c r="X12" s="1576"/>
      <c r="Y12" s="3320"/>
      <c r="Z12" s="1153" t="str">
        <f t="shared" si="7"/>
        <v>土地使用年限（年）</v>
      </c>
      <c r="AA12" s="1577">
        <f t="shared" si="3"/>
        <v>0.99009900990099009</v>
      </c>
      <c r="AB12" s="1577">
        <f t="shared" si="4"/>
        <v>0.99009900990099009</v>
      </c>
      <c r="AC12" s="1577">
        <f t="shared" si="5"/>
        <v>0.99009900990099009</v>
      </c>
    </row>
    <row r="13" spans="1:30" ht="20.25">
      <c r="A13" s="2956"/>
      <c r="B13" s="2960" t="s">
        <v>2773</v>
      </c>
      <c r="C13" s="537">
        <f>'数据-汇总表'!I6</f>
        <v>2.5</v>
      </c>
      <c r="D13" s="255">
        <v>100</v>
      </c>
      <c r="E13" s="536">
        <v>2</v>
      </c>
      <c r="F13" s="255">
        <f>LOOKUP(E13,82:82,83:83)-LOOKUP(C13,82:82,83:83)+100</f>
        <v>100</v>
      </c>
      <c r="G13" s="537">
        <v>2.5</v>
      </c>
      <c r="H13" s="255">
        <f>LOOKUP(G13,82:82,83:83)-LOOKUP(C13,82:82,83:83)+100</f>
        <v>100</v>
      </c>
      <c r="I13" s="536">
        <v>2</v>
      </c>
      <c r="J13" s="255">
        <f>LOOKUP(I13,82:82,83:83)-LOOKUP(C13,82:82,83:83)+100</f>
        <v>100</v>
      </c>
      <c r="K13" s="538">
        <v>2</v>
      </c>
      <c r="L13" s="2151"/>
      <c r="M13" s="2143"/>
      <c r="N13" s="2143"/>
      <c r="O13" s="2152"/>
      <c r="P13" s="3363"/>
      <c r="Q13" s="1154" t="str">
        <f t="shared" si="6"/>
        <v>容积率</v>
      </c>
      <c r="R13" s="1574" t="s">
        <v>8</v>
      </c>
      <c r="S13" s="1575">
        <f t="shared" si="0"/>
        <v>100</v>
      </c>
      <c r="T13" s="1574" t="s">
        <v>8</v>
      </c>
      <c r="U13" s="1575">
        <f t="shared" si="1"/>
        <v>100</v>
      </c>
      <c r="V13" s="1574" t="s">
        <v>8</v>
      </c>
      <c r="W13" s="1575">
        <f t="shared" si="2"/>
        <v>100</v>
      </c>
      <c r="X13" s="1576"/>
      <c r="Y13" s="3320"/>
      <c r="Z13" s="1153" t="str">
        <f t="shared" si="7"/>
        <v>容积率</v>
      </c>
      <c r="AA13" s="1577">
        <f t="shared" si="3"/>
        <v>1</v>
      </c>
      <c r="AB13" s="1577">
        <f t="shared" si="4"/>
        <v>1</v>
      </c>
      <c r="AC13" s="1577">
        <f t="shared" si="5"/>
        <v>1</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63"/>
      <c r="Q14" s="1154" t="str">
        <f t="shared" si="6"/>
        <v>配建</v>
      </c>
      <c r="R14" s="1574" t="s">
        <v>8</v>
      </c>
      <c r="S14" s="1575">
        <f t="shared" si="0"/>
        <v>100</v>
      </c>
      <c r="T14" s="1574" t="s">
        <v>8</v>
      </c>
      <c r="U14" s="1575">
        <f t="shared" si="1"/>
        <v>100</v>
      </c>
      <c r="V14" s="1574" t="s">
        <v>8</v>
      </c>
      <c r="W14" s="1575">
        <f t="shared" si="2"/>
        <v>100</v>
      </c>
      <c r="X14" s="1576"/>
      <c r="Y14" s="3320"/>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63"/>
      <c r="Q15" s="1154">
        <f t="shared" si="6"/>
        <v>111</v>
      </c>
      <c r="R15" s="1574" t="s">
        <v>8</v>
      </c>
      <c r="S15" s="1575">
        <f t="shared" si="0"/>
        <v>100</v>
      </c>
      <c r="T15" s="1574" t="s">
        <v>8</v>
      </c>
      <c r="U15" s="1575">
        <f t="shared" si="1"/>
        <v>100</v>
      </c>
      <c r="V15" s="1574" t="s">
        <v>8</v>
      </c>
      <c r="W15" s="1575">
        <f t="shared" si="2"/>
        <v>100</v>
      </c>
      <c r="X15" s="1576"/>
      <c r="Y15" s="3320"/>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63"/>
      <c r="Q16" s="1154">
        <f t="shared" si="6"/>
        <v>111</v>
      </c>
      <c r="R16" s="1574" t="s">
        <v>8</v>
      </c>
      <c r="S16" s="1575">
        <f t="shared" si="0"/>
        <v>100</v>
      </c>
      <c r="T16" s="1574" t="s">
        <v>8</v>
      </c>
      <c r="U16" s="1575">
        <f t="shared" si="1"/>
        <v>100</v>
      </c>
      <c r="V16" s="1574" t="s">
        <v>8</v>
      </c>
      <c r="W16" s="1575">
        <f t="shared" si="2"/>
        <v>100</v>
      </c>
      <c r="X16" s="1576"/>
      <c r="Y16" s="3320"/>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估价对象周边居住用地比例、居住小区规模和社区发展完善程度，综合评价居住社区成熟度较好</v>
      </c>
      <c r="D17" s="554">
        <v>100</v>
      </c>
      <c r="E17" s="555"/>
      <c r="F17" s="552">
        <f>SUMIF(90:90,E18,91:91)-SUMIF(90:90,C18,91:91)+100</f>
        <v>100</v>
      </c>
      <c r="G17" s="553"/>
      <c r="H17" s="552">
        <f>SUMIF(90:90,G18,91:91)-SUMIF(90:90,C18,91:91)+100</f>
        <v>100</v>
      </c>
      <c r="I17" s="555"/>
      <c r="J17" s="552">
        <f>SUMIF(90:90,I18,91:91)-SUMIF(90:90,C18,91:91)+100</f>
        <v>100</v>
      </c>
      <c r="K17" s="538">
        <v>3</v>
      </c>
      <c r="L17" s="2153"/>
      <c r="M17" s="2143"/>
      <c r="N17" s="2143"/>
      <c r="O17" s="2152"/>
      <c r="P17" s="3365" t="s">
        <v>541</v>
      </c>
      <c r="Q17" s="1578" t="str">
        <f t="shared" si="6"/>
        <v>居住社区成熟度</v>
      </c>
      <c r="R17" s="1579" t="s">
        <v>8</v>
      </c>
      <c r="S17" s="1580">
        <f t="shared" si="0"/>
        <v>100</v>
      </c>
      <c r="T17" s="1579" t="s">
        <v>8</v>
      </c>
      <c r="U17" s="1580">
        <f t="shared" si="1"/>
        <v>100</v>
      </c>
      <c r="V17" s="1579" t="s">
        <v>8</v>
      </c>
      <c r="W17" s="1580">
        <f t="shared" si="2"/>
        <v>100</v>
      </c>
      <c r="X17" s="1573"/>
      <c r="Y17" s="3365" t="s">
        <v>541</v>
      </c>
      <c r="Z17" s="1581" t="str">
        <f t="shared" si="7"/>
        <v>居住社区成熟度</v>
      </c>
      <c r="AA17" s="1582">
        <f t="shared" si="3"/>
        <v>1</v>
      </c>
      <c r="AB17" s="1582">
        <f t="shared" si="4"/>
        <v>1</v>
      </c>
      <c r="AC17" s="1582">
        <f t="shared" si="5"/>
        <v>1</v>
      </c>
    </row>
    <row r="18" spans="1:29" ht="20.25">
      <c r="A18" s="535"/>
      <c r="B18" s="556"/>
      <c r="C18" s="557" t="s">
        <v>3172</v>
      </c>
      <c r="D18" s="560"/>
      <c r="E18" s="561" t="s">
        <v>3172</v>
      </c>
      <c r="F18" s="558"/>
      <c r="G18" s="559" t="s">
        <v>3172</v>
      </c>
      <c r="H18" s="562"/>
      <c r="I18" s="561" t="s">
        <v>3172</v>
      </c>
      <c r="J18" s="558"/>
      <c r="K18" s="534"/>
      <c r="L18" s="2153"/>
      <c r="M18" s="2143"/>
      <c r="N18" s="2143"/>
      <c r="O18" s="2152"/>
      <c r="P18" s="3366"/>
      <c r="Q18" s="1578"/>
      <c r="R18" s="1579"/>
      <c r="S18" s="1580"/>
      <c r="T18" s="1579"/>
      <c r="U18" s="1580"/>
      <c r="V18" s="1579"/>
      <c r="W18" s="1580"/>
      <c r="X18" s="1573"/>
      <c r="Y18" s="3366"/>
      <c r="Z18" s="1581"/>
      <c r="AA18" s="1582">
        <v>1</v>
      </c>
      <c r="AB18" s="1582">
        <v>1</v>
      </c>
      <c r="AC18" s="1582">
        <v>1</v>
      </c>
    </row>
    <row r="19" spans="1:29" ht="71.25">
      <c r="A19" s="535"/>
      <c r="B19" s="563" t="s">
        <v>542</v>
      </c>
      <c r="C19" s="564" t="str">
        <f>估价对象房地状况!C16</f>
        <v>估价对象位于XX商圈，周边商业氛围成熟，人流量大，商业繁华度较好</v>
      </c>
      <c r="D19" s="566">
        <v>100</v>
      </c>
      <c r="E19" s="567"/>
      <c r="F19" s="562">
        <f>SUMIF(92:92,E20,93:93)-SUMIF(92:92,C20,93:93)+100</f>
        <v>100</v>
      </c>
      <c r="G19" s="565"/>
      <c r="H19" s="568">
        <f>SUMIF(92:92,G20,93:93)-SUMIF(92:92,C20,93:93)+100</f>
        <v>104</v>
      </c>
      <c r="I19" s="567"/>
      <c r="J19" s="568">
        <f>SUMIF(92:92,I20,93:93)-SUMIF(92:92,C20,93:93)+100</f>
        <v>100</v>
      </c>
      <c r="K19" s="538">
        <v>4</v>
      </c>
      <c r="L19" s="2153"/>
      <c r="M19" s="2143"/>
      <c r="N19" s="2143"/>
      <c r="O19" s="2152"/>
      <c r="P19" s="3366"/>
      <c r="Q19" s="1578" t="str">
        <f>B19</f>
        <v>商业繁华度</v>
      </c>
      <c r="R19" s="1579" t="s">
        <v>8</v>
      </c>
      <c r="S19" s="1580">
        <f>F19</f>
        <v>100</v>
      </c>
      <c r="T19" s="1579" t="s">
        <v>8</v>
      </c>
      <c r="U19" s="1580">
        <f>H19</f>
        <v>104</v>
      </c>
      <c r="V19" s="1579" t="s">
        <v>8</v>
      </c>
      <c r="W19" s="1580">
        <f>J19</f>
        <v>100</v>
      </c>
      <c r="X19" s="1573"/>
      <c r="Y19" s="3366"/>
      <c r="Z19" s="1581" t="str">
        <f>Q19</f>
        <v>商业繁华度</v>
      </c>
      <c r="AA19" s="1582">
        <f t="shared" si="3"/>
        <v>1</v>
      </c>
      <c r="AB19" s="1582">
        <f t="shared" si="4"/>
        <v>0.96153846153846156</v>
      </c>
      <c r="AC19" s="1582">
        <f t="shared" si="5"/>
        <v>1</v>
      </c>
    </row>
    <row r="20" spans="1:29" ht="20.25">
      <c r="A20" s="535"/>
      <c r="B20" s="569"/>
      <c r="C20" s="570" t="s">
        <v>3172</v>
      </c>
      <c r="D20" s="566"/>
      <c r="E20" s="572" t="s">
        <v>3172</v>
      </c>
      <c r="F20" s="562"/>
      <c r="G20" s="571" t="s">
        <v>3175</v>
      </c>
      <c r="H20" s="558"/>
      <c r="I20" s="572" t="s">
        <v>3172</v>
      </c>
      <c r="J20" s="558"/>
      <c r="K20" s="534"/>
      <c r="L20" s="2153"/>
      <c r="M20" s="2143"/>
      <c r="N20" s="2143"/>
      <c r="O20" s="2152"/>
      <c r="P20" s="3366"/>
      <c r="Q20" s="1578"/>
      <c r="R20" s="1579"/>
      <c r="S20" s="1580"/>
      <c r="T20" s="1579"/>
      <c r="U20" s="1580"/>
      <c r="V20" s="1579"/>
      <c r="W20" s="1580"/>
      <c r="X20" s="1573"/>
      <c r="Y20" s="3366"/>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3"/>
      <c r="M21" s="2143"/>
      <c r="N21" s="2143"/>
      <c r="O21" s="2152"/>
      <c r="P21" s="3366"/>
      <c r="Q21" s="1578" t="str">
        <f>B21</f>
        <v>办公集聚程度</v>
      </c>
      <c r="R21" s="1579" t="s">
        <v>8</v>
      </c>
      <c r="S21" s="1580">
        <f>F21</f>
        <v>100</v>
      </c>
      <c r="T21" s="1579" t="s">
        <v>8</v>
      </c>
      <c r="U21" s="1580">
        <f>H21</f>
        <v>100</v>
      </c>
      <c r="V21" s="1579" t="s">
        <v>8</v>
      </c>
      <c r="W21" s="1580">
        <f>J21</f>
        <v>100</v>
      </c>
      <c r="X21" s="1573"/>
      <c r="Y21" s="3366"/>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66"/>
      <c r="Q22" s="1578"/>
      <c r="R22" s="1579"/>
      <c r="S22" s="1580"/>
      <c r="T22" s="1579"/>
      <c r="U22" s="1580"/>
      <c r="V22" s="1579"/>
      <c r="W22" s="1580"/>
      <c r="X22" s="1573"/>
      <c r="Y22" s="3366"/>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3160" t="s">
        <v>3230</v>
      </c>
      <c r="H23" s="562">
        <f>SUMIF(96:96,G24,97:97)-SUMIF(96:96,C24,97:97)+100</f>
        <v>105</v>
      </c>
      <c r="I23" s="567"/>
      <c r="J23" s="562">
        <f>SUMIF(96:96,I24,97:97)-SUMIF(96:96,C24,97:97)+100</f>
        <v>100</v>
      </c>
      <c r="K23" s="3161">
        <v>5</v>
      </c>
      <c r="L23" s="2153"/>
      <c r="M23" s="2143"/>
      <c r="N23" s="2143"/>
      <c r="O23" s="2152"/>
      <c r="P23" s="3366"/>
      <c r="Q23" s="1578" t="str">
        <f>B23</f>
        <v>交通便捷度</v>
      </c>
      <c r="R23" s="1579" t="s">
        <v>8</v>
      </c>
      <c r="S23" s="1580">
        <f>F23</f>
        <v>100</v>
      </c>
      <c r="T23" s="1579" t="s">
        <v>8</v>
      </c>
      <c r="U23" s="1580">
        <f>H23</f>
        <v>105</v>
      </c>
      <c r="V23" s="1579" t="s">
        <v>8</v>
      </c>
      <c r="W23" s="1580">
        <f>J23</f>
        <v>100</v>
      </c>
      <c r="X23" s="1573"/>
      <c r="Y23" s="3366"/>
      <c r="Z23" s="1581" t="str">
        <f>Q23</f>
        <v>交通便捷度</v>
      </c>
      <c r="AA23" s="1582">
        <f t="shared" si="3"/>
        <v>1</v>
      </c>
      <c r="AB23" s="1582">
        <f t="shared" si="4"/>
        <v>0.95238095238095233</v>
      </c>
      <c r="AC23" s="1582">
        <f t="shared" si="5"/>
        <v>1</v>
      </c>
    </row>
    <row r="24" spans="1:29" ht="20.25">
      <c r="A24" s="535"/>
      <c r="B24" s="581"/>
      <c r="C24" s="557" t="s">
        <v>3172</v>
      </c>
      <c r="D24" s="560"/>
      <c r="E24" s="561" t="s">
        <v>3172</v>
      </c>
      <c r="F24" s="558"/>
      <c r="G24" s="559" t="s">
        <v>3175</v>
      </c>
      <c r="H24" s="558"/>
      <c r="I24" s="561" t="s">
        <v>3172</v>
      </c>
      <c r="J24" s="558"/>
      <c r="K24" s="534"/>
      <c r="L24" s="2153"/>
      <c r="M24" s="2143"/>
      <c r="N24" s="2143"/>
      <c r="O24" s="2152"/>
      <c r="P24" s="3366"/>
      <c r="Q24" s="1578"/>
      <c r="R24" s="1579"/>
      <c r="S24" s="1580"/>
      <c r="T24" s="1579"/>
      <c r="U24" s="1580"/>
      <c r="V24" s="1579"/>
      <c r="W24" s="1580"/>
      <c r="X24" s="1573"/>
      <c r="Y24" s="3366"/>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3</v>
      </c>
      <c r="L25" s="2153"/>
      <c r="M25" s="2143"/>
      <c r="N25" s="2143"/>
      <c r="O25" s="2152"/>
      <c r="P25" s="3366"/>
      <c r="Q25" s="1578" t="str">
        <f t="shared" ref="Q25:Q39" si="8">B25</f>
        <v>区域土地利用方向</v>
      </c>
      <c r="R25" s="1579" t="s">
        <v>8</v>
      </c>
      <c r="S25" s="1580">
        <f>F25</f>
        <v>100</v>
      </c>
      <c r="T25" s="1579" t="s">
        <v>8</v>
      </c>
      <c r="U25" s="1580">
        <f>H25</f>
        <v>100</v>
      </c>
      <c r="V25" s="1579" t="s">
        <v>8</v>
      </c>
      <c r="W25" s="1580">
        <f>J25</f>
        <v>100</v>
      </c>
      <c r="X25" s="1573"/>
      <c r="Y25" s="3366"/>
      <c r="Z25" s="1581" t="str">
        <f>Q25</f>
        <v>区域土地利用方向</v>
      </c>
      <c r="AA25" s="1582">
        <f t="shared" si="3"/>
        <v>1</v>
      </c>
      <c r="AB25" s="1582">
        <f t="shared" si="4"/>
        <v>1</v>
      </c>
      <c r="AC25" s="1582">
        <f t="shared" si="5"/>
        <v>1</v>
      </c>
    </row>
    <row r="26" spans="1:29" ht="20.25">
      <c r="A26" s="518"/>
      <c r="B26" s="1010"/>
      <c r="C26" s="557" t="s">
        <v>3172</v>
      </c>
      <c r="D26" s="560"/>
      <c r="E26" s="561" t="s">
        <v>3172</v>
      </c>
      <c r="F26" s="558"/>
      <c r="G26" s="559" t="s">
        <v>3172</v>
      </c>
      <c r="H26" s="558"/>
      <c r="I26" s="561" t="s">
        <v>3172</v>
      </c>
      <c r="J26" s="558"/>
      <c r="K26" s="534"/>
      <c r="L26" s="2153"/>
      <c r="M26" s="2143"/>
      <c r="N26" s="2143"/>
      <c r="O26" s="2152"/>
      <c r="P26" s="3366"/>
      <c r="Q26" s="1578"/>
      <c r="R26" s="1579"/>
      <c r="S26" s="1580"/>
      <c r="T26" s="1579"/>
      <c r="U26" s="1580"/>
      <c r="V26" s="1579"/>
      <c r="W26" s="1580"/>
      <c r="X26" s="1573"/>
      <c r="Y26" s="3366"/>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53"/>
      <c r="M27" s="2143"/>
      <c r="N27" s="2143"/>
      <c r="O27" s="2152"/>
      <c r="P27" s="3366"/>
      <c r="Q27" s="1578" t="str">
        <f t="shared" si="8"/>
        <v>自然及人文环境状况</v>
      </c>
      <c r="R27" s="1579" t="s">
        <v>8</v>
      </c>
      <c r="S27" s="1580">
        <f>F27</f>
        <v>100</v>
      </c>
      <c r="T27" s="1579" t="s">
        <v>8</v>
      </c>
      <c r="U27" s="1580">
        <f>H27</f>
        <v>100</v>
      </c>
      <c r="V27" s="1579" t="s">
        <v>8</v>
      </c>
      <c r="W27" s="1580">
        <f>J27</f>
        <v>100</v>
      </c>
      <c r="X27" s="1573"/>
      <c r="Y27" s="3366"/>
      <c r="Z27" s="1581" t="str">
        <f>Q27</f>
        <v>自然及人文环境状况</v>
      </c>
      <c r="AA27" s="1582">
        <f t="shared" si="3"/>
        <v>1</v>
      </c>
      <c r="AB27" s="1582">
        <f t="shared" si="4"/>
        <v>1</v>
      </c>
      <c r="AC27" s="1582">
        <f t="shared" si="5"/>
        <v>1</v>
      </c>
    </row>
    <row r="28" spans="1:29" ht="20.25">
      <c r="A28" s="518"/>
      <c r="B28" s="569"/>
      <c r="C28" s="557" t="s">
        <v>3172</v>
      </c>
      <c r="D28" s="560"/>
      <c r="E28" s="579" t="s">
        <v>3172</v>
      </c>
      <c r="F28" s="558"/>
      <c r="G28" s="557" t="s">
        <v>3172</v>
      </c>
      <c r="H28" s="558"/>
      <c r="I28" s="579" t="s">
        <v>3172</v>
      </c>
      <c r="J28" s="558"/>
      <c r="K28" s="534"/>
      <c r="L28" s="2153"/>
      <c r="M28" s="2143"/>
      <c r="N28" s="2143"/>
      <c r="O28" s="2152"/>
      <c r="P28" s="3366"/>
      <c r="Q28" s="1578"/>
      <c r="R28" s="1579"/>
      <c r="S28" s="1580"/>
      <c r="T28" s="1579"/>
      <c r="U28" s="1580"/>
      <c r="V28" s="1579"/>
      <c r="W28" s="1580"/>
      <c r="X28" s="1573"/>
      <c r="Y28" s="3366"/>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46"/>
      <c r="M29" s="2143"/>
      <c r="N29" s="2143"/>
      <c r="O29" s="2148"/>
      <c r="P29" s="3366"/>
      <c r="Q29" s="1154" t="str">
        <f t="shared" si="8"/>
        <v>公共配套设施</v>
      </c>
      <c r="R29" s="1574" t="s">
        <v>8</v>
      </c>
      <c r="S29" s="1575">
        <f>F29</f>
        <v>100</v>
      </c>
      <c r="T29" s="1574" t="s">
        <v>8</v>
      </c>
      <c r="U29" s="1575">
        <f>H29</f>
        <v>100</v>
      </c>
      <c r="V29" s="1574" t="s">
        <v>8</v>
      </c>
      <c r="W29" s="1575">
        <f>J29</f>
        <v>100</v>
      </c>
      <c r="X29" s="1576"/>
      <c r="Y29" s="3366"/>
      <c r="Z29" s="1153" t="str">
        <f>Q29</f>
        <v>公共配套设施</v>
      </c>
      <c r="AA29" s="1582">
        <f>D29/F29</f>
        <v>1</v>
      </c>
      <c r="AB29" s="1582">
        <f>D29/H29</f>
        <v>1</v>
      </c>
      <c r="AC29" s="1582">
        <f>D29/J29</f>
        <v>1</v>
      </c>
    </row>
    <row r="30" spans="1:29" s="1223" customFormat="1" ht="20.25">
      <c r="A30" s="580"/>
      <c r="B30" s="569"/>
      <c r="C30" s="582" t="s">
        <v>3172</v>
      </c>
      <c r="D30" s="560"/>
      <c r="E30" s="579" t="s">
        <v>3172</v>
      </c>
      <c r="F30" s="558"/>
      <c r="G30" s="557" t="s">
        <v>3172</v>
      </c>
      <c r="H30" s="558"/>
      <c r="I30" s="579" t="s">
        <v>3172</v>
      </c>
      <c r="J30" s="558"/>
      <c r="K30" s="534"/>
      <c r="L30" s="2146"/>
      <c r="M30" s="2143"/>
      <c r="N30" s="2143"/>
      <c r="O30" s="2148"/>
      <c r="P30" s="3366"/>
      <c r="Q30" s="1154"/>
      <c r="R30" s="1574"/>
      <c r="S30" s="1575"/>
      <c r="T30" s="1574"/>
      <c r="U30" s="1575"/>
      <c r="V30" s="1574"/>
      <c r="W30" s="1575"/>
      <c r="X30" s="1576"/>
      <c r="Y30" s="3366"/>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3</v>
      </c>
      <c r="L31" s="2146"/>
      <c r="M31" s="2143"/>
      <c r="N31" s="2143"/>
      <c r="O31" s="2148"/>
      <c r="P31" s="3366"/>
      <c r="Q31" s="2614" t="str">
        <f t="shared" ref="Q31" si="9">B31</f>
        <v>基础设施水平</v>
      </c>
      <c r="R31" s="1574" t="s">
        <v>8</v>
      </c>
      <c r="S31" s="1575">
        <f>F31</f>
        <v>100</v>
      </c>
      <c r="T31" s="1574" t="s">
        <v>8</v>
      </c>
      <c r="U31" s="1575">
        <f>H31</f>
        <v>100</v>
      </c>
      <c r="V31" s="1574" t="s">
        <v>8</v>
      </c>
      <c r="W31" s="1575">
        <f>J31</f>
        <v>100</v>
      </c>
      <c r="X31" s="1576"/>
      <c r="Y31" s="3366"/>
      <c r="Z31" s="2611" t="str">
        <f>Q31</f>
        <v>基础设施水平</v>
      </c>
      <c r="AA31" s="1582">
        <f>D31/F31</f>
        <v>1</v>
      </c>
      <c r="AB31" s="1582">
        <f>D31/H31</f>
        <v>1</v>
      </c>
      <c r="AC31" s="1582">
        <f>D31/J31</f>
        <v>1</v>
      </c>
    </row>
    <row r="32" spans="1:29" s="1223" customFormat="1" ht="20.25">
      <c r="A32" s="580"/>
      <c r="B32" s="569"/>
      <c r="C32" s="582" t="s">
        <v>3176</v>
      </c>
      <c r="D32" s="560"/>
      <c r="E32" s="2628" t="s">
        <v>3176</v>
      </c>
      <c r="F32" s="558"/>
      <c r="G32" s="582" t="s">
        <v>3176</v>
      </c>
      <c r="H32" s="558"/>
      <c r="I32" s="582" t="s">
        <v>3176</v>
      </c>
      <c r="J32" s="558"/>
      <c r="K32" s="534"/>
      <c r="L32" s="2146"/>
      <c r="M32" s="2143"/>
      <c r="N32" s="2143"/>
      <c r="O32" s="2148"/>
      <c r="P32" s="3366"/>
      <c r="Q32" s="2614"/>
      <c r="R32" s="1574"/>
      <c r="S32" s="1575"/>
      <c r="T32" s="1574"/>
      <c r="U32" s="1575"/>
      <c r="V32" s="1574"/>
      <c r="W32" s="1575"/>
      <c r="X32" s="1576"/>
      <c r="Y32" s="3366"/>
      <c r="Z32" s="2611"/>
      <c r="AA32" s="1582">
        <v>1</v>
      </c>
      <c r="AB32" s="1582">
        <v>1</v>
      </c>
      <c r="AC32" s="1582">
        <v>1</v>
      </c>
    </row>
    <row r="33" spans="1:29" ht="20.25">
      <c r="A33" s="535"/>
      <c r="B33" s="569" t="s">
        <v>548</v>
      </c>
      <c r="C33" s="583" t="s">
        <v>3177</v>
      </c>
      <c r="D33" s="578">
        <v>100</v>
      </c>
      <c r="E33" s="586" t="s">
        <v>3202</v>
      </c>
      <c r="F33" s="543">
        <f>SUMIF(106:106,E33,107:107)-SUMIF(106:106,C33,107:107)+100</f>
        <v>97</v>
      </c>
      <c r="G33" s="583" t="s">
        <v>3231</v>
      </c>
      <c r="H33" s="543">
        <f>SUMIF(106:106,G33,107:107)-SUMIF(106:106,C33,107:107)+100</f>
        <v>94</v>
      </c>
      <c r="I33" s="583" t="s">
        <v>3231</v>
      </c>
      <c r="J33" s="543">
        <f>SUMIF(106:106,I33,107:107)-SUMIF(106:106,C33,107:107)+100</f>
        <v>94</v>
      </c>
      <c r="K33" s="538">
        <v>3</v>
      </c>
      <c r="L33" s="2153"/>
      <c r="M33" s="2143"/>
      <c r="N33" s="2143"/>
      <c r="O33" s="2152"/>
      <c r="P33" s="3366"/>
      <c r="Q33" s="1578" t="str">
        <f t="shared" si="8"/>
        <v>临街状况</v>
      </c>
      <c r="R33" s="1579" t="s">
        <v>8</v>
      </c>
      <c r="S33" s="1580">
        <f t="shared" ref="S33:S47" si="10">F33</f>
        <v>97</v>
      </c>
      <c r="T33" s="1579" t="s">
        <v>8</v>
      </c>
      <c r="U33" s="1580">
        <f t="shared" ref="U33:U47" si="11">H33</f>
        <v>94</v>
      </c>
      <c r="V33" s="1579" t="s">
        <v>8</v>
      </c>
      <c r="W33" s="1580">
        <f t="shared" ref="W33:W47" si="12">J33</f>
        <v>94</v>
      </c>
      <c r="X33" s="1573"/>
      <c r="Y33" s="3366"/>
      <c r="Z33" s="1581" t="str">
        <f t="shared" ref="Z33:Z47" si="13">Q33</f>
        <v>临街状况</v>
      </c>
      <c r="AA33" s="1582">
        <f t="shared" si="3"/>
        <v>1.0309278350515463</v>
      </c>
      <c r="AB33" s="1582">
        <f t="shared" si="4"/>
        <v>1.0638297872340425</v>
      </c>
      <c r="AC33" s="1582">
        <f t="shared" si="5"/>
        <v>1.0638297872340425</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3</v>
      </c>
      <c r="L34" s="2153"/>
      <c r="M34" s="2143"/>
      <c r="N34" s="2143"/>
      <c r="O34" s="2152"/>
      <c r="P34" s="3366"/>
      <c r="Q34" s="1578" t="str">
        <f t="shared" si="8"/>
        <v>毗邻道路的类型与等级</v>
      </c>
      <c r="R34" s="1579" t="s">
        <v>8</v>
      </c>
      <c r="S34" s="1580">
        <f t="shared" si="10"/>
        <v>100</v>
      </c>
      <c r="T34" s="1579" t="s">
        <v>8</v>
      </c>
      <c r="U34" s="1580">
        <f t="shared" si="11"/>
        <v>100</v>
      </c>
      <c r="V34" s="1579" t="s">
        <v>8</v>
      </c>
      <c r="W34" s="1580">
        <f t="shared" si="12"/>
        <v>100</v>
      </c>
      <c r="X34" s="1573"/>
      <c r="Y34" s="3366"/>
      <c r="Z34" s="1581" t="str">
        <f t="shared" si="13"/>
        <v>毗邻道路的类型与等级</v>
      </c>
      <c r="AA34" s="1582">
        <f t="shared" si="3"/>
        <v>1</v>
      </c>
      <c r="AB34" s="1582">
        <f t="shared" si="4"/>
        <v>1</v>
      </c>
      <c r="AC34" s="1582">
        <f t="shared" si="5"/>
        <v>1</v>
      </c>
    </row>
    <row r="35" spans="1:29" ht="20.25">
      <c r="A35" s="535"/>
      <c r="B35" s="569"/>
      <c r="C35" s="557" t="s">
        <v>3182</v>
      </c>
      <c r="D35" s="560"/>
      <c r="E35" s="579" t="s">
        <v>3182</v>
      </c>
      <c r="F35" s="558"/>
      <c r="G35" s="557" t="s">
        <v>3182</v>
      </c>
      <c r="H35" s="558"/>
      <c r="I35" s="579" t="s">
        <v>3182</v>
      </c>
      <c r="J35" s="558"/>
      <c r="K35" s="584"/>
      <c r="L35" s="2153"/>
      <c r="M35" s="2143"/>
      <c r="N35" s="2143"/>
      <c r="O35" s="2152"/>
      <c r="P35" s="3366"/>
      <c r="Q35" s="1578"/>
      <c r="R35" s="1579"/>
      <c r="S35" s="1580"/>
      <c r="T35" s="1579"/>
      <c r="U35" s="1580"/>
      <c r="V35" s="1579"/>
      <c r="W35" s="1580"/>
      <c r="X35" s="1573"/>
      <c r="Y35" s="3366"/>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66"/>
      <c r="Q36" s="1578" t="str">
        <f t="shared" si="8"/>
        <v>土地级别</v>
      </c>
      <c r="R36" s="1579" t="s">
        <v>8</v>
      </c>
      <c r="S36" s="1580">
        <f t="shared" si="10"/>
        <v>100</v>
      </c>
      <c r="T36" s="1579" t="s">
        <v>8</v>
      </c>
      <c r="U36" s="1580">
        <f t="shared" si="11"/>
        <v>100</v>
      </c>
      <c r="V36" s="1579" t="s">
        <v>8</v>
      </c>
      <c r="W36" s="1580">
        <f t="shared" si="12"/>
        <v>100</v>
      </c>
      <c r="X36" s="1573"/>
      <c r="Y36" s="3366"/>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66"/>
      <c r="Q37" s="1578">
        <f t="shared" si="8"/>
        <v>111</v>
      </c>
      <c r="R37" s="1579" t="s">
        <v>8</v>
      </c>
      <c r="S37" s="1580">
        <f t="shared" si="10"/>
        <v>100</v>
      </c>
      <c r="T37" s="1579" t="s">
        <v>8</v>
      </c>
      <c r="U37" s="1580">
        <f t="shared" si="11"/>
        <v>100</v>
      </c>
      <c r="V37" s="1579" t="s">
        <v>8</v>
      </c>
      <c r="W37" s="1580">
        <f t="shared" si="12"/>
        <v>100</v>
      </c>
      <c r="X37" s="1573"/>
      <c r="Y37" s="3366"/>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67" t="s">
        <v>551</v>
      </c>
      <c r="Q38" s="1578">
        <f t="shared" si="8"/>
        <v>111</v>
      </c>
      <c r="R38" s="1579" t="s">
        <v>8</v>
      </c>
      <c r="S38" s="1580">
        <f t="shared" si="10"/>
        <v>100</v>
      </c>
      <c r="T38" s="1579" t="s">
        <v>8</v>
      </c>
      <c r="U38" s="1580">
        <f t="shared" si="11"/>
        <v>100</v>
      </c>
      <c r="V38" s="1579" t="s">
        <v>8</v>
      </c>
      <c r="W38" s="1580">
        <f t="shared" si="12"/>
        <v>100</v>
      </c>
      <c r="X38" s="1573"/>
      <c r="Y38" s="3368"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68"/>
      <c r="Q39" s="1578">
        <f t="shared" si="8"/>
        <v>111</v>
      </c>
      <c r="R39" s="1583" t="s">
        <v>8</v>
      </c>
      <c r="S39" s="1584">
        <f t="shared" si="10"/>
        <v>100</v>
      </c>
      <c r="T39" s="1583" t="s">
        <v>8</v>
      </c>
      <c r="U39" s="1584">
        <f t="shared" si="11"/>
        <v>100</v>
      </c>
      <c r="V39" s="1583" t="s">
        <v>8</v>
      </c>
      <c r="W39" s="1584">
        <f t="shared" si="12"/>
        <v>100</v>
      </c>
      <c r="X39" s="1585"/>
      <c r="Y39" s="3368"/>
      <c r="Z39" s="1586">
        <f t="shared" si="13"/>
        <v>111</v>
      </c>
      <c r="AA39" s="1582">
        <f t="shared" si="3"/>
        <v>1</v>
      </c>
      <c r="AB39" s="1582">
        <f t="shared" si="4"/>
        <v>1</v>
      </c>
      <c r="AC39" s="1582">
        <f t="shared" si="5"/>
        <v>1</v>
      </c>
    </row>
    <row r="40" spans="1:29" ht="20.25">
      <c r="A40" s="2947" t="s">
        <v>2770</v>
      </c>
      <c r="B40" s="598" t="s">
        <v>553</v>
      </c>
      <c r="C40" s="599">
        <f>'数据-汇总表'!D3</f>
        <v>19564.599999999999</v>
      </c>
      <c r="D40" s="600">
        <v>100</v>
      </c>
      <c r="E40" s="599">
        <f>土地案例!E2</f>
        <v>59628.800000000003</v>
      </c>
      <c r="F40" s="600">
        <f>LOOKUP(E40,119:119,120:120)-LOOKUP(C40,119:119,120:120)+100</f>
        <v>102</v>
      </c>
      <c r="G40" s="599">
        <f>土地案例!E4</f>
        <v>28486.400000000001</v>
      </c>
      <c r="H40" s="600">
        <f>LOOKUP(G40,119:119,120:120)-LOOKUP(C40,119:119,120:120)+100</f>
        <v>101</v>
      </c>
      <c r="I40" s="601">
        <f>土地案例!E5</f>
        <v>7495.4</v>
      </c>
      <c r="J40" s="600">
        <f>LOOKUP(I40,119:119,120:120)-LOOKUP(C40,119:119,120:120)+100</f>
        <v>99</v>
      </c>
      <c r="K40" s="584"/>
      <c r="L40" s="2153"/>
      <c r="M40" s="2143"/>
      <c r="N40" s="2143"/>
      <c r="O40" s="2152"/>
      <c r="P40" s="3368"/>
      <c r="Q40" s="1578" t="str">
        <f>B40</f>
        <v>宗地面积</v>
      </c>
      <c r="R40" s="1579" t="s">
        <v>8</v>
      </c>
      <c r="S40" s="1580">
        <f t="shared" si="10"/>
        <v>102</v>
      </c>
      <c r="T40" s="1579" t="s">
        <v>8</v>
      </c>
      <c r="U40" s="1580">
        <f t="shared" si="11"/>
        <v>101</v>
      </c>
      <c r="V40" s="1579" t="s">
        <v>8</v>
      </c>
      <c r="W40" s="1580">
        <f t="shared" si="12"/>
        <v>99</v>
      </c>
      <c r="X40" s="1573"/>
      <c r="Y40" s="3368"/>
      <c r="Z40" s="1581" t="str">
        <f t="shared" si="13"/>
        <v>宗地面积</v>
      </c>
      <c r="AA40" s="1582">
        <f t="shared" si="3"/>
        <v>0.98039215686274506</v>
      </c>
      <c r="AB40" s="1582">
        <f t="shared" si="4"/>
        <v>0.99009900990099009</v>
      </c>
      <c r="AC40" s="1582">
        <f t="shared" si="5"/>
        <v>1.0101010101010102</v>
      </c>
    </row>
    <row r="41" spans="1:29" ht="20.25">
      <c r="A41" s="597"/>
      <c r="B41" s="530" t="s">
        <v>554</v>
      </c>
      <c r="C41" s="602" t="s">
        <v>3184</v>
      </c>
      <c r="D41" s="543">
        <v>100</v>
      </c>
      <c r="E41" s="602" t="s">
        <v>3186</v>
      </c>
      <c r="F41" s="543">
        <f>SUMIF(121:121,E41,122:122)-SUMIF(121:121,C41,122:122)+100</f>
        <v>97</v>
      </c>
      <c r="G41" s="602" t="s">
        <v>3186</v>
      </c>
      <c r="H41" s="543">
        <f>SUMIF(121:121,G41,122:122)-SUMIF(121:121,C41,122:122)+100</f>
        <v>97</v>
      </c>
      <c r="I41" s="602" t="s">
        <v>3186</v>
      </c>
      <c r="J41" s="543">
        <f>SUMIF(121:121,I41,122:122)-SUMIF(121:121,C41,122:122)+100</f>
        <v>97</v>
      </c>
      <c r="K41" s="587">
        <v>3</v>
      </c>
      <c r="L41" s="2153"/>
      <c r="M41" s="2143"/>
      <c r="N41" s="2143"/>
      <c r="O41" s="2152"/>
      <c r="P41" s="3368"/>
      <c r="Q41" s="1578" t="str">
        <f t="shared" ref="Q41:Q47" si="14">B41</f>
        <v>宗地形状</v>
      </c>
      <c r="R41" s="1579" t="s">
        <v>8</v>
      </c>
      <c r="S41" s="1580">
        <f t="shared" si="10"/>
        <v>97</v>
      </c>
      <c r="T41" s="1579" t="s">
        <v>8</v>
      </c>
      <c r="U41" s="1580">
        <f t="shared" si="11"/>
        <v>97</v>
      </c>
      <c r="V41" s="1579" t="s">
        <v>8</v>
      </c>
      <c r="W41" s="1580">
        <f t="shared" si="12"/>
        <v>97</v>
      </c>
      <c r="X41" s="1573"/>
      <c r="Y41" s="3368"/>
      <c r="Z41" s="1581" t="str">
        <f t="shared" si="13"/>
        <v>宗地形状</v>
      </c>
      <c r="AA41" s="1582">
        <f t="shared" si="3"/>
        <v>1.0309278350515463</v>
      </c>
      <c r="AB41" s="1582">
        <f t="shared" si="4"/>
        <v>1.0309278350515463</v>
      </c>
      <c r="AC41" s="1582">
        <f t="shared" si="5"/>
        <v>1.0309278350515463</v>
      </c>
    </row>
    <row r="42" spans="1:29" ht="20.25">
      <c r="A42" s="597"/>
      <c r="B42" s="530" t="s">
        <v>555</v>
      </c>
      <c r="C42" s="602" t="s">
        <v>3192</v>
      </c>
      <c r="D42" s="543">
        <v>100</v>
      </c>
      <c r="E42" s="602" t="s">
        <v>3172</v>
      </c>
      <c r="F42" s="543">
        <f>SUMIF(123:123,E42,124:124)-SUMIF(123:123,C42,124:124)+100</f>
        <v>101</v>
      </c>
      <c r="G42" s="602" t="s">
        <v>3172</v>
      </c>
      <c r="H42" s="543">
        <f>SUMIF(123:123,G42,124:124)-SUMIF(123:123,C42,124:124)+100</f>
        <v>101</v>
      </c>
      <c r="I42" s="602" t="s">
        <v>3172</v>
      </c>
      <c r="J42" s="543">
        <f>SUMIF(123:123,I42,124:124)-SUMIF(123:123,C42,124:124)+100</f>
        <v>101</v>
      </c>
      <c r="K42" s="587">
        <v>1</v>
      </c>
      <c r="L42" s="2153"/>
      <c r="M42" s="2143"/>
      <c r="N42" s="2143"/>
      <c r="O42" s="2152"/>
      <c r="P42" s="3368"/>
      <c r="Q42" s="1578" t="str">
        <f t="shared" si="14"/>
        <v>临街宽度及深度</v>
      </c>
      <c r="R42" s="1579" t="s">
        <v>8</v>
      </c>
      <c r="S42" s="1580">
        <f t="shared" si="10"/>
        <v>101</v>
      </c>
      <c r="T42" s="1579" t="s">
        <v>8</v>
      </c>
      <c r="U42" s="1580">
        <f t="shared" si="11"/>
        <v>101</v>
      </c>
      <c r="V42" s="1579" t="s">
        <v>8</v>
      </c>
      <c r="W42" s="1580">
        <f t="shared" si="12"/>
        <v>101</v>
      </c>
      <c r="X42" s="1573"/>
      <c r="Y42" s="3368"/>
      <c r="Z42" s="1581" t="str">
        <f t="shared" si="13"/>
        <v>临街宽度及深度</v>
      </c>
      <c r="AA42" s="1582">
        <f t="shared" si="3"/>
        <v>0.99009900990099009</v>
      </c>
      <c r="AB42" s="1582">
        <f t="shared" si="4"/>
        <v>0.99009900990099009</v>
      </c>
      <c r="AC42" s="1582">
        <f t="shared" si="5"/>
        <v>0.99009900990099009</v>
      </c>
    </row>
    <row r="43" spans="1:29" s="1223" customFormat="1" ht="20.25">
      <c r="A43" s="603"/>
      <c r="B43" s="1902" t="s">
        <v>2434</v>
      </c>
      <c r="C43" s="604" t="s">
        <v>3200</v>
      </c>
      <c r="D43" s="255">
        <v>100</v>
      </c>
      <c r="E43" s="604" t="s">
        <v>3176</v>
      </c>
      <c r="F43" s="543">
        <f>SUMIF(125:125,E43,126:126)-SUMIF(125:125,C43,126:126)+100</f>
        <v>104</v>
      </c>
      <c r="G43" s="604" t="s">
        <v>3176</v>
      </c>
      <c r="H43" s="543">
        <f>SUMIF(125:125,G43,126:126)-SUMIF(125:125,C43,126:126)+100</f>
        <v>104</v>
      </c>
      <c r="I43" s="604" t="s">
        <v>3176</v>
      </c>
      <c r="J43" s="543">
        <f>SUMIF(125:125,I43,126:126)-SUMIF(125:125,C43,126:126)+100</f>
        <v>104</v>
      </c>
      <c r="K43" s="587">
        <v>1</v>
      </c>
      <c r="L43" s="2146"/>
      <c r="M43" s="2143"/>
      <c r="N43" s="2143"/>
      <c r="O43" s="2148"/>
      <c r="P43" s="3368"/>
      <c r="Q43" s="1578" t="str">
        <f t="shared" si="14"/>
        <v>宗地开发程度</v>
      </c>
      <c r="R43" s="1574" t="s">
        <v>8</v>
      </c>
      <c r="S43" s="1575">
        <f t="shared" si="10"/>
        <v>104</v>
      </c>
      <c r="T43" s="1574" t="s">
        <v>8</v>
      </c>
      <c r="U43" s="1575">
        <f t="shared" si="11"/>
        <v>104</v>
      </c>
      <c r="V43" s="1574" t="s">
        <v>8</v>
      </c>
      <c r="W43" s="1575">
        <f t="shared" si="12"/>
        <v>104</v>
      </c>
      <c r="X43" s="1576"/>
      <c r="Y43" s="3368"/>
      <c r="Z43" s="1153" t="str">
        <f t="shared" si="13"/>
        <v>宗地开发程度</v>
      </c>
      <c r="AA43" s="1577">
        <f t="shared" si="3"/>
        <v>0.96153846153846156</v>
      </c>
      <c r="AB43" s="1577">
        <f t="shared" si="4"/>
        <v>0.96153846153846156</v>
      </c>
      <c r="AC43" s="1577">
        <f t="shared" si="5"/>
        <v>0.96153846153846156</v>
      </c>
    </row>
    <row r="44" spans="1:29" ht="20.25">
      <c r="A44" s="597"/>
      <c r="B44" s="530" t="s">
        <v>556</v>
      </c>
      <c r="C44" s="602" t="s">
        <v>3172</v>
      </c>
      <c r="D44" s="543">
        <v>100</v>
      </c>
      <c r="E44" s="602" t="s">
        <v>3172</v>
      </c>
      <c r="F44" s="543">
        <f>SUMIF(127:127,E44,128:128)-SUMIF(127:127,C44,128:128)+100</f>
        <v>100</v>
      </c>
      <c r="G44" s="602" t="s">
        <v>3172</v>
      </c>
      <c r="H44" s="543">
        <f>SUMIF(127:127,G44,128:128)-SUMIF(127:127,C44,128:128)+100</f>
        <v>100</v>
      </c>
      <c r="I44" s="602" t="s">
        <v>3172</v>
      </c>
      <c r="J44" s="543">
        <f>SUMIF(127:127,I44,128:128)-SUMIF(127:127,C44,128:128)+100</f>
        <v>100</v>
      </c>
      <c r="K44" s="587">
        <v>2</v>
      </c>
      <c r="L44" s="2153"/>
      <c r="M44" s="2143"/>
      <c r="N44" s="2143"/>
      <c r="O44" s="2152"/>
      <c r="P44" s="3368" t="s">
        <v>551</v>
      </c>
      <c r="Q44" s="1578" t="str">
        <f t="shared" si="14"/>
        <v>工程地质条件</v>
      </c>
      <c r="R44" s="1579" t="s">
        <v>8</v>
      </c>
      <c r="S44" s="1580">
        <f t="shared" si="10"/>
        <v>100</v>
      </c>
      <c r="T44" s="1579" t="s">
        <v>8</v>
      </c>
      <c r="U44" s="1580">
        <f t="shared" si="11"/>
        <v>100</v>
      </c>
      <c r="V44" s="1579" t="s">
        <v>8</v>
      </c>
      <c r="W44" s="1580">
        <f t="shared" si="12"/>
        <v>100</v>
      </c>
      <c r="X44" s="1573"/>
      <c r="Y44" s="3368" t="s">
        <v>551</v>
      </c>
      <c r="Z44" s="1581" t="str">
        <f t="shared" si="13"/>
        <v>工程地质条件</v>
      </c>
      <c r="AA44" s="1582">
        <f t="shared" si="3"/>
        <v>1</v>
      </c>
      <c r="AB44" s="1582">
        <f t="shared" si="4"/>
        <v>1</v>
      </c>
      <c r="AC44" s="1582">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68"/>
      <c r="Q45" s="1578">
        <f t="shared" si="14"/>
        <v>0</v>
      </c>
      <c r="R45" s="1579" t="s">
        <v>8</v>
      </c>
      <c r="S45" s="1580">
        <f t="shared" si="10"/>
        <v>100</v>
      </c>
      <c r="T45" s="1579" t="s">
        <v>8</v>
      </c>
      <c r="U45" s="1580">
        <f t="shared" si="11"/>
        <v>100</v>
      </c>
      <c r="V45" s="1579" t="s">
        <v>8</v>
      </c>
      <c r="W45" s="1580">
        <f t="shared" si="12"/>
        <v>100</v>
      </c>
      <c r="X45" s="1573"/>
      <c r="Y45" s="3368"/>
      <c r="Z45" s="1581">
        <f t="shared" si="13"/>
        <v>0</v>
      </c>
      <c r="AA45" s="1582">
        <f t="shared" si="3"/>
        <v>1</v>
      </c>
      <c r="AB45" s="1582">
        <f t="shared" si="4"/>
        <v>1</v>
      </c>
      <c r="AC45" s="1582">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68"/>
      <c r="Q46" s="1578">
        <f t="shared" si="14"/>
        <v>0</v>
      </c>
      <c r="R46" s="1579" t="s">
        <v>8</v>
      </c>
      <c r="S46" s="1580">
        <f t="shared" si="10"/>
        <v>100</v>
      </c>
      <c r="T46" s="1579" t="s">
        <v>8</v>
      </c>
      <c r="U46" s="1580">
        <f t="shared" si="11"/>
        <v>100</v>
      </c>
      <c r="V46" s="1579" t="s">
        <v>8</v>
      </c>
      <c r="W46" s="1580">
        <f t="shared" si="12"/>
        <v>100</v>
      </c>
      <c r="X46" s="1573"/>
      <c r="Y46" s="3368"/>
      <c r="Z46" s="1581">
        <f t="shared" si="13"/>
        <v>0</v>
      </c>
      <c r="AA46" s="1582">
        <f t="shared" si="3"/>
        <v>1</v>
      </c>
      <c r="AB46" s="1582">
        <f t="shared" si="4"/>
        <v>1</v>
      </c>
      <c r="AC46" s="1582">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68"/>
      <c r="Q47" s="1578">
        <f t="shared" si="14"/>
        <v>0</v>
      </c>
      <c r="R47" s="1583" t="s">
        <v>8</v>
      </c>
      <c r="S47" s="1584">
        <f t="shared" si="10"/>
        <v>100</v>
      </c>
      <c r="T47" s="1583" t="s">
        <v>8</v>
      </c>
      <c r="U47" s="1584">
        <f t="shared" si="11"/>
        <v>100</v>
      </c>
      <c r="V47" s="1583" t="s">
        <v>8</v>
      </c>
      <c r="W47" s="1584">
        <f t="shared" si="12"/>
        <v>100</v>
      </c>
      <c r="X47" s="1585"/>
      <c r="Y47" s="3368"/>
      <c r="Z47" s="1586">
        <f t="shared" si="13"/>
        <v>0</v>
      </c>
      <c r="AA47" s="1582">
        <f t="shared" si="3"/>
        <v>1</v>
      </c>
      <c r="AB47" s="1582">
        <f t="shared" si="4"/>
        <v>1</v>
      </c>
      <c r="AC47" s="1582">
        <f t="shared" si="5"/>
        <v>1</v>
      </c>
    </row>
    <row r="48" spans="1:29" ht="20.25">
      <c r="A48" s="610" t="s">
        <v>557</v>
      </c>
      <c r="B48" s="611" t="s">
        <v>3264</v>
      </c>
      <c r="C48" s="612" t="s">
        <v>1</v>
      </c>
      <c r="D48" s="613"/>
      <c r="E48" s="614">
        <f>ROUND(土地案例!O2,0)</f>
        <v>26413</v>
      </c>
      <c r="F48" s="615"/>
      <c r="G48" s="616">
        <f>ROUND(土地案例!O4,0)</f>
        <v>27000</v>
      </c>
      <c r="H48" s="617"/>
      <c r="I48" s="614">
        <f>ROUND(土地案例!O5,0)</f>
        <v>28352</v>
      </c>
      <c r="J48" s="617"/>
      <c r="K48" s="1343"/>
      <c r="L48" s="2155"/>
      <c r="M48" s="2143"/>
      <c r="N48" s="2143"/>
      <c r="O48" s="2156"/>
      <c r="P48" s="3363" t="str">
        <f>A48</f>
        <v>成交单价</v>
      </c>
      <c r="Q48" s="3363"/>
      <c r="R48" s="3377">
        <f>E48</f>
        <v>26413</v>
      </c>
      <c r="S48" s="3377"/>
      <c r="T48" s="3377">
        <f>G48</f>
        <v>27000</v>
      </c>
      <c r="U48" s="3377"/>
      <c r="V48" s="3377">
        <f>I48</f>
        <v>28352</v>
      </c>
      <c r="W48" s="3377"/>
      <c r="X48" s="1565"/>
      <c r="Y48" s="1587"/>
      <c r="Z48" s="1565"/>
      <c r="AA48" s="1565"/>
      <c r="AB48" s="1565"/>
      <c r="AC48" s="1565"/>
    </row>
    <row r="49" spans="1:29" ht="21" thickBot="1">
      <c r="A49" s="618" t="s">
        <v>2708</v>
      </c>
      <c r="B49" s="619"/>
      <c r="C49" s="620">
        <f>R50</f>
        <v>27605</v>
      </c>
      <c r="D49" s="621"/>
      <c r="E49" s="620">
        <f>R49</f>
        <v>26204</v>
      </c>
      <c r="F49" s="622"/>
      <c r="G49" s="623">
        <f>T49</f>
        <v>26090</v>
      </c>
      <c r="H49" s="621"/>
      <c r="I49" s="620">
        <f>V49</f>
        <v>30521</v>
      </c>
      <c r="J49" s="621"/>
      <c r="K49" s="1344"/>
      <c r="L49" s="2155"/>
      <c r="M49" s="2143"/>
      <c r="N49" s="2143"/>
      <c r="O49" s="2156"/>
      <c r="P49" s="3363" t="str">
        <f>A49</f>
        <v>比较价格（元/平方米）</v>
      </c>
      <c r="Q49" s="3363"/>
      <c r="R49" s="3388">
        <f>ROUND(PRODUCT(R48,AA9:AA47),0)</f>
        <v>26204</v>
      </c>
      <c r="S49" s="3388"/>
      <c r="T49" s="3388">
        <f>ROUND(PRODUCT(T48,AB9:AB47),0)</f>
        <v>26090</v>
      </c>
      <c r="U49" s="3388"/>
      <c r="V49" s="3388">
        <f>ROUND(PRODUCT(V48,AC9:AC47),0)</f>
        <v>30521</v>
      </c>
      <c r="W49" s="3388"/>
      <c r="X49" s="1565"/>
      <c r="Y49" s="1565"/>
      <c r="Z49" s="1565"/>
      <c r="AA49" s="1565"/>
      <c r="AB49" s="1565"/>
      <c r="AC49" s="1565"/>
    </row>
    <row r="50" spans="1:29" ht="21" thickBot="1">
      <c r="A50" s="624" t="s">
        <v>2947</v>
      </c>
      <c r="B50" s="625"/>
      <c r="C50" s="626">
        <f>R50</f>
        <v>27605</v>
      </c>
      <c r="D50" s="626"/>
      <c r="E50" s="626"/>
      <c r="F50" s="626"/>
      <c r="G50" s="626"/>
      <c r="H50" s="626"/>
      <c r="I50" s="626"/>
      <c r="J50" s="626"/>
      <c r="K50" s="1345"/>
      <c r="L50" s="2155"/>
      <c r="M50" s="2143"/>
      <c r="N50" s="2143"/>
      <c r="O50" s="2156"/>
      <c r="P50" s="3385" t="str">
        <f>A50</f>
        <v>估价对象XX用房的比较价格（楼面单价，元/平方米）</v>
      </c>
      <c r="Q50" s="3386"/>
      <c r="R50" s="3387">
        <f>ROUND(AVERAGE(R49:V49),0)</f>
        <v>27605</v>
      </c>
      <c r="S50" s="3387"/>
      <c r="T50" s="3387"/>
      <c r="U50" s="3387"/>
      <c r="V50" s="3387"/>
      <c r="W50" s="3387"/>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7.9758815448023324E-3</v>
      </c>
      <c r="F53" s="630" t="str">
        <f>IF(OR(E53&gt;=0.3,E53&lt;=-0.3),"超过30%","")</f>
        <v/>
      </c>
      <c r="G53" s="629">
        <f>IF(G48&lt;G49,G49/G48-1,G48/G49-1)</f>
        <v>3.4879264085856621E-2</v>
      </c>
      <c r="H53" s="630" t="str">
        <f>IF(OR(G53&gt;=0.3,G53&lt;=-0.3),"超过30%","")</f>
        <v/>
      </c>
      <c r="I53" s="629">
        <f>IF(I48&lt;I49,I49/I48-1,I48/I49-1)</f>
        <v>7.6502539503386036E-2</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4.3694902261401936E-3</v>
      </c>
      <c r="F54" s="630" t="str">
        <f>IF(OR(E54&gt;=0.2,E54&lt;=-0.2),"超过20%","")</f>
        <v/>
      </c>
      <c r="G54" s="629">
        <f>IF(G49&lt;I49,I49/G49-1,G49/I49-1)</f>
        <v>0.16983518589497892</v>
      </c>
      <c r="H54" s="630" t="str">
        <f>IF(OR(G54&gt;=0.2,G54&lt;=-0.2),"超过20%","")</f>
        <v/>
      </c>
      <c r="I54" s="629">
        <f>IF(I49&lt;E49,E49/I49-1,I49/E49-1)</f>
        <v>0.16474584032972062</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2.2223904895316782E-2</v>
      </c>
      <c r="F55" s="630" t="str">
        <f>IF(OR(E55&gt;=0.3,E55&lt;=-0.3),"超过30%","")</f>
        <v/>
      </c>
      <c r="G55" s="629">
        <f>IF(G48&lt;I48,I48/G48-1,G48/I48-1)</f>
        <v>5.007407407407416E-2</v>
      </c>
      <c r="H55" s="630" t="str">
        <f>IF(OR(G55&gt;=0.3,G55&lt;=-0.3),"超过30%","")</f>
        <v/>
      </c>
      <c r="I55" s="629">
        <f>IF(I48&lt;E48,E48/I48-1,I48/E48-1)</f>
        <v>7.3410820429334001E-2</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2301</v>
      </c>
      <c r="E57" s="634" t="s">
        <v>563</v>
      </c>
      <c r="F57" s="635" t="s">
        <v>564</v>
      </c>
      <c r="G57" s="3347" t="s">
        <v>2289</v>
      </c>
      <c r="H57" s="3348"/>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27605</v>
      </c>
      <c r="C58" s="638">
        <v>1</v>
      </c>
      <c r="D58" s="2239">
        <v>1</v>
      </c>
      <c r="E58" s="638">
        <f>'数据-汇总表'!E8+'数据-汇总表'!E9</f>
        <v>47091</v>
      </c>
      <c r="F58" s="639">
        <f t="shared" ref="F58:F67" si="15">ROUND(B58*E58/10000,0)</f>
        <v>129995</v>
      </c>
      <c r="G58" s="3349"/>
      <c r="H58" s="3350"/>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51" t="s">
        <v>2290</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51"/>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51"/>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51"/>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f t="shared" si="17"/>
        <v>0</v>
      </c>
      <c r="C63" s="381">
        <f t="shared" si="16"/>
        <v>0</v>
      </c>
      <c r="D63" s="2240">
        <v>0.25</v>
      </c>
      <c r="E63" s="644">
        <f>'数据-汇总表'!E11</f>
        <v>0</v>
      </c>
      <c r="F63" s="639">
        <f t="shared" si="15"/>
        <v>0</v>
      </c>
      <c r="G63" s="1952" t="s">
        <v>2291</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17160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2290</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2291</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2302</v>
      </c>
      <c r="E68" s="646">
        <f>IF(B48="楼面地价",SUM(E58:E67),'数据-汇总表'!D3)</f>
        <v>64251</v>
      </c>
      <c r="F68" s="647">
        <f>IF(B48="楼面地价",SUM(F58:F67),ROUND(C50*E68/10000,0))</f>
        <v>129995</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2017-10-1</v>
      </c>
      <c r="D70" s="2839">
        <f>EDATE(C70,-3)</f>
        <v>42917</v>
      </c>
      <c r="E70" s="2839">
        <f t="shared" ref="E70:N70" si="18">EDATE(D70,-3)</f>
        <v>42826</v>
      </c>
      <c r="F70" s="2839">
        <f t="shared" si="18"/>
        <v>42736</v>
      </c>
      <c r="G70" s="2839">
        <f t="shared" si="18"/>
        <v>42644</v>
      </c>
      <c r="H70" s="2839">
        <f t="shared" si="18"/>
        <v>42552</v>
      </c>
      <c r="I70" s="2839">
        <f t="shared" si="18"/>
        <v>42461</v>
      </c>
      <c r="J70" s="2839">
        <f t="shared" si="18"/>
        <v>42370</v>
      </c>
      <c r="K70" s="2839">
        <f t="shared" si="18"/>
        <v>42278</v>
      </c>
      <c r="L70" s="2839">
        <f t="shared" si="18"/>
        <v>42186</v>
      </c>
      <c r="M70" s="2839">
        <f t="shared" si="18"/>
        <v>42095</v>
      </c>
      <c r="N70" s="2839">
        <f t="shared" si="18"/>
        <v>42005</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2017-4</v>
      </c>
      <c r="D72" s="2841" t="str">
        <f>YEAR(D70)&amp;"-"&amp;ROUNDUP(MONTH(D70)/3,0)</f>
        <v>2017-3</v>
      </c>
      <c r="E72" s="2841" t="str">
        <f t="shared" ref="E72:N72" si="19">YEAR(E70)&amp;"-"&amp;ROUNDUP(MONTH(E70)/3,0)</f>
        <v>2017-2</v>
      </c>
      <c r="F72" s="2841" t="str">
        <f t="shared" si="19"/>
        <v>2017-1</v>
      </c>
      <c r="G72" s="2841" t="str">
        <f t="shared" si="19"/>
        <v>2016-4</v>
      </c>
      <c r="H72" s="2841" t="str">
        <f t="shared" si="19"/>
        <v>2016-3</v>
      </c>
      <c r="I72" s="2841" t="str">
        <f t="shared" si="19"/>
        <v>2016-2</v>
      </c>
      <c r="J72" s="2841" t="str">
        <f t="shared" si="19"/>
        <v>2016-1</v>
      </c>
      <c r="K72" s="2841" t="str">
        <f t="shared" si="19"/>
        <v>2015-4</v>
      </c>
      <c r="L72" s="2841" t="str">
        <f t="shared" si="19"/>
        <v>2015-3</v>
      </c>
      <c r="M72" s="2841" t="str">
        <f t="shared" si="19"/>
        <v>2015-2</v>
      </c>
      <c r="N72" s="2841" t="str">
        <f t="shared" si="19"/>
        <v>2015-1</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733">
        <v>90</v>
      </c>
      <c r="N73" s="733">
        <v>89</v>
      </c>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v>3.75</v>
      </c>
      <c r="E74" s="2831">
        <v>3.16</v>
      </c>
      <c r="F74" s="2831">
        <v>2.65</v>
      </c>
      <c r="G74" s="2831">
        <v>3.14</v>
      </c>
      <c r="H74" s="2831">
        <v>3.64</v>
      </c>
      <c r="I74" s="2831">
        <v>1</v>
      </c>
      <c r="J74" s="2831">
        <v>0.66</v>
      </c>
      <c r="K74" s="2831">
        <v>0.82</v>
      </c>
      <c r="L74" s="2831">
        <v>1.1399999999999999</v>
      </c>
      <c r="M74" s="2831">
        <v>0.92</v>
      </c>
      <c r="N74" s="2831">
        <v>0.63</v>
      </c>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ht="27">
      <c r="A77" s="667" t="s">
        <v>578</v>
      </c>
      <c r="B77" s="668" t="s">
        <v>535</v>
      </c>
      <c r="C77" s="3155" t="s">
        <v>3168</v>
      </c>
      <c r="D77" s="3155" t="s">
        <v>3174</v>
      </c>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v>98</v>
      </c>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v>2</v>
      </c>
      <c r="E82" s="544">
        <v>3</v>
      </c>
      <c r="F82" s="544">
        <v>4</v>
      </c>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97</v>
      </c>
      <c r="E91" s="682">
        <f>D91-$K17</f>
        <v>94</v>
      </c>
      <c r="F91" s="682">
        <f>E91-$K17</f>
        <v>91</v>
      </c>
      <c r="G91" s="682">
        <f>F91-$K17</f>
        <v>88</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96</v>
      </c>
      <c r="E93" s="682">
        <f>D93-$K19</f>
        <v>92</v>
      </c>
      <c r="F93" s="682">
        <f>E93-$K19</f>
        <v>88</v>
      </c>
      <c r="G93" s="682">
        <f>F93-$K19</f>
        <v>84</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95</v>
      </c>
      <c r="E97" s="682">
        <f>D97-$K23</f>
        <v>90</v>
      </c>
      <c r="F97" s="682">
        <f>E97-$K23</f>
        <v>85</v>
      </c>
      <c r="G97" s="682">
        <f>F97-$K23</f>
        <v>80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97</v>
      </c>
      <c r="E99" s="682">
        <f>D99-$K25</f>
        <v>94</v>
      </c>
      <c r="F99" s="682">
        <f>E99-$K25</f>
        <v>91</v>
      </c>
      <c r="G99" s="682">
        <f>F99-$K25</f>
        <v>88</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97</v>
      </c>
      <c r="E105" s="682">
        <f>D105-$K31</f>
        <v>94</v>
      </c>
      <c r="F105" s="682">
        <f>E105-$K31</f>
        <v>91</v>
      </c>
      <c r="G105" s="682">
        <f>F105-$K31</f>
        <v>88</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97</v>
      </c>
      <c r="E107" s="682">
        <f t="shared" ref="E107:M107" si="22">D107-$K33</f>
        <v>94</v>
      </c>
      <c r="F107" s="682">
        <f t="shared" si="22"/>
        <v>91</v>
      </c>
      <c r="G107" s="682">
        <f t="shared" si="22"/>
        <v>88</v>
      </c>
      <c r="H107" s="682">
        <f t="shared" si="22"/>
        <v>85</v>
      </c>
      <c r="I107" s="682">
        <f t="shared" si="22"/>
        <v>82</v>
      </c>
      <c r="J107" s="682">
        <f t="shared" si="22"/>
        <v>79</v>
      </c>
      <c r="K107" s="682">
        <f t="shared" si="22"/>
        <v>76</v>
      </c>
      <c r="L107" s="682">
        <f t="shared" si="22"/>
        <v>73</v>
      </c>
      <c r="M107" s="682">
        <f t="shared" si="22"/>
        <v>70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3157" t="s">
        <v>3178</v>
      </c>
      <c r="D108" s="3157" t="s">
        <v>3179</v>
      </c>
      <c r="E108" s="3157" t="s">
        <v>3180</v>
      </c>
      <c r="F108" s="3157" t="s">
        <v>3181</v>
      </c>
      <c r="G108" s="3157" t="s">
        <v>3183</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97</v>
      </c>
      <c r="E109" s="682">
        <f t="shared" ref="E109:M109" si="23">D109-$K34</f>
        <v>94</v>
      </c>
      <c r="F109" s="682">
        <f t="shared" si="23"/>
        <v>91</v>
      </c>
      <c r="G109" s="682">
        <f t="shared" si="23"/>
        <v>88</v>
      </c>
      <c r="H109" s="682">
        <f t="shared" si="23"/>
        <v>85</v>
      </c>
      <c r="I109" s="682">
        <f t="shared" si="23"/>
        <v>82</v>
      </c>
      <c r="J109" s="682">
        <f t="shared" si="23"/>
        <v>79</v>
      </c>
      <c r="K109" s="682">
        <f t="shared" si="23"/>
        <v>76</v>
      </c>
      <c r="L109" s="682">
        <f t="shared" si="23"/>
        <v>73</v>
      </c>
      <c r="M109" s="682">
        <f t="shared" si="23"/>
        <v>70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ht="28.5">
      <c r="A118" s="667" t="s">
        <v>552</v>
      </c>
      <c r="B118" s="668" t="s">
        <v>594</v>
      </c>
      <c r="C118" s="707" t="str">
        <f t="shared" ref="C118:L118" si="25">C119&amp;"(含)"&amp;"-"&amp;D119</f>
        <v>0(含)-10000</v>
      </c>
      <c r="D118" s="707" t="str">
        <f t="shared" si="25"/>
        <v>10000(含)-20000</v>
      </c>
      <c r="E118" s="707" t="str">
        <f t="shared" si="25"/>
        <v>20000(含)-30000</v>
      </c>
      <c r="F118" s="707" t="str">
        <f t="shared" si="25"/>
        <v>30000(含)-</v>
      </c>
      <c r="G118" s="707" t="str">
        <f t="shared" si="25"/>
        <v>(含)-</v>
      </c>
      <c r="H118" s="707" t="str">
        <f t="shared" si="25"/>
        <v>(含)-</v>
      </c>
      <c r="I118" s="707" t="str">
        <f t="shared" si="25"/>
        <v>(含)-</v>
      </c>
      <c r="J118" s="3132" t="str">
        <f t="shared" si="25"/>
        <v>(含)-</v>
      </c>
      <c r="K118" s="3132" t="str">
        <f t="shared" si="25"/>
        <v>(含)-</v>
      </c>
      <c r="L118" s="3133" t="str">
        <f t="shared" si="25"/>
        <v>(含)-</v>
      </c>
      <c r="M118" s="3134"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0</v>
      </c>
      <c r="D119" s="733">
        <v>10000</v>
      </c>
      <c r="E119" s="733">
        <v>20000</v>
      </c>
      <c r="F119" s="733">
        <v>30000</v>
      </c>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v>100</v>
      </c>
      <c r="D120" s="729">
        <v>101</v>
      </c>
      <c r="E120" s="729">
        <v>102</v>
      </c>
      <c r="F120" s="729">
        <v>103</v>
      </c>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3158" t="s">
        <v>3185</v>
      </c>
      <c r="D121" s="3158" t="s">
        <v>3187</v>
      </c>
      <c r="E121" s="3158" t="s">
        <v>3188</v>
      </c>
      <c r="F121" s="3158" t="s">
        <v>3189</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3157" t="s">
        <v>3190</v>
      </c>
      <c r="D123" s="3157" t="s">
        <v>3191</v>
      </c>
      <c r="E123" s="3157" t="s">
        <v>3193</v>
      </c>
      <c r="F123" s="3158" t="s">
        <v>3194</v>
      </c>
      <c r="G123" s="3158" t="s">
        <v>3195</v>
      </c>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99</v>
      </c>
      <c r="E124" s="682">
        <f t="shared" si="27"/>
        <v>98</v>
      </c>
      <c r="F124" s="682">
        <f t="shared" si="27"/>
        <v>97</v>
      </c>
      <c r="G124" s="682">
        <f t="shared" si="27"/>
        <v>96</v>
      </c>
      <c r="H124" s="682">
        <f t="shared" si="27"/>
        <v>95</v>
      </c>
      <c r="I124" s="682">
        <f t="shared" si="27"/>
        <v>94</v>
      </c>
      <c r="J124" s="682">
        <f t="shared" si="27"/>
        <v>93</v>
      </c>
      <c r="K124" s="682">
        <f t="shared" si="27"/>
        <v>92</v>
      </c>
      <c r="L124" s="682">
        <f t="shared" si="27"/>
        <v>91</v>
      </c>
      <c r="M124" s="683">
        <f t="shared" si="27"/>
        <v>90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t="s">
        <v>3196</v>
      </c>
      <c r="D125" s="1380" t="s">
        <v>3197</v>
      </c>
      <c r="E125" s="1380" t="s">
        <v>3198</v>
      </c>
      <c r="F125" s="1380" t="s">
        <v>3199</v>
      </c>
      <c r="G125" s="1380" t="s">
        <v>3201</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3157" t="s">
        <v>3190</v>
      </c>
      <c r="D127" s="3157" t="s">
        <v>3191</v>
      </c>
      <c r="E127" s="3157" t="s">
        <v>3193</v>
      </c>
      <c r="F127" s="3158" t="s">
        <v>3194</v>
      </c>
      <c r="G127" s="3158" t="s">
        <v>3195</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0</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0</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0</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rintOptions horizontalCentered="1" verticalCentered="1"/>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69" t="s">
        <v>523</v>
      </c>
      <c r="D6" s="3370"/>
      <c r="E6" s="3394" t="s">
        <v>524</v>
      </c>
      <c r="F6" s="3395"/>
      <c r="G6" s="3369" t="s">
        <v>525</v>
      </c>
      <c r="H6" s="3370"/>
      <c r="I6" s="3369" t="s">
        <v>526</v>
      </c>
      <c r="J6" s="3370"/>
      <c r="K6" s="517" t="s">
        <v>527</v>
      </c>
      <c r="L6" s="2144"/>
      <c r="M6" s="2145"/>
      <c r="N6" s="2145"/>
      <c r="O6" s="2145"/>
      <c r="P6" s="3371" t="s">
        <v>528</v>
      </c>
      <c r="Q6" s="3372"/>
      <c r="R6" s="3357" t="s">
        <v>524</v>
      </c>
      <c r="S6" s="3358"/>
      <c r="T6" s="3357" t="s">
        <v>525</v>
      </c>
      <c r="U6" s="3358"/>
      <c r="V6" s="3377" t="s">
        <v>526</v>
      </c>
      <c r="W6" s="3377"/>
      <c r="X6" s="1573"/>
      <c r="Y6" s="3357" t="s">
        <v>528</v>
      </c>
      <c r="Z6" s="3358"/>
      <c r="AA6" s="3352" t="s">
        <v>524</v>
      </c>
      <c r="AB6" s="3353" t="s">
        <v>525</v>
      </c>
      <c r="AC6" s="3352" t="s">
        <v>526</v>
      </c>
    </row>
    <row r="7" spans="1:29" ht="15">
      <c r="A7" s="518"/>
      <c r="B7" s="519"/>
      <c r="C7" s="3382" t="s">
        <v>2941</v>
      </c>
      <c r="D7" s="3381"/>
      <c r="E7" s="3396" t="s">
        <v>2942</v>
      </c>
      <c r="F7" s="3397"/>
      <c r="G7" s="3382" t="s">
        <v>2943</v>
      </c>
      <c r="H7" s="3381"/>
      <c r="I7" s="3382" t="s">
        <v>2944</v>
      </c>
      <c r="J7" s="3381"/>
      <c r="K7" s="517"/>
      <c r="L7" s="2144"/>
      <c r="M7" s="2145"/>
      <c r="N7" s="2145"/>
      <c r="O7" s="2145"/>
      <c r="P7" s="3373"/>
      <c r="Q7" s="3374"/>
      <c r="R7" s="3359"/>
      <c r="S7" s="3360"/>
      <c r="T7" s="3359"/>
      <c r="U7" s="3360"/>
      <c r="V7" s="3377"/>
      <c r="W7" s="3377"/>
      <c r="X7" s="1573"/>
      <c r="Y7" s="3359"/>
      <c r="Z7" s="3360"/>
      <c r="AA7" s="3353"/>
      <c r="AB7" s="3353"/>
      <c r="AC7" s="3353"/>
    </row>
    <row r="8" spans="1:29" ht="15.75" thickBot="1">
      <c r="A8" s="520"/>
      <c r="B8" s="521"/>
      <c r="C8" s="3378" t="s">
        <v>2945</v>
      </c>
      <c r="D8" s="3379"/>
      <c r="E8" s="3398" t="s">
        <v>2945</v>
      </c>
      <c r="F8" s="3399"/>
      <c r="G8" s="3378" t="s">
        <v>2945</v>
      </c>
      <c r="H8" s="3379"/>
      <c r="I8" s="3378" t="s">
        <v>2945</v>
      </c>
      <c r="J8" s="3379"/>
      <c r="K8" s="517" t="s">
        <v>529</v>
      </c>
      <c r="L8" s="2144"/>
      <c r="M8" s="2145"/>
      <c r="N8" s="2145"/>
      <c r="O8" s="2145"/>
      <c r="P8" s="3375"/>
      <c r="Q8" s="3376"/>
      <c r="R8" s="3359"/>
      <c r="S8" s="3360"/>
      <c r="T8" s="3361"/>
      <c r="U8" s="3362"/>
      <c r="V8" s="3377"/>
      <c r="W8" s="3377"/>
      <c r="X8" s="1573"/>
      <c r="Y8" s="3361"/>
      <c r="Z8" s="3362"/>
      <c r="AA8" s="3354"/>
      <c r="AB8" s="3354"/>
      <c r="AC8" s="3354"/>
    </row>
    <row r="9" spans="1:29" s="1223" customFormat="1" ht="15.75" thickBot="1">
      <c r="A9" s="2952"/>
      <c r="B9" s="2959" t="s">
        <v>530</v>
      </c>
      <c r="C9" s="522">
        <f>'数据-取费表'!B2</f>
        <v>43038</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55" t="s">
        <v>531</v>
      </c>
      <c r="Q9" s="3364"/>
      <c r="R9" s="1574" t="s">
        <v>8</v>
      </c>
      <c r="S9" s="1575">
        <f t="shared" ref="S9:S17" si="0">F9</f>
        <v>0</v>
      </c>
      <c r="T9" s="1574" t="s">
        <v>8</v>
      </c>
      <c r="U9" s="1575">
        <f t="shared" ref="U9:U17" si="1">H9</f>
        <v>0</v>
      </c>
      <c r="V9" s="1574" t="s">
        <v>8</v>
      </c>
      <c r="W9" s="1575">
        <f t="shared" ref="W9:W17" si="2">J9</f>
        <v>0</v>
      </c>
      <c r="X9" s="1576"/>
      <c r="Y9" s="3355" t="s">
        <v>531</v>
      </c>
      <c r="Z9" s="3356"/>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55" t="s">
        <v>534</v>
      </c>
      <c r="Q10" s="3356"/>
      <c r="R10" s="1574" t="s">
        <v>8</v>
      </c>
      <c r="S10" s="1575">
        <f t="shared" si="0"/>
        <v>0</v>
      </c>
      <c r="T10" s="1574" t="s">
        <v>8</v>
      </c>
      <c r="U10" s="1575">
        <f t="shared" si="1"/>
        <v>0</v>
      </c>
      <c r="V10" s="1574" t="s">
        <v>8</v>
      </c>
      <c r="W10" s="1575">
        <f t="shared" si="2"/>
        <v>0</v>
      </c>
      <c r="X10" s="1576"/>
      <c r="Y10" s="3355" t="s">
        <v>534</v>
      </c>
      <c r="Z10" s="3356"/>
      <c r="AA10" s="1577" t="e">
        <f t="shared" ref="AA10:AA42" si="3">D10/F10</f>
        <v>#DIV/0!</v>
      </c>
      <c r="AB10" s="1577" t="e">
        <f t="shared" ref="AB10:AB42" si="4">D10/H10</f>
        <v>#DIV/0!</v>
      </c>
      <c r="AC10" s="1577" t="e">
        <f t="shared" ref="AC10:AC42" si="5">D10/J10</f>
        <v>#DIV/0!</v>
      </c>
    </row>
    <row r="11" spans="1:29" s="1223" customFormat="1" ht="15">
      <c r="A11" s="2954"/>
      <c r="B11" s="2961" t="s">
        <v>2771</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63" t="s">
        <v>536</v>
      </c>
      <c r="Q11" s="1154" t="str">
        <f t="shared" ref="Q11:Q17" si="6">B11</f>
        <v>用途</v>
      </c>
      <c r="R11" s="1574" t="s">
        <v>8</v>
      </c>
      <c r="S11" s="1575">
        <f t="shared" si="0"/>
        <v>100</v>
      </c>
      <c r="T11" s="1574" t="s">
        <v>8</v>
      </c>
      <c r="U11" s="1575">
        <f t="shared" si="1"/>
        <v>100</v>
      </c>
      <c r="V11" s="1574" t="s">
        <v>8</v>
      </c>
      <c r="W11" s="1575">
        <f t="shared" si="2"/>
        <v>100</v>
      </c>
      <c r="X11" s="1576"/>
      <c r="Y11" s="3320" t="s">
        <v>537</v>
      </c>
      <c r="Z11" s="1153" t="str">
        <f t="shared" ref="Z11:Z17" si="7">Q11</f>
        <v>用途</v>
      </c>
      <c r="AA11" s="1577">
        <f t="shared" si="3"/>
        <v>1</v>
      </c>
      <c r="AB11" s="1577">
        <f t="shared" si="4"/>
        <v>1</v>
      </c>
      <c r="AC11" s="1577">
        <f t="shared" si="5"/>
        <v>1</v>
      </c>
    </row>
    <row r="12" spans="1:29" s="1341" customFormat="1" ht="27">
      <c r="A12" s="2955"/>
      <c r="B12" s="2960" t="s">
        <v>2772</v>
      </c>
      <c r="C12" s="531"/>
      <c r="D12" s="255">
        <v>100</v>
      </c>
      <c r="E12" s="531"/>
      <c r="F12" s="255">
        <f>ROUND(100/'数据-取费表'!G16,0)</f>
        <v>101</v>
      </c>
      <c r="G12" s="531"/>
      <c r="H12" s="255">
        <f>ROUND(100/'数据-取费表'!G16,0)</f>
        <v>101</v>
      </c>
      <c r="I12" s="531"/>
      <c r="J12" s="255">
        <f>ROUND(100/'数据-取费表'!G16,0)</f>
        <v>101</v>
      </c>
      <c r="K12" s="534"/>
      <c r="L12" s="2149"/>
      <c r="M12" s="2189"/>
      <c r="N12" s="2189"/>
      <c r="O12" s="2150"/>
      <c r="P12" s="3363"/>
      <c r="Q12" s="1154" t="str">
        <f t="shared" si="6"/>
        <v>土地使用年限（年）</v>
      </c>
      <c r="R12" s="1574" t="s">
        <v>8</v>
      </c>
      <c r="S12" s="1575">
        <f t="shared" si="0"/>
        <v>101</v>
      </c>
      <c r="T12" s="1574" t="s">
        <v>8</v>
      </c>
      <c r="U12" s="1575">
        <f t="shared" si="1"/>
        <v>101</v>
      </c>
      <c r="V12" s="1574" t="s">
        <v>8</v>
      </c>
      <c r="W12" s="1575">
        <f t="shared" si="2"/>
        <v>101</v>
      </c>
      <c r="X12" s="1576"/>
      <c r="Y12" s="3320"/>
      <c r="Z12" s="1153" t="str">
        <f t="shared" si="7"/>
        <v>土地使用年限（年）</v>
      </c>
      <c r="AA12" s="1577">
        <f t="shared" si="3"/>
        <v>0.99009900990099009</v>
      </c>
      <c r="AB12" s="1577">
        <f t="shared" si="4"/>
        <v>0.99009900990099009</v>
      </c>
      <c r="AC12" s="1577">
        <f t="shared" si="5"/>
        <v>0.99009900990099009</v>
      </c>
    </row>
    <row r="13" spans="1:29" ht="15">
      <c r="A13" s="2956"/>
      <c r="B13" s="2960" t="s">
        <v>2773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63"/>
      <c r="Q13" s="1154" t="str">
        <f t="shared" si="6"/>
        <v>容积率</v>
      </c>
      <c r="R13" s="1574" t="s">
        <v>8</v>
      </c>
      <c r="S13" s="1575" t="e">
        <f t="shared" si="0"/>
        <v>#N/A</v>
      </c>
      <c r="T13" s="1574" t="s">
        <v>8</v>
      </c>
      <c r="U13" s="1575" t="e">
        <f t="shared" si="1"/>
        <v>#N/A</v>
      </c>
      <c r="V13" s="1574" t="s">
        <v>8</v>
      </c>
      <c r="W13" s="1575" t="e">
        <f t="shared" si="2"/>
        <v>#N/A</v>
      </c>
      <c r="X13" s="1576"/>
      <c r="Y13" s="3320"/>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63"/>
      <c r="Q14" s="1154">
        <f t="shared" si="6"/>
        <v>111</v>
      </c>
      <c r="R14" s="1574" t="s">
        <v>8</v>
      </c>
      <c r="S14" s="1575">
        <f t="shared" si="0"/>
        <v>100</v>
      </c>
      <c r="T14" s="1574" t="s">
        <v>8</v>
      </c>
      <c r="U14" s="1575">
        <f t="shared" si="1"/>
        <v>100</v>
      </c>
      <c r="V14" s="1574" t="s">
        <v>8</v>
      </c>
      <c r="W14" s="1575">
        <f t="shared" si="2"/>
        <v>100</v>
      </c>
      <c r="X14" s="1576"/>
      <c r="Y14" s="3320"/>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63"/>
      <c r="Q15" s="1154">
        <f t="shared" si="6"/>
        <v>111</v>
      </c>
      <c r="R15" s="1574" t="s">
        <v>8</v>
      </c>
      <c r="S15" s="1575">
        <f t="shared" si="0"/>
        <v>100</v>
      </c>
      <c r="T15" s="1574" t="s">
        <v>8</v>
      </c>
      <c r="U15" s="1575">
        <f t="shared" si="1"/>
        <v>100</v>
      </c>
      <c r="V15" s="1574" t="s">
        <v>8</v>
      </c>
      <c r="W15" s="1575">
        <f t="shared" si="2"/>
        <v>100</v>
      </c>
      <c r="X15" s="1576"/>
      <c r="Y15" s="3320"/>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63"/>
      <c r="Q16" s="1154">
        <f t="shared" si="6"/>
        <v>111</v>
      </c>
      <c r="R16" s="1574" t="s">
        <v>8</v>
      </c>
      <c r="S16" s="1575">
        <f t="shared" si="0"/>
        <v>100</v>
      </c>
      <c r="T16" s="1574" t="s">
        <v>8</v>
      </c>
      <c r="U16" s="1575">
        <f t="shared" si="1"/>
        <v>100</v>
      </c>
      <c r="V16" s="1574" t="s">
        <v>8</v>
      </c>
      <c r="W16" s="1575">
        <f t="shared" si="2"/>
        <v>100</v>
      </c>
      <c r="X16" s="1576"/>
      <c r="Y16" s="3320"/>
      <c r="Z16" s="1153">
        <f t="shared" si="7"/>
        <v>111</v>
      </c>
      <c r="AA16" s="1577">
        <f t="shared" si="3"/>
        <v>1</v>
      </c>
      <c r="AB16" s="1577">
        <f t="shared" si="4"/>
        <v>1</v>
      </c>
      <c r="AC16" s="1577">
        <f t="shared" si="5"/>
        <v>1</v>
      </c>
    </row>
    <row r="17" spans="1:29" ht="57">
      <c r="A17" s="2950" t="s">
        <v>2769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65" t="s">
        <v>541</v>
      </c>
      <c r="Q17" s="1578" t="str">
        <f t="shared" si="6"/>
        <v>产业集聚程度</v>
      </c>
      <c r="R17" s="1579" t="s">
        <v>8</v>
      </c>
      <c r="S17" s="1580">
        <f t="shared" si="0"/>
        <v>100</v>
      </c>
      <c r="T17" s="1579" t="s">
        <v>8</v>
      </c>
      <c r="U17" s="1580">
        <f t="shared" si="1"/>
        <v>100</v>
      </c>
      <c r="V17" s="1579" t="s">
        <v>8</v>
      </c>
      <c r="W17" s="1580">
        <f t="shared" si="2"/>
        <v>100</v>
      </c>
      <c r="X17" s="1573"/>
      <c r="Y17" s="3365"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66"/>
      <c r="Q18" s="1578"/>
      <c r="R18" s="1579"/>
      <c r="S18" s="1580"/>
      <c r="T18" s="1579"/>
      <c r="U18" s="1580"/>
      <c r="V18" s="1579"/>
      <c r="W18" s="1580"/>
      <c r="X18" s="1573"/>
      <c r="Y18" s="3366"/>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66"/>
      <c r="Q19" s="1578" t="str">
        <f>B19</f>
        <v>交通便捷度</v>
      </c>
      <c r="R19" s="1579" t="s">
        <v>8</v>
      </c>
      <c r="S19" s="1580">
        <f>F19</f>
        <v>100</v>
      </c>
      <c r="T19" s="1579" t="s">
        <v>8</v>
      </c>
      <c r="U19" s="1580">
        <f>H19</f>
        <v>100</v>
      </c>
      <c r="V19" s="1579" t="s">
        <v>8</v>
      </c>
      <c r="W19" s="1580">
        <f>J19</f>
        <v>100</v>
      </c>
      <c r="X19" s="1573"/>
      <c r="Y19" s="3366"/>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66"/>
      <c r="Q20" s="1578"/>
      <c r="R20" s="1579"/>
      <c r="S20" s="1580"/>
      <c r="T20" s="1579"/>
      <c r="U20" s="1580"/>
      <c r="V20" s="1579"/>
      <c r="W20" s="1580"/>
      <c r="X20" s="1573"/>
      <c r="Y20" s="3366"/>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66"/>
      <c r="Q21" s="1578" t="str">
        <f t="shared" ref="Q21:Q35" si="8">B21</f>
        <v>区域土地利用方向</v>
      </c>
      <c r="R21" s="1579" t="s">
        <v>8</v>
      </c>
      <c r="S21" s="1580">
        <f>F21</f>
        <v>100</v>
      </c>
      <c r="T21" s="1579" t="s">
        <v>8</v>
      </c>
      <c r="U21" s="1580">
        <f>H21</f>
        <v>100</v>
      </c>
      <c r="V21" s="1579" t="s">
        <v>8</v>
      </c>
      <c r="W21" s="1580">
        <f>J21</f>
        <v>100</v>
      </c>
      <c r="X21" s="1573"/>
      <c r="Y21" s="3366"/>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66"/>
      <c r="Q22" s="1578"/>
      <c r="R22" s="1579"/>
      <c r="S22" s="1580"/>
      <c r="T22" s="1579"/>
      <c r="U22" s="1580"/>
      <c r="V22" s="1579"/>
      <c r="W22" s="1580"/>
      <c r="X22" s="1573"/>
      <c r="Y22" s="3366"/>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66"/>
      <c r="Q23" s="1578" t="str">
        <f t="shared" si="8"/>
        <v>环境状况</v>
      </c>
      <c r="R23" s="1579" t="s">
        <v>8</v>
      </c>
      <c r="S23" s="1580">
        <f>F23</f>
        <v>100</v>
      </c>
      <c r="T23" s="1579" t="s">
        <v>8</v>
      </c>
      <c r="U23" s="1580">
        <f>H23</f>
        <v>100</v>
      </c>
      <c r="V23" s="1579" t="s">
        <v>8</v>
      </c>
      <c r="W23" s="1580">
        <f>J23</f>
        <v>100</v>
      </c>
      <c r="X23" s="1573"/>
      <c r="Y23" s="3366"/>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66"/>
      <c r="Q24" s="1578"/>
      <c r="R24" s="1579"/>
      <c r="S24" s="1580"/>
      <c r="T24" s="1579"/>
      <c r="U24" s="1580"/>
      <c r="V24" s="1579"/>
      <c r="W24" s="1580"/>
      <c r="X24" s="1573"/>
      <c r="Y24" s="3366"/>
      <c r="Z24" s="1581"/>
      <c r="AA24" s="1582">
        <v>1</v>
      </c>
      <c r="AB24" s="1582">
        <v>1</v>
      </c>
      <c r="AC24" s="1582">
        <v>1</v>
      </c>
    </row>
    <row r="25" spans="1:29" s="1223" customFormat="1" ht="42.75">
      <c r="A25" s="580"/>
      <c r="B25" s="2629" t="s">
        <v>2560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66"/>
      <c r="Q25" s="1154" t="str">
        <f t="shared" si="8"/>
        <v>公共配套设施</v>
      </c>
      <c r="R25" s="1574" t="s">
        <v>8</v>
      </c>
      <c r="S25" s="1575">
        <f>F25</f>
        <v>100</v>
      </c>
      <c r="T25" s="1574" t="s">
        <v>8</v>
      </c>
      <c r="U25" s="1575">
        <f>H25</f>
        <v>100</v>
      </c>
      <c r="V25" s="1574" t="s">
        <v>8</v>
      </c>
      <c r="W25" s="1575">
        <f>J25</f>
        <v>100</v>
      </c>
      <c r="X25" s="1576"/>
      <c r="Y25" s="3366"/>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66"/>
      <c r="Q26" s="1154"/>
      <c r="R26" s="1574"/>
      <c r="S26" s="1575"/>
      <c r="T26" s="1574"/>
      <c r="U26" s="1575"/>
      <c r="V26" s="1574"/>
      <c r="W26" s="1575"/>
      <c r="X26" s="1576"/>
      <c r="Y26" s="3366"/>
      <c r="Z26" s="1153"/>
      <c r="AA26" s="1577">
        <v>1</v>
      </c>
      <c r="AB26" s="1577">
        <v>1</v>
      </c>
      <c r="AC26" s="1577">
        <v>1</v>
      </c>
    </row>
    <row r="27" spans="1:29" s="1223" customFormat="1" ht="28.5">
      <c r="A27" s="580"/>
      <c r="B27" s="2629" t="s">
        <v>2561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66"/>
      <c r="Q27" s="2614" t="str">
        <f t="shared" ref="Q27" si="9">B27</f>
        <v>基础设施水平</v>
      </c>
      <c r="R27" s="1574" t="s">
        <v>8</v>
      </c>
      <c r="S27" s="1575">
        <f>F27</f>
        <v>100</v>
      </c>
      <c r="T27" s="1574" t="s">
        <v>8</v>
      </c>
      <c r="U27" s="1575">
        <f>H27</f>
        <v>100</v>
      </c>
      <c r="V27" s="1574" t="s">
        <v>8</v>
      </c>
      <c r="W27" s="1575">
        <f>J27</f>
        <v>100</v>
      </c>
      <c r="X27" s="1576"/>
      <c r="Y27" s="3366"/>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66"/>
      <c r="Q28" s="2614"/>
      <c r="R28" s="1574"/>
      <c r="S28" s="1575"/>
      <c r="T28" s="1574"/>
      <c r="U28" s="1575"/>
      <c r="V28" s="1574"/>
      <c r="W28" s="1575"/>
      <c r="X28" s="1576"/>
      <c r="Y28" s="3366"/>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66"/>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66"/>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66"/>
      <c r="Q30" s="1578" t="str">
        <f t="shared" si="8"/>
        <v>毗邻道路的类型与等级</v>
      </c>
      <c r="R30" s="1579" t="s">
        <v>8</v>
      </c>
      <c r="S30" s="1580">
        <f t="shared" si="10"/>
        <v>100</v>
      </c>
      <c r="T30" s="1579" t="s">
        <v>8</v>
      </c>
      <c r="U30" s="1580">
        <f t="shared" si="11"/>
        <v>100</v>
      </c>
      <c r="V30" s="1579" t="s">
        <v>8</v>
      </c>
      <c r="W30" s="1580">
        <f t="shared" si="12"/>
        <v>100</v>
      </c>
      <c r="X30" s="1573"/>
      <c r="Y30" s="3366"/>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66"/>
      <c r="Q31" s="1578"/>
      <c r="R31" s="1579"/>
      <c r="S31" s="1580"/>
      <c r="T31" s="1579"/>
      <c r="U31" s="1580"/>
      <c r="V31" s="1579"/>
      <c r="W31" s="1580"/>
      <c r="X31" s="1573"/>
      <c r="Y31" s="3366"/>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66"/>
      <c r="Q32" s="1578" t="str">
        <f t="shared" si="8"/>
        <v>土地级别</v>
      </c>
      <c r="R32" s="1579" t="s">
        <v>8</v>
      </c>
      <c r="S32" s="1580">
        <f t="shared" si="10"/>
        <v>100</v>
      </c>
      <c r="T32" s="1579" t="s">
        <v>8</v>
      </c>
      <c r="U32" s="1580">
        <f t="shared" si="11"/>
        <v>100</v>
      </c>
      <c r="V32" s="1579" t="s">
        <v>8</v>
      </c>
      <c r="W32" s="1580">
        <f t="shared" si="12"/>
        <v>100</v>
      </c>
      <c r="X32" s="1573"/>
      <c r="Y32" s="3366"/>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66"/>
      <c r="Q33" s="1578">
        <f t="shared" si="8"/>
        <v>111</v>
      </c>
      <c r="R33" s="1579" t="s">
        <v>8</v>
      </c>
      <c r="S33" s="1580">
        <f t="shared" si="10"/>
        <v>100</v>
      </c>
      <c r="T33" s="1579" t="s">
        <v>8</v>
      </c>
      <c r="U33" s="1580">
        <f t="shared" si="11"/>
        <v>100</v>
      </c>
      <c r="V33" s="1579" t="s">
        <v>8</v>
      </c>
      <c r="W33" s="1580">
        <f t="shared" si="12"/>
        <v>100</v>
      </c>
      <c r="X33" s="1573"/>
      <c r="Y33" s="3366"/>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67" t="s">
        <v>551</v>
      </c>
      <c r="Q34" s="1578">
        <f t="shared" si="8"/>
        <v>111</v>
      </c>
      <c r="R34" s="1579" t="s">
        <v>8</v>
      </c>
      <c r="S34" s="1580">
        <f t="shared" si="10"/>
        <v>100</v>
      </c>
      <c r="T34" s="1579" t="s">
        <v>8</v>
      </c>
      <c r="U34" s="1580">
        <f t="shared" si="11"/>
        <v>100</v>
      </c>
      <c r="V34" s="1579" t="s">
        <v>8</v>
      </c>
      <c r="W34" s="1580">
        <f t="shared" si="12"/>
        <v>100</v>
      </c>
      <c r="X34" s="1573"/>
      <c r="Y34" s="3368"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68"/>
      <c r="Q35" s="1578">
        <f t="shared" si="8"/>
        <v>111</v>
      </c>
      <c r="R35" s="1583" t="s">
        <v>8</v>
      </c>
      <c r="S35" s="1584">
        <f t="shared" si="10"/>
        <v>100</v>
      </c>
      <c r="T35" s="1583" t="s">
        <v>8</v>
      </c>
      <c r="U35" s="1584">
        <f t="shared" si="11"/>
        <v>100</v>
      </c>
      <c r="V35" s="1583" t="s">
        <v>8</v>
      </c>
      <c r="W35" s="1584">
        <f t="shared" si="12"/>
        <v>100</v>
      </c>
      <c r="X35" s="1585"/>
      <c r="Y35" s="3368"/>
      <c r="Z35" s="1586">
        <f t="shared" si="13"/>
        <v>111</v>
      </c>
      <c r="AA35" s="1582">
        <f t="shared" si="3"/>
        <v>1</v>
      </c>
      <c r="AB35" s="1582">
        <f t="shared" si="4"/>
        <v>1</v>
      </c>
      <c r="AC35" s="1582">
        <f t="shared" si="5"/>
        <v>1</v>
      </c>
    </row>
    <row r="36" spans="1:29" ht="15">
      <c r="A36" s="2947" t="s">
        <v>2770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68"/>
      <c r="Q36" s="1578" t="str">
        <f>B36</f>
        <v>宗地面积</v>
      </c>
      <c r="R36" s="1579" t="s">
        <v>8</v>
      </c>
      <c r="S36" s="1580" t="e">
        <f t="shared" si="10"/>
        <v>#N/A</v>
      </c>
      <c r="T36" s="1579" t="s">
        <v>8</v>
      </c>
      <c r="U36" s="1580" t="e">
        <f t="shared" si="11"/>
        <v>#N/A</v>
      </c>
      <c r="V36" s="1579" t="s">
        <v>8</v>
      </c>
      <c r="W36" s="1580" t="e">
        <f t="shared" si="12"/>
        <v>#N/A</v>
      </c>
      <c r="X36" s="1573"/>
      <c r="Y36" s="3368"/>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68"/>
      <c r="Q37" s="1578" t="str">
        <f t="shared" ref="Q37:Q42" si="14">B37</f>
        <v>宗地形状</v>
      </c>
      <c r="R37" s="1579" t="s">
        <v>8</v>
      </c>
      <c r="S37" s="1580">
        <f t="shared" si="10"/>
        <v>100</v>
      </c>
      <c r="T37" s="1579" t="s">
        <v>8</v>
      </c>
      <c r="U37" s="1580">
        <f t="shared" si="11"/>
        <v>100</v>
      </c>
      <c r="V37" s="1579" t="s">
        <v>8</v>
      </c>
      <c r="W37" s="1580">
        <f t="shared" si="12"/>
        <v>100</v>
      </c>
      <c r="X37" s="1573"/>
      <c r="Y37" s="3368"/>
      <c r="Z37" s="1581" t="str">
        <f t="shared" si="13"/>
        <v>宗地形状</v>
      </c>
      <c r="AA37" s="1582">
        <f t="shared" si="3"/>
        <v>1</v>
      </c>
      <c r="AB37" s="1582">
        <f t="shared" si="4"/>
        <v>1</v>
      </c>
      <c r="AC37" s="1582">
        <f t="shared" si="5"/>
        <v>1</v>
      </c>
    </row>
    <row r="38" spans="1:29" s="1223" customFormat="1" ht="15">
      <c r="A38" s="603"/>
      <c r="B38" s="1902" t="s">
        <v>2434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68"/>
      <c r="Q38" s="1578" t="str">
        <f t="shared" si="14"/>
        <v>宗地开发程度</v>
      </c>
      <c r="R38" s="1574" t="s">
        <v>8</v>
      </c>
      <c r="S38" s="1575">
        <f t="shared" si="10"/>
        <v>100</v>
      </c>
      <c r="T38" s="1574" t="s">
        <v>8</v>
      </c>
      <c r="U38" s="1575">
        <f t="shared" si="11"/>
        <v>100</v>
      </c>
      <c r="V38" s="1574" t="s">
        <v>8</v>
      </c>
      <c r="W38" s="1575">
        <f t="shared" si="12"/>
        <v>100</v>
      </c>
      <c r="X38" s="1576"/>
      <c r="Y38" s="3368"/>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8" t="s">
        <v>602</v>
      </c>
      <c r="Q39" s="1578" t="str">
        <f t="shared" si="14"/>
        <v>工程地质条件</v>
      </c>
      <c r="R39" s="1579" t="s">
        <v>8</v>
      </c>
      <c r="S39" s="1580">
        <f t="shared" si="10"/>
        <v>100</v>
      </c>
      <c r="T39" s="1579" t="s">
        <v>8</v>
      </c>
      <c r="U39" s="1580">
        <f t="shared" si="11"/>
        <v>100</v>
      </c>
      <c r="V39" s="1579" t="s">
        <v>8</v>
      </c>
      <c r="W39" s="1580">
        <f t="shared" si="12"/>
        <v>100</v>
      </c>
      <c r="X39" s="1573"/>
      <c r="Y39" s="3368"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68"/>
      <c r="Q40" s="1578">
        <f t="shared" si="14"/>
        <v>111</v>
      </c>
      <c r="R40" s="1579" t="s">
        <v>8</v>
      </c>
      <c r="S40" s="1580">
        <f t="shared" si="10"/>
        <v>100</v>
      </c>
      <c r="T40" s="1579" t="s">
        <v>8</v>
      </c>
      <c r="U40" s="1580">
        <f t="shared" si="11"/>
        <v>100</v>
      </c>
      <c r="V40" s="1579" t="s">
        <v>8</v>
      </c>
      <c r="W40" s="1580">
        <f t="shared" si="12"/>
        <v>100</v>
      </c>
      <c r="X40" s="1573"/>
      <c r="Y40" s="3368"/>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68"/>
      <c r="Q41" s="1578">
        <f t="shared" si="14"/>
        <v>111</v>
      </c>
      <c r="R41" s="1579" t="s">
        <v>8</v>
      </c>
      <c r="S41" s="1580">
        <f t="shared" si="10"/>
        <v>100</v>
      </c>
      <c r="T41" s="1579" t="s">
        <v>8</v>
      </c>
      <c r="U41" s="1580">
        <f t="shared" si="11"/>
        <v>100</v>
      </c>
      <c r="V41" s="1579" t="s">
        <v>8</v>
      </c>
      <c r="W41" s="1580">
        <f t="shared" si="12"/>
        <v>100</v>
      </c>
      <c r="X41" s="1573"/>
      <c r="Y41" s="3368"/>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68"/>
      <c r="Q42" s="1578">
        <f t="shared" si="14"/>
        <v>111</v>
      </c>
      <c r="R42" s="1583" t="s">
        <v>8</v>
      </c>
      <c r="S42" s="1584">
        <f t="shared" si="10"/>
        <v>100</v>
      </c>
      <c r="T42" s="1583" t="s">
        <v>8</v>
      </c>
      <c r="U42" s="1584">
        <f t="shared" si="11"/>
        <v>100</v>
      </c>
      <c r="V42" s="1583" t="s">
        <v>8</v>
      </c>
      <c r="W42" s="1584">
        <f t="shared" si="12"/>
        <v>100</v>
      </c>
      <c r="X42" s="1585"/>
      <c r="Y42" s="3368"/>
      <c r="Z42" s="1586">
        <f t="shared" si="13"/>
        <v>111</v>
      </c>
      <c r="AA42" s="1582">
        <f t="shared" si="3"/>
        <v>1</v>
      </c>
      <c r="AB42" s="1582">
        <f t="shared" si="4"/>
        <v>1</v>
      </c>
      <c r="AC42" s="1582">
        <f t="shared" si="5"/>
        <v>1</v>
      </c>
    </row>
    <row r="43" spans="1:29" ht="15">
      <c r="A43" s="610" t="s">
        <v>557</v>
      </c>
      <c r="B43" s="611" t="s">
        <v>2946</v>
      </c>
      <c r="C43" s="612" t="s">
        <v>1</v>
      </c>
      <c r="D43" s="613"/>
      <c r="E43" s="614"/>
      <c r="F43" s="615"/>
      <c r="G43" s="616"/>
      <c r="H43" s="617"/>
      <c r="I43" s="614"/>
      <c r="J43" s="617"/>
      <c r="K43" s="1343"/>
      <c r="L43" s="2155"/>
      <c r="M43" s="2145"/>
      <c r="N43" s="2145"/>
      <c r="O43" s="2156"/>
      <c r="P43" s="3363" t="str">
        <f>A43</f>
        <v>成交单价</v>
      </c>
      <c r="Q43" s="3363"/>
      <c r="R43" s="3377">
        <f>E43</f>
        <v>0</v>
      </c>
      <c r="S43" s="3377"/>
      <c r="T43" s="3377">
        <f>G43</f>
        <v>0</v>
      </c>
      <c r="U43" s="3377"/>
      <c r="V43" s="3377">
        <f>I43</f>
        <v>0</v>
      </c>
      <c r="W43" s="3377"/>
      <c r="X43" s="1565"/>
      <c r="Y43" s="1587"/>
      <c r="Z43" s="1565"/>
      <c r="AA43" s="1565"/>
      <c r="AB43" s="1565"/>
      <c r="AC43" s="1565"/>
    </row>
    <row r="44" spans="1:29" ht="15.75" thickBot="1">
      <c r="A44" s="618" t="s">
        <v>2708</v>
      </c>
      <c r="B44" s="619"/>
      <c r="C44" s="620" t="e">
        <f>R45</f>
        <v>#DIV/0!</v>
      </c>
      <c r="D44" s="621"/>
      <c r="E44" s="620" t="e">
        <f>R44</f>
        <v>#DIV/0!</v>
      </c>
      <c r="F44" s="622"/>
      <c r="G44" s="623" t="e">
        <f>T44</f>
        <v>#DIV/0!</v>
      </c>
      <c r="H44" s="621"/>
      <c r="I44" s="620" t="e">
        <f>V44</f>
        <v>#DIV/0!</v>
      </c>
      <c r="J44" s="621"/>
      <c r="K44" s="1344"/>
      <c r="L44" s="2155"/>
      <c r="M44" s="2145"/>
      <c r="N44" s="2145"/>
      <c r="O44" s="2156"/>
      <c r="P44" s="3363" t="str">
        <f>A44</f>
        <v>比较价格（元/平方米）</v>
      </c>
      <c r="Q44" s="3363"/>
      <c r="R44" s="3388" t="e">
        <f>ROUND(PRODUCT(R43,AA9:AA42),0)</f>
        <v>#DIV/0!</v>
      </c>
      <c r="S44" s="3388"/>
      <c r="T44" s="3388" t="e">
        <f>ROUND(PRODUCT(T43,AB9:AB42),0)</f>
        <v>#DIV/0!</v>
      </c>
      <c r="U44" s="3388"/>
      <c r="V44" s="3388" t="e">
        <f>ROUND(PRODUCT(V43,AC9:AC42),0)</f>
        <v>#DIV/0!</v>
      </c>
      <c r="W44" s="3388"/>
      <c r="X44" s="1565"/>
      <c r="Y44" s="1565"/>
      <c r="Z44" s="1565"/>
      <c r="AA44" s="1565"/>
      <c r="AB44" s="1565"/>
      <c r="AC44" s="1565"/>
    </row>
    <row r="45" spans="1:29" ht="15.75" thickBot="1">
      <c r="A45" s="624" t="s">
        <v>2947</v>
      </c>
      <c r="B45" s="625"/>
      <c r="C45" s="626" t="e">
        <f>R45</f>
        <v>#DIV/0!</v>
      </c>
      <c r="D45" s="626"/>
      <c r="E45" s="626"/>
      <c r="F45" s="626"/>
      <c r="G45" s="626"/>
      <c r="H45" s="626"/>
      <c r="I45" s="626"/>
      <c r="J45" s="626"/>
      <c r="K45" s="1345"/>
      <c r="L45" s="2155"/>
      <c r="M45" s="2145"/>
      <c r="N45" s="2145"/>
      <c r="O45" s="2156"/>
      <c r="P45" s="3385" t="str">
        <f>A45</f>
        <v>估价对象XX用房的比较价格（楼面单价，元/平方米）</v>
      </c>
      <c r="Q45" s="3386"/>
      <c r="R45" s="3387" t="e">
        <f>ROUND(AVERAGE(R44:V44),0)</f>
        <v>#DIV/0!</v>
      </c>
      <c r="S45" s="3387"/>
      <c r="T45" s="3387"/>
      <c r="U45" s="3387"/>
      <c r="V45" s="3387"/>
      <c r="W45" s="3387"/>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2301</v>
      </c>
      <c r="E52" s="634" t="s">
        <v>563</v>
      </c>
      <c r="F52" s="1958" t="s">
        <v>564</v>
      </c>
      <c r="G52" s="3389" t="s">
        <v>2292</v>
      </c>
      <c r="H52" s="3390"/>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47091</v>
      </c>
      <c r="F53" s="1957" t="e">
        <f t="shared" ref="F53:F62" si="15">ROUND(B53*E53/10000,0)</f>
        <v>#DIV/0!</v>
      </c>
      <c r="G53" s="3391"/>
      <c r="H53" s="3392"/>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93" t="s">
        <v>2293</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93"/>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93"/>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93"/>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t="e">
        <f t="shared" si="17"/>
        <v>#DIV/0!</v>
      </c>
      <c r="C58" s="381">
        <f t="shared" si="16"/>
        <v>0</v>
      </c>
      <c r="D58" s="2240">
        <v>0.25</v>
      </c>
      <c r="E58" s="644">
        <f>'数据-汇总表'!E11</f>
        <v>0</v>
      </c>
      <c r="F58" s="1957" t="e">
        <f t="shared" si="15"/>
        <v>#DIV/0!</v>
      </c>
      <c r="G58" s="1963" t="s">
        <v>2294</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17160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2293</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2294</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2302</v>
      </c>
      <c r="E63" s="646">
        <f>IF(B43="楼面地价",SUM(E53:E62),'数据-汇总表'!D3)</f>
        <v>19564.599999999999</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2017-10-1</v>
      </c>
      <c r="D65" s="2839">
        <f>EDATE(C65,-3)</f>
        <v>42917</v>
      </c>
      <c r="E65" s="2839">
        <f t="shared" ref="E65:N65" si="18">EDATE(D65,-3)</f>
        <v>42826</v>
      </c>
      <c r="F65" s="2839">
        <f t="shared" si="18"/>
        <v>42736</v>
      </c>
      <c r="G65" s="2839">
        <f t="shared" si="18"/>
        <v>42644</v>
      </c>
      <c r="H65" s="2839">
        <f t="shared" si="18"/>
        <v>42552</v>
      </c>
      <c r="I65" s="2839">
        <f t="shared" si="18"/>
        <v>42461</v>
      </c>
      <c r="J65" s="2839">
        <f t="shared" si="18"/>
        <v>42370</v>
      </c>
      <c r="K65" s="2839">
        <f t="shared" si="18"/>
        <v>42278</v>
      </c>
      <c r="L65" s="2839">
        <f t="shared" si="18"/>
        <v>42186</v>
      </c>
      <c r="M65" s="2839">
        <f t="shared" si="18"/>
        <v>42095</v>
      </c>
      <c r="N65" s="2839">
        <f t="shared" si="18"/>
        <v>42005</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2017-4</v>
      </c>
      <c r="D67" s="2841" t="str">
        <f t="shared" ref="D67:N67" si="19">YEAR(D65)&amp;"-"&amp;ROUNDUP(MONTH(D65)/3,0)</f>
        <v>2017-3</v>
      </c>
      <c r="E67" s="2841" t="str">
        <f t="shared" si="19"/>
        <v>2017-2</v>
      </c>
      <c r="F67" s="2841" t="str">
        <f t="shared" si="19"/>
        <v>2017-1</v>
      </c>
      <c r="G67" s="2841" t="str">
        <f t="shared" si="19"/>
        <v>2016-4</v>
      </c>
      <c r="H67" s="2841" t="str">
        <f t="shared" si="19"/>
        <v>2016-3</v>
      </c>
      <c r="I67" s="2841" t="str">
        <f t="shared" si="19"/>
        <v>2016-2</v>
      </c>
      <c r="J67" s="2841" t="str">
        <f t="shared" si="19"/>
        <v>2016-1</v>
      </c>
      <c r="K67" s="2841" t="str">
        <f t="shared" si="19"/>
        <v>2015-4</v>
      </c>
      <c r="L67" s="2841" t="str">
        <f t="shared" si="19"/>
        <v>2015-3</v>
      </c>
      <c r="M67" s="2841" t="str">
        <f t="shared" si="19"/>
        <v>2015-2</v>
      </c>
      <c r="N67" s="2841" t="str">
        <f t="shared" si="19"/>
        <v>2015-1</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2246</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2247</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2948</v>
      </c>
      <c r="G3" s="1042">
        <f>IF(F3="宗地容积率",'数据-汇总表'!I4,IF(F3="估价对象容积率",'数据-汇总表'!I6,'数据-汇总表'!I7))</f>
        <v>2.5</v>
      </c>
      <c r="H3" s="1419" t="s">
        <v>932</v>
      </c>
      <c r="I3" s="1043">
        <v>8</v>
      </c>
      <c r="J3" s="1415" t="s">
        <v>933</v>
      </c>
      <c r="K3" s="1406"/>
      <c r="L3" s="1892" t="s">
        <v>2248</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2288</v>
      </c>
      <c r="B4" s="2489" t="e">
        <f>ROUND(B2*10000/F1,0)</f>
        <v>#DIV/0!</v>
      </c>
      <c r="C4" s="1901" t="s">
        <v>2262</v>
      </c>
      <c r="D4" s="1901" t="e">
        <f>ROUND(B2/(F1/666.67),0)</f>
        <v>#DIV/0!</v>
      </c>
      <c r="E4" s="1901" t="s">
        <v>2263</v>
      </c>
      <c r="F4" s="1899"/>
      <c r="G4" s="1899"/>
      <c r="H4" s="1899"/>
      <c r="I4" s="1899"/>
      <c r="J4" s="1900"/>
      <c r="K4" s="1406"/>
      <c r="L4" s="1892" t="s">
        <v>2249</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2250</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2251</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401" t="str">
        <f>IF(E2="商业",IF(C8="不临58条商业街","",2),"")</f>
        <v/>
      </c>
      <c r="B7" s="1433" t="s">
        <v>935</v>
      </c>
      <c r="C7" s="1046" t="e">
        <f>IF(C8="不临58条商业街",1,ROUND(1+(1.6*E8+1.2*E9+0.8*E10+0.4*E11)*C9,4))</f>
        <v>#DIV/0!</v>
      </c>
      <c r="D7" s="1434" t="s">
        <v>936</v>
      </c>
      <c r="E7" s="1047"/>
      <c r="F7" s="1435"/>
      <c r="G7" s="1436"/>
      <c r="H7" s="1436"/>
      <c r="I7" s="1436"/>
      <c r="J7" s="1437"/>
      <c r="K7" s="1601"/>
      <c r="L7" s="1892" t="s">
        <v>2252</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2.5</v>
      </c>
      <c r="AA7" s="2203"/>
      <c r="AB7" s="2203"/>
      <c r="AC7" s="2204"/>
      <c r="AD7" s="2969"/>
      <c r="AE7" s="2969"/>
      <c r="AF7" s="2969"/>
      <c r="AG7" s="2969"/>
      <c r="AH7" s="2969"/>
      <c r="AI7" s="2969"/>
      <c r="AJ7" s="2970"/>
    </row>
    <row r="8" spans="1:39" ht="15">
      <c r="A8" s="3402"/>
      <c r="B8" s="1419" t="s">
        <v>937</v>
      </c>
      <c r="C8" s="1535"/>
      <c r="D8" s="1048" t="s">
        <v>938</v>
      </c>
      <c r="E8" s="1049" t="e">
        <f>ROUND(C11/E7,4)</f>
        <v>#DIV/0!</v>
      </c>
      <c r="F8" s="1438" t="s">
        <v>939</v>
      </c>
      <c r="G8" s="1439"/>
      <c r="H8" s="1439"/>
      <c r="I8" s="1439"/>
      <c r="J8" s="1440"/>
      <c r="K8" s="1406"/>
      <c r="L8" s="1892" t="s">
        <v>2253</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408" t="s">
        <v>2798</v>
      </c>
      <c r="X8" s="3409"/>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402"/>
      <c r="B9" s="1419" t="s">
        <v>940</v>
      </c>
      <c r="C9" s="1050">
        <f>SUMIF(修正!C59:C119,C8,修正!E59:E119)</f>
        <v>0</v>
      </c>
      <c r="D9" s="1051" t="s">
        <v>941</v>
      </c>
      <c r="E9" s="1051" t="e">
        <f>ROUND(C11/E7,4)</f>
        <v>#DIV/0!</v>
      </c>
      <c r="F9" s="1438" t="s">
        <v>942</v>
      </c>
      <c r="G9" s="1439"/>
      <c r="H9" s="1439"/>
      <c r="I9" s="1439"/>
      <c r="J9" s="1440"/>
      <c r="K9" s="1406"/>
      <c r="L9" s="1892" t="s">
        <v>2254</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407" t="s">
        <v>2794</v>
      </c>
      <c r="X9" s="2971" t="s">
        <v>2795</v>
      </c>
      <c r="Y9" s="3138"/>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402"/>
      <c r="B10" s="1419" t="s">
        <v>943</v>
      </c>
      <c r="C10" s="1051">
        <f>SUMIF(修正!C59:C119,C8,修正!F59:F119)</f>
        <v>0</v>
      </c>
      <c r="D10" s="1051" t="s">
        <v>944</v>
      </c>
      <c r="E10" s="1051" t="e">
        <f>ROUND(C11/E7,4)</f>
        <v>#DIV/0!</v>
      </c>
      <c r="F10" s="1438" t="s">
        <v>945</v>
      </c>
      <c r="G10" s="1439"/>
      <c r="H10" s="1439"/>
      <c r="I10" s="1439"/>
      <c r="J10" s="1440"/>
      <c r="K10" s="1406"/>
      <c r="L10" s="1892" t="s">
        <v>2255</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407"/>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402"/>
      <c r="B11" s="1441" t="s">
        <v>946</v>
      </c>
      <c r="C11" s="1052">
        <f>C10/4</f>
        <v>0</v>
      </c>
      <c r="D11" s="1052" t="s">
        <v>947</v>
      </c>
      <c r="E11" s="1052" t="e">
        <f>ROUND(C11/E7,4)</f>
        <v>#DIV/0!</v>
      </c>
      <c r="F11" s="1442" t="s">
        <v>948</v>
      </c>
      <c r="G11" s="1443"/>
      <c r="H11" s="1443"/>
      <c r="I11" s="1443"/>
      <c r="J11" s="1444"/>
      <c r="K11" s="1406"/>
      <c r="L11" s="1892" t="s">
        <v>2256</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407" t="s">
        <v>2796</v>
      </c>
      <c r="X11" s="1051" t="s">
        <v>2781</v>
      </c>
      <c r="Y11" s="1659">
        <f>$G$3</f>
        <v>2.5</v>
      </c>
      <c r="Z11" s="1659">
        <f t="shared" ref="Z11:AJ11" si="3">$G$3</f>
        <v>2.5</v>
      </c>
      <c r="AA11" s="1659">
        <f t="shared" si="3"/>
        <v>2.5</v>
      </c>
      <c r="AB11" s="1659">
        <f t="shared" si="3"/>
        <v>2.5</v>
      </c>
      <c r="AC11" s="1659">
        <f t="shared" si="3"/>
        <v>2.5</v>
      </c>
      <c r="AD11" s="1659">
        <f t="shared" si="3"/>
        <v>2.5</v>
      </c>
      <c r="AE11" s="1659">
        <f t="shared" si="3"/>
        <v>2.5</v>
      </c>
      <c r="AF11" s="1659">
        <f t="shared" si="3"/>
        <v>2.5</v>
      </c>
      <c r="AG11" s="1659">
        <f t="shared" si="3"/>
        <v>2.5</v>
      </c>
      <c r="AH11" s="1659">
        <f t="shared" si="3"/>
        <v>2.5</v>
      </c>
      <c r="AI11" s="1659">
        <f t="shared" si="3"/>
        <v>2.5</v>
      </c>
      <c r="AJ11" s="1659">
        <f t="shared" si="3"/>
        <v>2.5</v>
      </c>
    </row>
    <row r="12" spans="1:39" ht="25.5" thickBot="1">
      <c r="A12" s="3401" t="s">
        <v>1876</v>
      </c>
      <c r="B12" s="1445" t="s">
        <v>949</v>
      </c>
      <c r="C12" s="1046">
        <f>ROUND(C15*D15*E15*F15*G15*H15*I15*J15,4)</f>
        <v>1</v>
      </c>
      <c r="D12" s="1446" t="s">
        <v>950</v>
      </c>
      <c r="E12" s="1447"/>
      <c r="F12" s="1447"/>
      <c r="G12" s="1448"/>
      <c r="H12" s="1448"/>
      <c r="I12" s="1448"/>
      <c r="J12" s="1449"/>
      <c r="K12" s="1406"/>
      <c r="L12" s="1895" t="s">
        <v>2257</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407"/>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403"/>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407"/>
      <c r="X13" s="2974"/>
      <c r="Y13" s="2973">
        <f>(-0.163*(Y12^2)-0.59*Y12+7617)*(10^(-4))/Y11</f>
        <v>0.30468000000000001</v>
      </c>
      <c r="Z13" s="2973">
        <f t="shared" ref="Z13:AJ13" si="5">(-0.163*(Z12^2)-0.59*Z12+7617)*(10^(-4))/Z11</f>
        <v>0.30468000000000001</v>
      </c>
      <c r="AA13" s="2973">
        <f t="shared" si="5"/>
        <v>0.30468000000000001</v>
      </c>
      <c r="AB13" s="2973">
        <f t="shared" si="5"/>
        <v>0.30468000000000001</v>
      </c>
      <c r="AC13" s="2973">
        <f t="shared" si="5"/>
        <v>0.30468000000000001</v>
      </c>
      <c r="AD13" s="2973">
        <f t="shared" si="5"/>
        <v>0.30468000000000001</v>
      </c>
      <c r="AE13" s="2973">
        <f t="shared" si="5"/>
        <v>0.30468000000000001</v>
      </c>
      <c r="AF13" s="2973">
        <f t="shared" si="5"/>
        <v>0.30468000000000001</v>
      </c>
      <c r="AG13" s="2973">
        <f t="shared" si="5"/>
        <v>0.30468000000000001</v>
      </c>
      <c r="AH13" s="2973">
        <f t="shared" si="5"/>
        <v>0.30468000000000001</v>
      </c>
      <c r="AI13" s="2973">
        <f t="shared" si="5"/>
        <v>0.30468000000000001</v>
      </c>
      <c r="AJ13" s="2973">
        <f t="shared" si="5"/>
        <v>0.30468000000000001</v>
      </c>
    </row>
    <row r="14" spans="1:39" ht="12.75" customHeight="1" thickBot="1">
      <c r="A14" s="3403"/>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404"/>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401"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402"/>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43038</v>
      </c>
      <c r="H19" s="1481" t="s">
        <v>2949</v>
      </c>
      <c r="I19" s="2824" t="str">
        <f>IF(H19="季度增幅（自定义）",SUMIF(N21:N24,E2,O21:O24),"")</f>
        <v/>
      </c>
      <c r="J19" s="1477"/>
      <c r="K19" s="1487"/>
      <c r="L19" s="3080" t="s">
        <v>2856</v>
      </c>
      <c r="M19" s="3081">
        <f>ROUND(SUMIF(地价!B2:F2,E2,地价!B19:F19),0)</f>
        <v>0</v>
      </c>
      <c r="N19" s="2826" t="s">
        <v>1680</v>
      </c>
      <c r="O19" s="2825">
        <f>ROUNDDOWN(DATEDIF(E19,G19,"M")/3,0)</f>
        <v>15</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5">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2.5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2258</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估价对象位于XX商圈，周边商业氛围成熟，人流量大，商业繁华度较好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7" t="s">
        <v>2951</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6" t="s">
        <v>2950</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2259</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7" t="s">
        <v>2952</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6" t="s">
        <v>2950</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2260</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估价对象周边居住用地比例、居住小区规模和社区发展完善程度，综合评价居住社区成熟度较好</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6" t="s">
        <v>2950</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2261</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6" t="s">
        <v>2950</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405" t="s">
        <v>1637</v>
      </c>
      <c r="B90" s="3405"/>
      <c r="C90" s="3405"/>
      <c r="D90" s="3405"/>
      <c r="E90" s="3405"/>
      <c r="F90" s="3405"/>
      <c r="G90" s="3405"/>
      <c r="H90" s="3405"/>
      <c r="I90" s="3405"/>
      <c r="J90" s="3405"/>
      <c r="K90" s="2486"/>
      <c r="L90" s="2486"/>
      <c r="M90" s="2486"/>
      <c r="N90" s="2486"/>
    </row>
    <row r="91" spans="1:40">
      <c r="A91" s="3406" t="s">
        <v>1447</v>
      </c>
      <c r="B91" s="3406" t="s">
        <v>1638</v>
      </c>
      <c r="C91" s="1143" t="s">
        <v>1639</v>
      </c>
      <c r="D91" s="1144"/>
      <c r="E91" s="1144"/>
      <c r="F91" s="1144"/>
      <c r="G91" s="1144"/>
      <c r="H91" s="1144"/>
      <c r="I91" s="1144"/>
      <c r="J91" s="1145"/>
      <c r="K91" s="1137"/>
      <c r="L91" s="1137"/>
      <c r="M91" s="1137"/>
      <c r="N91" s="1137"/>
    </row>
    <row r="92" spans="1:40">
      <c r="A92" s="3406"/>
      <c r="B92" s="3406"/>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410"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1"/>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0" t="s">
        <v>1641</v>
      </c>
      <c r="B101" s="1150" t="s">
        <v>909</v>
      </c>
      <c r="C101" s="1151">
        <f>$G$3</f>
        <v>2.5</v>
      </c>
      <c r="D101" s="1151">
        <f t="shared" ref="D101:N101" si="31">$G$3</f>
        <v>2.5</v>
      </c>
      <c r="E101" s="1151">
        <f t="shared" si="31"/>
        <v>2.5</v>
      </c>
      <c r="F101" s="1151">
        <f t="shared" si="31"/>
        <v>2.5</v>
      </c>
      <c r="G101" s="1151">
        <f t="shared" si="31"/>
        <v>2.5</v>
      </c>
      <c r="H101" s="1151">
        <f t="shared" si="31"/>
        <v>2.5</v>
      </c>
      <c r="I101" s="1151">
        <f t="shared" si="31"/>
        <v>2.5</v>
      </c>
      <c r="J101" s="1151">
        <f t="shared" si="31"/>
        <v>2.5</v>
      </c>
      <c r="K101" s="1151">
        <f t="shared" si="31"/>
        <v>2.5</v>
      </c>
      <c r="L101" s="1151">
        <f t="shared" si="31"/>
        <v>2.5</v>
      </c>
      <c r="M101" s="1151">
        <f t="shared" si="31"/>
        <v>2.5</v>
      </c>
      <c r="N101" s="1151">
        <f t="shared" si="31"/>
        <v>2.5</v>
      </c>
    </row>
    <row r="102" spans="1:14">
      <c r="A102" s="3411"/>
      <c r="B102" s="1146">
        <v>1</v>
      </c>
      <c r="C102" s="1147">
        <f>1.9362/C101</f>
        <v>0.77447999999999995</v>
      </c>
      <c r="D102" s="1147">
        <f>1.9362/D101</f>
        <v>0.77447999999999995</v>
      </c>
      <c r="E102" s="1147">
        <f>1.8629/E101</f>
        <v>0.74516000000000004</v>
      </c>
      <c r="F102" s="1147">
        <f>1.8629/F101</f>
        <v>0.74516000000000004</v>
      </c>
      <c r="G102" s="1147">
        <f>1.8629/G101</f>
        <v>0.74516000000000004</v>
      </c>
      <c r="H102" s="1147">
        <f>1.8629/H101</f>
        <v>0.74516000000000004</v>
      </c>
      <c r="I102" s="1147">
        <f>1.8629/I101</f>
        <v>0.74516000000000004</v>
      </c>
      <c r="J102" s="1147">
        <f>1.942/J101</f>
        <v>0.77679999999999993</v>
      </c>
      <c r="K102" s="1147">
        <f>1.942/K101</f>
        <v>0.77679999999999993</v>
      </c>
      <c r="L102" s="1147">
        <f>1.942/L101</f>
        <v>0.77679999999999993</v>
      </c>
      <c r="M102" s="1147">
        <f>1.942/M101</f>
        <v>0.77679999999999993</v>
      </c>
      <c r="N102" s="1147">
        <f>1.942/N101</f>
        <v>0.77679999999999993</v>
      </c>
    </row>
    <row r="103" spans="1:14">
      <c r="A103" s="3411"/>
      <c r="B103" s="1146">
        <v>2</v>
      </c>
      <c r="C103" s="1147">
        <f>1.4198/C101</f>
        <v>0.56791999999999998</v>
      </c>
      <c r="D103" s="1147">
        <f>1.4198/D101</f>
        <v>0.56791999999999998</v>
      </c>
      <c r="E103" s="1147">
        <f>1.3372/E101</f>
        <v>0.53488000000000002</v>
      </c>
      <c r="F103" s="1147">
        <f>1.3372/F101</f>
        <v>0.53488000000000002</v>
      </c>
      <c r="G103" s="1147">
        <f>1.3372/G101</f>
        <v>0.53488000000000002</v>
      </c>
      <c r="H103" s="1147">
        <f>1.3372/H101</f>
        <v>0.53488000000000002</v>
      </c>
      <c r="I103" s="1147">
        <f>1.3372/I101</f>
        <v>0.53488000000000002</v>
      </c>
      <c r="J103" s="1147">
        <f>1.2799/J101</f>
        <v>0.51195999999999997</v>
      </c>
      <c r="K103" s="1147">
        <f>1.2799/K101</f>
        <v>0.51195999999999997</v>
      </c>
      <c r="L103" s="1147">
        <f>1.2799/L101</f>
        <v>0.51195999999999997</v>
      </c>
      <c r="M103" s="1147">
        <f>1.2799/M101</f>
        <v>0.51195999999999997</v>
      </c>
      <c r="N103" s="1147">
        <f>1.2799/N101</f>
        <v>0.51195999999999997</v>
      </c>
    </row>
    <row r="104" spans="1:14">
      <c r="A104" s="3411"/>
      <c r="B104" s="1146">
        <v>3</v>
      </c>
      <c r="C104" s="1147">
        <f>1.1594/C101</f>
        <v>0.46376000000000001</v>
      </c>
      <c r="D104" s="1147">
        <f>1.1594/D101</f>
        <v>0.46376000000000001</v>
      </c>
      <c r="E104" s="1147">
        <f>1.0788/E101</f>
        <v>0.43152000000000001</v>
      </c>
      <c r="F104" s="1147">
        <f>1.0788/F101</f>
        <v>0.43152000000000001</v>
      </c>
      <c r="G104" s="1147">
        <f>1.0788/G101</f>
        <v>0.43152000000000001</v>
      </c>
      <c r="H104" s="1147">
        <f>1.0788/H101</f>
        <v>0.43152000000000001</v>
      </c>
      <c r="I104" s="1147">
        <f>1.0788/I101</f>
        <v>0.43152000000000001</v>
      </c>
      <c r="J104" s="1147">
        <f>1.0072/J101</f>
        <v>0.40288000000000002</v>
      </c>
      <c r="K104" s="1147">
        <f>1.0072/K101</f>
        <v>0.40288000000000002</v>
      </c>
      <c r="L104" s="1147">
        <f>1.0072/L101</f>
        <v>0.40288000000000002</v>
      </c>
      <c r="M104" s="1147">
        <f>1.0072/M101</f>
        <v>0.40288000000000002</v>
      </c>
      <c r="N104" s="1147">
        <f>1.0072/N101</f>
        <v>0.40288000000000002</v>
      </c>
    </row>
    <row r="105" spans="1:14">
      <c r="A105" s="3411"/>
      <c r="B105" s="1146">
        <v>4</v>
      </c>
      <c r="C105" s="1147">
        <f>0.9622/C101</f>
        <v>0.38488</v>
      </c>
      <c r="D105" s="1147">
        <f>0.9622/D101</f>
        <v>0.38488</v>
      </c>
      <c r="E105" s="1147">
        <f>0.8656/E101</f>
        <v>0.34623999999999999</v>
      </c>
      <c r="F105" s="1147">
        <f>0.8656/F101</f>
        <v>0.34623999999999999</v>
      </c>
      <c r="G105" s="1147">
        <f>0.8656/G101</f>
        <v>0.34623999999999999</v>
      </c>
      <c r="H105" s="1147">
        <f>0.8656/H101</f>
        <v>0.34623999999999999</v>
      </c>
      <c r="I105" s="1147">
        <f>0.8656/I101</f>
        <v>0.34623999999999999</v>
      </c>
      <c r="J105" s="1147">
        <f>0.7525/J101</f>
        <v>0.30099999999999999</v>
      </c>
      <c r="K105" s="1147">
        <f>0.7525/K101</f>
        <v>0.30099999999999999</v>
      </c>
      <c r="L105" s="1147">
        <f>0.7525/L101</f>
        <v>0.30099999999999999</v>
      </c>
      <c r="M105" s="1147">
        <f>0.7525/M101</f>
        <v>0.30099999999999999</v>
      </c>
      <c r="N105" s="1147">
        <f>0.7525/N101</f>
        <v>0.30099999999999999</v>
      </c>
    </row>
    <row r="106" spans="1:14">
      <c r="A106" s="3411"/>
      <c r="B106" s="1146">
        <v>5</v>
      </c>
      <c r="C106" s="1147">
        <f>0.8417/C101</f>
        <v>0.33667999999999998</v>
      </c>
      <c r="D106" s="1147">
        <f>0.8417/D101</f>
        <v>0.33667999999999998</v>
      </c>
      <c r="E106" s="1147">
        <f>0.7371/E101</f>
        <v>0.29483999999999999</v>
      </c>
      <c r="F106" s="1147">
        <f>0.7371/F101</f>
        <v>0.29483999999999999</v>
      </c>
      <c r="G106" s="1147">
        <f>0.7371/G101</f>
        <v>0.29483999999999999</v>
      </c>
      <c r="H106" s="1147">
        <f>0.7371/H101</f>
        <v>0.29483999999999999</v>
      </c>
      <c r="I106" s="1147">
        <f>0.7371/I101</f>
        <v>0.29483999999999999</v>
      </c>
      <c r="J106" s="1147">
        <f>0.5659/J101</f>
        <v>0.22635999999999998</v>
      </c>
      <c r="K106" s="1147">
        <f>0.5659/K101</f>
        <v>0.22635999999999998</v>
      </c>
      <c r="L106" s="1147">
        <f>0.5659/L101</f>
        <v>0.22635999999999998</v>
      </c>
      <c r="M106" s="1147">
        <f>0.5659/M101</f>
        <v>0.22635999999999998</v>
      </c>
      <c r="N106" s="1147">
        <f>0.5659/N101</f>
        <v>0.22635999999999998</v>
      </c>
    </row>
    <row r="107" spans="1:14">
      <c r="A107" s="3411"/>
      <c r="B107" s="1146">
        <v>6</v>
      </c>
      <c r="C107" s="1147">
        <f>0.7608/C101</f>
        <v>0.30432000000000003</v>
      </c>
      <c r="D107" s="1147">
        <f>0.7608/D101</f>
        <v>0.30432000000000003</v>
      </c>
      <c r="E107" s="1147">
        <f>0.6482/E101</f>
        <v>0.25928000000000001</v>
      </c>
      <c r="F107" s="1147">
        <f>0.6482/F101</f>
        <v>0.25928000000000001</v>
      </c>
      <c r="G107" s="1147">
        <f>0.6482/G101</f>
        <v>0.25928000000000001</v>
      </c>
      <c r="H107" s="1147">
        <f>0.6482/H101</f>
        <v>0.25928000000000001</v>
      </c>
      <c r="I107" s="1147">
        <f>0.6482/I101</f>
        <v>0.25928000000000001</v>
      </c>
      <c r="J107" s="1147">
        <f>0.4525/J101</f>
        <v>0.18099999999999999</v>
      </c>
      <c r="K107" s="1147">
        <f>0.4525/K101</f>
        <v>0.18099999999999999</v>
      </c>
      <c r="L107" s="1147">
        <f>0.4525/L101</f>
        <v>0.18099999999999999</v>
      </c>
      <c r="M107" s="1147">
        <f>0.4525/M101</f>
        <v>0.18099999999999999</v>
      </c>
      <c r="N107" s="1147">
        <f>0.4525/N101</f>
        <v>0.18099999999999999</v>
      </c>
    </row>
    <row r="108" spans="1:14">
      <c r="A108" s="3411"/>
      <c r="B108" s="3413"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2"/>
      <c r="B109" s="3414"/>
      <c r="C109" s="1149">
        <f>(-0.163*(C108^2)-0.59*C108+7617)*(10^(-4))/C101</f>
        <v>0.30407392</v>
      </c>
      <c r="D109" s="1149">
        <f>(-0.163*(D108^2)-0.59*D108+7617)*(10^(-4))/D101</f>
        <v>0.30407392</v>
      </c>
      <c r="E109" s="1149">
        <f>(-0.161*(E108^2)-7.509*E108+6533)*(10^(-4))/E101</f>
        <v>0.25850496000000001</v>
      </c>
      <c r="F109" s="1149">
        <f>(-0.161*(F108^2)-7.509*F108+6533)*(10^(-4))/F101</f>
        <v>0.25850496000000001</v>
      </c>
      <c r="G109" s="1149">
        <f>(-0.161*(G108^2)-7.509*G108+6533)*(10^(-4))/G101</f>
        <v>0.25850496000000001</v>
      </c>
      <c r="H109" s="1149">
        <f>(-0.161*(H108^2)-7.509*H108+6533)*(10^(-4))/H101</f>
        <v>0.25850496000000001</v>
      </c>
      <c r="I109" s="1149">
        <f>(-0.161*(I108^2)-7.509*I108+6533)*(10^(-4))/I101</f>
        <v>0.25850496000000001</v>
      </c>
      <c r="J109" s="1149">
        <f>(-0.214*(J108^2)-21.991*J108+4665)*(10^(-4))/J101</f>
        <v>0.17901504000000001</v>
      </c>
      <c r="K109" s="1149">
        <f>(-0.214*(K108^2)-21.991*K108+4665)*(10^(-4))/K101</f>
        <v>0.17901504000000001</v>
      </c>
      <c r="L109" s="1149">
        <f>(-0.214*(L108^2)-21.991*L108+4665)*(10^(-4))/L101</f>
        <v>0.17901504000000001</v>
      </c>
      <c r="M109" s="1149">
        <f>(-0.214*(M108^2)-21.991*M108+4665)*(10^(-4))/M101</f>
        <v>0.17901504000000001</v>
      </c>
      <c r="N109" s="1149">
        <f>(-0.214*(N108^2)-21.991*N108+4665)*(10^(-4))/N101</f>
        <v>0.17901504000000001</v>
      </c>
    </row>
    <row r="110" spans="1:14">
      <c r="A110" s="3400" t="s">
        <v>1643</v>
      </c>
      <c r="B110" s="3400"/>
      <c r="C110" s="3400"/>
      <c r="D110" s="3400"/>
      <c r="E110" s="3400"/>
      <c r="F110" s="3400"/>
      <c r="G110" s="3400"/>
      <c r="H110" s="3400"/>
      <c r="I110" s="3400"/>
      <c r="J110" s="3400"/>
      <c r="K110" s="2484"/>
      <c r="L110" s="2484"/>
      <c r="M110" s="2484"/>
      <c r="N110" s="2484"/>
    </row>
    <row r="112" spans="1:14" ht="12.75" thickBot="1"/>
    <row r="113" spans="1:13" ht="25.5" thickBot="1">
      <c r="A113" s="1019" t="s">
        <v>899</v>
      </c>
      <c r="B113" s="2487">
        <f>G3</f>
        <v>2.5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v>
      </c>
      <c r="C115" s="1033">
        <f>B115</f>
        <v>0.91</v>
      </c>
      <c r="D115" s="1033">
        <f>ROUND(0.8331-0.0109*B113,4)</f>
        <v>0.80589999999999995</v>
      </c>
      <c r="E115" s="1033">
        <f>D115</f>
        <v>0.80589999999999995</v>
      </c>
      <c r="F115" s="1033">
        <f>E115</f>
        <v>0.80589999999999995</v>
      </c>
      <c r="G115" s="1033">
        <f>F115</f>
        <v>0.80589999999999995</v>
      </c>
      <c r="H115" s="1033">
        <f>G115</f>
        <v>0.80589999999999995</v>
      </c>
      <c r="I115" s="1033">
        <f>ROUND(0.689-0.0155*B113,4)</f>
        <v>0.65029999999999999</v>
      </c>
      <c r="J115" s="1033">
        <f t="shared" ref="J115:M118" si="33">I115</f>
        <v>0.65029999999999999</v>
      </c>
      <c r="K115" s="1033">
        <f t="shared" si="33"/>
        <v>0.65029999999999999</v>
      </c>
      <c r="L115" s="1033">
        <f t="shared" si="33"/>
        <v>0.65029999999999999</v>
      </c>
      <c r="M115" s="1034">
        <f t="shared" si="33"/>
        <v>0.65029999999999999</v>
      </c>
    </row>
    <row r="116" spans="1:13" ht="12.75">
      <c r="A116" s="1032" t="s">
        <v>904</v>
      </c>
      <c r="B116" s="1033">
        <f>ROUND(0.949-0.012*B113,4)</f>
        <v>0.91900000000000004</v>
      </c>
      <c r="C116" s="1033">
        <f>B116</f>
        <v>0.91900000000000004</v>
      </c>
      <c r="D116" s="1033">
        <f>ROUND(0.8567-0.013*B113,4)</f>
        <v>0.82420000000000004</v>
      </c>
      <c r="E116" s="1033">
        <f t="shared" ref="E116:H117" si="34">D116</f>
        <v>0.82420000000000004</v>
      </c>
      <c r="F116" s="1033">
        <f t="shared" si="34"/>
        <v>0.82420000000000004</v>
      </c>
      <c r="G116" s="1033">
        <f t="shared" si="34"/>
        <v>0.82420000000000004</v>
      </c>
      <c r="H116" s="1033">
        <f t="shared" si="34"/>
        <v>0.82420000000000004</v>
      </c>
      <c r="I116" s="1033">
        <f>ROUND(0.7694-0.014*B113,4)</f>
        <v>0.73440000000000005</v>
      </c>
      <c r="J116" s="1033">
        <f t="shared" si="33"/>
        <v>0.73440000000000005</v>
      </c>
      <c r="K116" s="1033">
        <f t="shared" si="33"/>
        <v>0.73440000000000005</v>
      </c>
      <c r="L116" s="1033">
        <f t="shared" si="33"/>
        <v>0.73440000000000005</v>
      </c>
      <c r="M116" s="1034">
        <f t="shared" si="33"/>
        <v>0.73440000000000005</v>
      </c>
    </row>
    <row r="117" spans="1:13" ht="12.75">
      <c r="A117" s="1035" t="s">
        <v>905</v>
      </c>
      <c r="B117" s="1033">
        <f>ROUND(0.8808-0.006*B113,4)</f>
        <v>0.86580000000000001</v>
      </c>
      <c r="C117" s="1033">
        <f>B117</f>
        <v>0.86580000000000001</v>
      </c>
      <c r="D117" s="1033">
        <f>ROUND(0.8748-0.008*B113,4)</f>
        <v>0.8548</v>
      </c>
      <c r="E117" s="1033">
        <f t="shared" si="34"/>
        <v>0.8548</v>
      </c>
      <c r="F117" s="1033">
        <f t="shared" si="34"/>
        <v>0.8548</v>
      </c>
      <c r="G117" s="1033">
        <f t="shared" si="34"/>
        <v>0.8548</v>
      </c>
      <c r="H117" s="1033">
        <f t="shared" si="34"/>
        <v>0.8548</v>
      </c>
      <c r="I117" s="1033">
        <f>ROUND(0.7412-0.0095*B113,4)</f>
        <v>0.71750000000000003</v>
      </c>
      <c r="J117" s="1033">
        <f t="shared" si="33"/>
        <v>0.71750000000000003</v>
      </c>
      <c r="K117" s="1033">
        <f t="shared" si="33"/>
        <v>0.71750000000000003</v>
      </c>
      <c r="L117" s="1033">
        <f t="shared" si="33"/>
        <v>0.71750000000000003</v>
      </c>
      <c r="M117" s="1034">
        <f t="shared" si="33"/>
        <v>0.71750000000000003</v>
      </c>
    </row>
    <row r="118" spans="1:13" ht="13.5" thickBot="1">
      <c r="A118" s="1036" t="s">
        <v>906</v>
      </c>
      <c r="B118" s="1037">
        <f>ROUND(0.7275-0.01*B113,4)</f>
        <v>0.70250000000000001</v>
      </c>
      <c r="C118" s="1037">
        <f>B118</f>
        <v>0.70250000000000001</v>
      </c>
      <c r="D118" s="1037">
        <f>ROUND(0.7043-0.012*B113,4)</f>
        <v>0.67430000000000001</v>
      </c>
      <c r="E118" s="1037">
        <f>D118</f>
        <v>0.67430000000000001</v>
      </c>
      <c r="F118" s="1037">
        <f>E118</f>
        <v>0.67430000000000001</v>
      </c>
      <c r="G118" s="1037">
        <f>ROUND(0.6299-0.0122*B113,4)</f>
        <v>0.59940000000000004</v>
      </c>
      <c r="H118" s="1037">
        <f>G118</f>
        <v>0.59940000000000004</v>
      </c>
      <c r="I118" s="1037">
        <f>ROUND(0.5667-0.0136*B113,4)</f>
        <v>0.53269999999999995</v>
      </c>
      <c r="J118" s="1037">
        <f t="shared" si="33"/>
        <v>0.53269999999999995</v>
      </c>
      <c r="K118" s="1037">
        <f t="shared" si="33"/>
        <v>0.53269999999999995</v>
      </c>
      <c r="L118" s="1037">
        <f t="shared" si="33"/>
        <v>0.53269999999999995</v>
      </c>
      <c r="M118" s="1038">
        <f t="shared" si="33"/>
        <v>0.53269999999999995</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406" t="s">
        <v>1011</v>
      </c>
      <c r="B18" s="1157" t="s">
        <v>1450</v>
      </c>
      <c r="C18" s="1134" t="s">
        <v>1451</v>
      </c>
      <c r="D18" s="1135"/>
      <c r="E18" s="1157">
        <v>1</v>
      </c>
      <c r="F18" s="1136" t="s">
        <v>1452</v>
      </c>
      <c r="G18" s="1137"/>
      <c r="H18" s="1108"/>
      <c r="I18" s="1108"/>
    </row>
    <row r="19" spans="1:9" s="1605" customFormat="1" ht="19.5" customHeight="1">
      <c r="A19" s="3406"/>
      <c r="B19" s="3406" t="s">
        <v>1453</v>
      </c>
      <c r="C19" s="1134" t="s">
        <v>1454</v>
      </c>
      <c r="D19" s="1135"/>
      <c r="E19" s="1157">
        <v>0.9</v>
      </c>
      <c r="F19" s="1136" t="s">
        <v>1455</v>
      </c>
      <c r="G19" s="1137"/>
      <c r="H19" s="1108"/>
      <c r="I19" s="1108"/>
    </row>
    <row r="20" spans="1:9" s="1605" customFormat="1" ht="19.5" customHeight="1">
      <c r="A20" s="3406"/>
      <c r="B20" s="3406"/>
      <c r="C20" s="1134" t="s">
        <v>1456</v>
      </c>
      <c r="D20" s="1135"/>
      <c r="E20" s="1157">
        <v>1.1000000000000001</v>
      </c>
      <c r="F20" s="1136" t="s">
        <v>1457</v>
      </c>
      <c r="G20" s="1137"/>
      <c r="H20" s="1108"/>
      <c r="I20" s="1108"/>
    </row>
    <row r="21" spans="1:9" s="1605" customFormat="1" ht="19.5" customHeight="1">
      <c r="A21" s="3406"/>
      <c r="B21" s="3406"/>
      <c r="C21" s="1134" t="s">
        <v>1458</v>
      </c>
      <c r="D21" s="1135"/>
      <c r="E21" s="1157">
        <v>0.8</v>
      </c>
      <c r="F21" s="1136" t="s">
        <v>1459</v>
      </c>
      <c r="G21" s="1137"/>
      <c r="H21" s="1108"/>
      <c r="I21" s="1108"/>
    </row>
    <row r="22" spans="1:9" s="1605" customFormat="1" ht="19.5" customHeight="1">
      <c r="A22" s="3406"/>
      <c r="B22" s="3406"/>
      <c r="C22" s="1134" t="s">
        <v>1460</v>
      </c>
      <c r="D22" s="1135"/>
      <c r="E22" s="1157">
        <v>0.5</v>
      </c>
      <c r="F22" s="1136"/>
      <c r="G22" s="1137"/>
      <c r="H22" s="1108"/>
      <c r="I22" s="1108"/>
    </row>
    <row r="23" spans="1:9" s="1605" customFormat="1" ht="19.5" customHeight="1">
      <c r="A23" s="3406" t="s">
        <v>1033</v>
      </c>
      <c r="B23" s="1157" t="s">
        <v>1450</v>
      </c>
      <c r="C23" s="1134" t="s">
        <v>1461</v>
      </c>
      <c r="D23" s="1135"/>
      <c r="E23" s="1157">
        <v>1</v>
      </c>
      <c r="F23" s="1136" t="s">
        <v>1462</v>
      </c>
      <c r="G23" s="1137"/>
      <c r="H23" s="1108"/>
      <c r="I23" s="1108"/>
    </row>
    <row r="24" spans="1:9" s="1605" customFormat="1" ht="19.5" customHeight="1">
      <c r="A24" s="3406"/>
      <c r="B24" s="3406" t="s">
        <v>1453</v>
      </c>
      <c r="C24" s="1134" t="s">
        <v>1463</v>
      </c>
      <c r="D24" s="1135"/>
      <c r="E24" s="1157">
        <v>0.5</v>
      </c>
      <c r="F24" s="1136"/>
      <c r="G24" s="1137"/>
      <c r="H24" s="1108"/>
      <c r="I24" s="1108"/>
    </row>
    <row r="25" spans="1:9" s="1605" customFormat="1" ht="19.5" customHeight="1">
      <c r="A25" s="3406"/>
      <c r="B25" s="3406"/>
      <c r="C25" s="1134" t="s">
        <v>1464</v>
      </c>
      <c r="D25" s="1135"/>
      <c r="E25" s="1157">
        <v>1.1000000000000001</v>
      </c>
      <c r="F25" s="1136"/>
      <c r="G25" s="1137"/>
      <c r="H25" s="1108"/>
      <c r="I25" s="1108"/>
    </row>
    <row r="26" spans="1:9" s="1605" customFormat="1" ht="19.5" customHeight="1">
      <c r="A26" s="3406"/>
      <c r="B26" s="3406"/>
      <c r="C26" s="1134" t="s">
        <v>1465</v>
      </c>
      <c r="D26" s="1135"/>
      <c r="E26" s="1157">
        <v>1.1000000000000001</v>
      </c>
      <c r="F26" s="1136"/>
      <c r="G26" s="1137"/>
      <c r="H26" s="1108"/>
      <c r="I26" s="1108"/>
    </row>
    <row r="27" spans="1:9" s="1605" customFormat="1" ht="19.5" customHeight="1">
      <c r="A27" s="3406"/>
      <c r="B27" s="3406"/>
      <c r="C27" s="1134" t="s">
        <v>1466</v>
      </c>
      <c r="D27" s="1135"/>
      <c r="E27" s="1157">
        <v>0.9</v>
      </c>
      <c r="F27" s="1136" t="s">
        <v>1467</v>
      </c>
      <c r="G27" s="1137"/>
      <c r="H27" s="1108"/>
      <c r="I27" s="1108"/>
    </row>
    <row r="28" spans="1:9" s="1605" customFormat="1" ht="19.5" customHeight="1">
      <c r="A28" s="3406"/>
      <c r="B28" s="3406"/>
      <c r="C28" s="1134" t="s">
        <v>1468</v>
      </c>
      <c r="D28" s="1135"/>
      <c r="E28" s="1157">
        <v>0.9</v>
      </c>
      <c r="F28" s="1136" t="s">
        <v>1469</v>
      </c>
      <c r="G28" s="1137"/>
      <c r="H28" s="1108"/>
      <c r="I28" s="1108"/>
    </row>
    <row r="29" spans="1:9" s="1605" customFormat="1" ht="19.5" customHeight="1">
      <c r="A29" s="3406"/>
      <c r="B29" s="3406"/>
      <c r="C29" s="1134" t="s">
        <v>1470</v>
      </c>
      <c r="D29" s="1135"/>
      <c r="E29" s="1157">
        <v>0.9</v>
      </c>
      <c r="F29" s="1136" t="s">
        <v>1471</v>
      </c>
      <c r="G29" s="1137"/>
      <c r="H29" s="1108"/>
      <c r="I29" s="1108"/>
    </row>
    <row r="30" spans="1:9" s="1605" customFormat="1" ht="19.5" customHeight="1">
      <c r="A30" s="3406"/>
      <c r="B30" s="3406"/>
      <c r="C30" s="1134" t="s">
        <v>1472</v>
      </c>
      <c r="D30" s="1135"/>
      <c r="E30" s="1157">
        <v>0.9</v>
      </c>
      <c r="F30" s="1136" t="s">
        <v>1473</v>
      </c>
      <c r="G30" s="1137"/>
      <c r="H30" s="1108"/>
      <c r="I30" s="1108"/>
    </row>
    <row r="31" spans="1:9" s="1605" customFormat="1" ht="19.5" customHeight="1">
      <c r="A31" s="3406"/>
      <c r="B31" s="3406"/>
      <c r="C31" s="1134" t="s">
        <v>1474</v>
      </c>
      <c r="D31" s="1135"/>
      <c r="E31" s="1157">
        <v>0.8</v>
      </c>
      <c r="F31" s="1136" t="s">
        <v>1475</v>
      </c>
      <c r="G31" s="1137"/>
      <c r="H31" s="1108"/>
      <c r="I31" s="1108"/>
    </row>
    <row r="32" spans="1:9" s="1605" customFormat="1" ht="19.5" customHeight="1">
      <c r="A32" s="3406"/>
      <c r="B32" s="3406"/>
      <c r="C32" s="1134" t="s">
        <v>1476</v>
      </c>
      <c r="D32" s="1135"/>
      <c r="E32" s="1157">
        <v>0.8</v>
      </c>
      <c r="F32" s="1136" t="s">
        <v>1477</v>
      </c>
      <c r="G32" s="1137"/>
      <c r="H32" s="1108"/>
      <c r="I32" s="1108"/>
    </row>
    <row r="33" spans="1:9" s="1605" customFormat="1" ht="19.5" customHeight="1">
      <c r="A33" s="3406" t="s">
        <v>1478</v>
      </c>
      <c r="B33" s="1157" t="s">
        <v>1450</v>
      </c>
      <c r="C33" s="1134" t="s">
        <v>1479</v>
      </c>
      <c r="D33" s="1135"/>
      <c r="E33" s="1157">
        <v>1</v>
      </c>
      <c r="F33" s="1136" t="s">
        <v>1480</v>
      </c>
      <c r="G33" s="1137"/>
      <c r="H33" s="1108"/>
      <c r="I33" s="1108"/>
    </row>
    <row r="34" spans="1:9" s="1605" customFormat="1" ht="19.5" customHeight="1">
      <c r="A34" s="3406"/>
      <c r="B34" s="1157" t="s">
        <v>1453</v>
      </c>
      <c r="C34" s="1134" t="s">
        <v>1481</v>
      </c>
      <c r="D34" s="1135"/>
      <c r="E34" s="1157">
        <v>1.5</v>
      </c>
      <c r="F34" s="1136" t="s">
        <v>1482</v>
      </c>
      <c r="G34" s="1137"/>
      <c r="H34" s="1108"/>
      <c r="I34" s="1108"/>
    </row>
    <row r="35" spans="1:9" s="1605" customFormat="1" ht="19.5" customHeight="1">
      <c r="A35" s="3406" t="s">
        <v>1436</v>
      </c>
      <c r="B35" s="1157" t="s">
        <v>1450</v>
      </c>
      <c r="C35" s="1134" t="s">
        <v>1483</v>
      </c>
      <c r="D35" s="1135"/>
      <c r="E35" s="1157">
        <v>1</v>
      </c>
      <c r="F35" s="1136" t="s">
        <v>1484</v>
      </c>
      <c r="G35" s="1137"/>
      <c r="H35" s="1108"/>
      <c r="I35" s="1108"/>
    </row>
    <row r="36" spans="1:9" s="1605" customFormat="1" ht="19.5" customHeight="1">
      <c r="A36" s="3406"/>
      <c r="B36" s="3406" t="s">
        <v>1453</v>
      </c>
      <c r="C36" s="1134" t="s">
        <v>1485</v>
      </c>
      <c r="D36" s="1135"/>
      <c r="E36" s="1157">
        <v>1</v>
      </c>
      <c r="F36" s="1136" t="s">
        <v>1486</v>
      </c>
      <c r="G36" s="1137"/>
      <c r="H36" s="1108"/>
      <c r="I36" s="1108"/>
    </row>
    <row r="37" spans="1:9" s="1605" customFormat="1" ht="19.5" customHeight="1">
      <c r="A37" s="3406"/>
      <c r="B37" s="3406"/>
      <c r="C37" s="1134" t="s">
        <v>1487</v>
      </c>
      <c r="D37" s="1135"/>
      <c r="E37" s="1157">
        <v>1.5</v>
      </c>
      <c r="F37" s="1136" t="s">
        <v>1488</v>
      </c>
      <c r="G37" s="1137"/>
      <c r="H37" s="1108"/>
      <c r="I37" s="1108"/>
    </row>
    <row r="38" spans="1:9" s="1605" customFormat="1" ht="19.5" customHeight="1">
      <c r="A38" s="3406"/>
      <c r="B38" s="3406"/>
      <c r="C38" s="1134" t="s">
        <v>1489</v>
      </c>
      <c r="D38" s="1135"/>
      <c r="E38" s="1157">
        <v>1</v>
      </c>
      <c r="F38" s="1136" t="s">
        <v>1490</v>
      </c>
      <c r="G38" s="1137"/>
      <c r="H38" s="1108"/>
      <c r="I38" s="1108"/>
    </row>
    <row r="39" spans="1:9" s="1605" customFormat="1" ht="19.5" customHeight="1">
      <c r="A39" s="3406"/>
      <c r="B39" s="3406"/>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06" t="s">
        <v>1505</v>
      </c>
      <c r="C61" s="1071" t="s">
        <v>1506</v>
      </c>
      <c r="D61" s="1071" t="s">
        <v>1507</v>
      </c>
      <c r="E61" s="1142">
        <v>0.5</v>
      </c>
      <c r="F61" s="1157">
        <v>80</v>
      </c>
      <c r="H61" s="1108">
        <f>SUMIF(C59:C119,基准地价!C8,E59:E119)</f>
        <v>0</v>
      </c>
    </row>
    <row r="62" spans="1:8" s="1108" customFormat="1" ht="24">
      <c r="A62" s="1157">
        <v>2</v>
      </c>
      <c r="B62" s="3406"/>
      <c r="C62" s="1071" t="s">
        <v>1508</v>
      </c>
      <c r="D62" s="1071" t="s">
        <v>1509</v>
      </c>
      <c r="E62" s="1142">
        <v>0.5</v>
      </c>
      <c r="F62" s="1157">
        <v>80</v>
      </c>
    </row>
    <row r="63" spans="1:8" s="1108" customFormat="1" ht="36">
      <c r="A63" s="1157">
        <v>3</v>
      </c>
      <c r="B63" s="3406"/>
      <c r="C63" s="1071" t="s">
        <v>1510</v>
      </c>
      <c r="D63" s="1071" t="s">
        <v>1511</v>
      </c>
      <c r="E63" s="1142">
        <v>0.5</v>
      </c>
      <c r="F63" s="1157">
        <v>80</v>
      </c>
    </row>
    <row r="64" spans="1:8" s="1108" customFormat="1" ht="36">
      <c r="A64" s="1157">
        <v>4</v>
      </c>
      <c r="B64" s="3406"/>
      <c r="C64" s="1071" t="s">
        <v>1512</v>
      </c>
      <c r="D64" s="1071" t="s">
        <v>1513</v>
      </c>
      <c r="E64" s="1142">
        <v>0.4</v>
      </c>
      <c r="F64" s="1157">
        <v>60</v>
      </c>
    </row>
    <row r="65" spans="1:6" s="1108" customFormat="1" ht="36">
      <c r="A65" s="1157">
        <v>5</v>
      </c>
      <c r="B65" s="3406"/>
      <c r="C65" s="1071" t="s">
        <v>1514</v>
      </c>
      <c r="D65" s="1071" t="s">
        <v>1515</v>
      </c>
      <c r="E65" s="1142">
        <v>0.2</v>
      </c>
      <c r="F65" s="1157">
        <v>30</v>
      </c>
    </row>
    <row r="66" spans="1:6" s="1108" customFormat="1" ht="36">
      <c r="A66" s="1157">
        <v>6</v>
      </c>
      <c r="B66" s="3406"/>
      <c r="C66" s="1071" t="s">
        <v>1516</v>
      </c>
      <c r="D66" s="1071" t="s">
        <v>1517</v>
      </c>
      <c r="E66" s="1142">
        <v>0.3</v>
      </c>
      <c r="F66" s="1157">
        <v>50</v>
      </c>
    </row>
    <row r="67" spans="1:6" s="1108" customFormat="1" ht="36">
      <c r="A67" s="1157">
        <v>7</v>
      </c>
      <c r="B67" s="3406"/>
      <c r="C67" s="1071" t="s">
        <v>1518</v>
      </c>
      <c r="D67" s="1071" t="s">
        <v>1519</v>
      </c>
      <c r="E67" s="1142">
        <v>0.2</v>
      </c>
      <c r="F67" s="1157">
        <v>30</v>
      </c>
    </row>
    <row r="68" spans="1:6" s="1108" customFormat="1" ht="36">
      <c r="A68" s="1157">
        <v>8</v>
      </c>
      <c r="B68" s="3406"/>
      <c r="C68" s="1071" t="s">
        <v>1520</v>
      </c>
      <c r="D68" s="1071" t="s">
        <v>1521</v>
      </c>
      <c r="E68" s="1142">
        <v>0.2</v>
      </c>
      <c r="F68" s="1157">
        <v>30</v>
      </c>
    </row>
    <row r="69" spans="1:6" s="1108" customFormat="1" ht="36">
      <c r="A69" s="1157">
        <v>9</v>
      </c>
      <c r="B69" s="3406"/>
      <c r="C69" s="1071" t="s">
        <v>1522</v>
      </c>
      <c r="D69" s="1071" t="s">
        <v>1523</v>
      </c>
      <c r="E69" s="1142">
        <v>0.2</v>
      </c>
      <c r="F69" s="1157">
        <v>30</v>
      </c>
    </row>
    <row r="70" spans="1:6" s="1108" customFormat="1" ht="48">
      <c r="A70" s="1157">
        <v>10</v>
      </c>
      <c r="B70" s="3406"/>
      <c r="C70" s="1071" t="s">
        <v>1524</v>
      </c>
      <c r="D70" s="1071" t="s">
        <v>1525</v>
      </c>
      <c r="E70" s="1142">
        <v>0.2</v>
      </c>
      <c r="F70" s="1157">
        <v>30</v>
      </c>
    </row>
    <row r="71" spans="1:6" s="1108" customFormat="1" ht="48">
      <c r="A71" s="1157">
        <v>11</v>
      </c>
      <c r="B71" s="3406"/>
      <c r="C71" s="1071" t="s">
        <v>1526</v>
      </c>
      <c r="D71" s="1071" t="s">
        <v>1527</v>
      </c>
      <c r="E71" s="1142">
        <v>0.2</v>
      </c>
      <c r="F71" s="1157">
        <v>30</v>
      </c>
    </row>
    <row r="72" spans="1:6" s="1108" customFormat="1" ht="36">
      <c r="A72" s="1157">
        <v>12</v>
      </c>
      <c r="B72" s="3406"/>
      <c r="C72" s="1071" t="s">
        <v>1528</v>
      </c>
      <c r="D72" s="1071" t="s">
        <v>1529</v>
      </c>
      <c r="E72" s="1142">
        <v>0.5</v>
      </c>
      <c r="F72" s="1157">
        <v>80</v>
      </c>
    </row>
    <row r="73" spans="1:6" s="1108" customFormat="1" ht="24">
      <c r="A73" s="1157">
        <v>13</v>
      </c>
      <c r="B73" s="3406"/>
      <c r="C73" s="1071" t="s">
        <v>1530</v>
      </c>
      <c r="D73" s="1071" t="s">
        <v>1531</v>
      </c>
      <c r="E73" s="1142">
        <v>0.4</v>
      </c>
      <c r="F73" s="1157">
        <v>60</v>
      </c>
    </row>
    <row r="74" spans="1:6" s="1108" customFormat="1" ht="24">
      <c r="A74" s="1157">
        <v>14</v>
      </c>
      <c r="B74" s="3406"/>
      <c r="C74" s="1071" t="s">
        <v>1532</v>
      </c>
      <c r="D74" s="1071" t="s">
        <v>1533</v>
      </c>
      <c r="E74" s="1142">
        <v>0.2</v>
      </c>
      <c r="F74" s="1157">
        <v>30</v>
      </c>
    </row>
    <row r="75" spans="1:6" s="1108" customFormat="1" ht="24">
      <c r="A75" s="1157">
        <v>15</v>
      </c>
      <c r="B75" s="3406"/>
      <c r="C75" s="1071" t="s">
        <v>1534</v>
      </c>
      <c r="D75" s="1071" t="s">
        <v>1535</v>
      </c>
      <c r="E75" s="1142">
        <v>0.2</v>
      </c>
      <c r="F75" s="1157">
        <v>30</v>
      </c>
    </row>
    <row r="76" spans="1:6" s="1108" customFormat="1" ht="24">
      <c r="A76" s="1157">
        <v>16</v>
      </c>
      <c r="B76" s="3406" t="s">
        <v>1536</v>
      </c>
      <c r="C76" s="1071" t="s">
        <v>1537</v>
      </c>
      <c r="D76" s="1071" t="s">
        <v>1538</v>
      </c>
      <c r="E76" s="1142">
        <v>0.5</v>
      </c>
      <c r="F76" s="1157">
        <v>80</v>
      </c>
    </row>
    <row r="77" spans="1:6" s="1108" customFormat="1" ht="24">
      <c r="A77" s="1157">
        <v>17</v>
      </c>
      <c r="B77" s="3406"/>
      <c r="C77" s="1071" t="s">
        <v>1539</v>
      </c>
      <c r="D77" s="1071" t="s">
        <v>1540</v>
      </c>
      <c r="E77" s="1142">
        <v>0.5</v>
      </c>
      <c r="F77" s="1157">
        <v>80</v>
      </c>
    </row>
    <row r="78" spans="1:6" s="1108" customFormat="1" ht="24">
      <c r="A78" s="1157">
        <v>18</v>
      </c>
      <c r="B78" s="3406"/>
      <c r="C78" s="1071" t="s">
        <v>1541</v>
      </c>
      <c r="D78" s="1071" t="s">
        <v>1542</v>
      </c>
      <c r="E78" s="1142">
        <v>0.2</v>
      </c>
      <c r="F78" s="1157">
        <v>30</v>
      </c>
    </row>
    <row r="79" spans="1:6" s="1108" customFormat="1" ht="24">
      <c r="A79" s="1157">
        <v>19</v>
      </c>
      <c r="B79" s="3406"/>
      <c r="C79" s="1071" t="s">
        <v>1543</v>
      </c>
      <c r="D79" s="1071" t="s">
        <v>1544</v>
      </c>
      <c r="E79" s="1142">
        <v>0.5</v>
      </c>
      <c r="F79" s="1157">
        <v>80</v>
      </c>
    </row>
    <row r="80" spans="1:6" s="1108" customFormat="1" ht="36">
      <c r="A80" s="1157">
        <v>20</v>
      </c>
      <c r="B80" s="3406"/>
      <c r="C80" s="1071" t="s">
        <v>1545</v>
      </c>
      <c r="D80" s="1071" t="s">
        <v>1546</v>
      </c>
      <c r="E80" s="1142">
        <v>0.2</v>
      </c>
      <c r="F80" s="1157">
        <v>30</v>
      </c>
    </row>
    <row r="81" spans="1:6" s="1108" customFormat="1" ht="36">
      <c r="A81" s="1157">
        <v>21</v>
      </c>
      <c r="B81" s="3406"/>
      <c r="C81" s="1071" t="s">
        <v>1547</v>
      </c>
      <c r="D81" s="1071" t="s">
        <v>1548</v>
      </c>
      <c r="E81" s="1142">
        <v>0.2</v>
      </c>
      <c r="F81" s="1157">
        <v>30</v>
      </c>
    </row>
    <row r="82" spans="1:6" s="1108" customFormat="1" ht="48">
      <c r="A82" s="1157">
        <v>22</v>
      </c>
      <c r="B82" s="3406"/>
      <c r="C82" s="1071" t="s">
        <v>1549</v>
      </c>
      <c r="D82" s="1071" t="s">
        <v>1550</v>
      </c>
      <c r="E82" s="1142">
        <v>0.2</v>
      </c>
      <c r="F82" s="1157">
        <v>30</v>
      </c>
    </row>
    <row r="83" spans="1:6" s="1108" customFormat="1" ht="48">
      <c r="A83" s="1157">
        <v>23</v>
      </c>
      <c r="B83" s="3406"/>
      <c r="C83" s="1071" t="s">
        <v>1551</v>
      </c>
      <c r="D83" s="1071" t="s">
        <v>1552</v>
      </c>
      <c r="E83" s="1142">
        <v>0.2</v>
      </c>
      <c r="F83" s="1157">
        <v>30</v>
      </c>
    </row>
    <row r="84" spans="1:6" s="1108" customFormat="1" ht="36">
      <c r="A84" s="1157">
        <v>24</v>
      </c>
      <c r="B84" s="3406"/>
      <c r="C84" s="1071" t="s">
        <v>1553</v>
      </c>
      <c r="D84" s="1071" t="s">
        <v>1554</v>
      </c>
      <c r="E84" s="1142">
        <v>0.2</v>
      </c>
      <c r="F84" s="1157">
        <v>30</v>
      </c>
    </row>
    <row r="85" spans="1:6" s="1108" customFormat="1" ht="36">
      <c r="A85" s="1157">
        <v>25</v>
      </c>
      <c r="B85" s="3406"/>
      <c r="C85" s="1071" t="s">
        <v>1555</v>
      </c>
      <c r="D85" s="1071" t="s">
        <v>1556</v>
      </c>
      <c r="E85" s="1142">
        <v>0.5</v>
      </c>
      <c r="F85" s="1157">
        <v>80</v>
      </c>
    </row>
    <row r="86" spans="1:6" s="1108" customFormat="1" ht="36">
      <c r="A86" s="1157">
        <v>26</v>
      </c>
      <c r="B86" s="3406"/>
      <c r="C86" s="1071" t="s">
        <v>1557</v>
      </c>
      <c r="D86" s="1071" t="s">
        <v>1558</v>
      </c>
      <c r="E86" s="1142">
        <v>0.2</v>
      </c>
      <c r="F86" s="1157">
        <v>30</v>
      </c>
    </row>
    <row r="87" spans="1:6" s="1108" customFormat="1" ht="36">
      <c r="A87" s="1157">
        <v>27</v>
      </c>
      <c r="B87" s="3406"/>
      <c r="C87" s="1071" t="s">
        <v>1559</v>
      </c>
      <c r="D87" s="1071" t="s">
        <v>1560</v>
      </c>
      <c r="E87" s="1142">
        <v>0.2</v>
      </c>
      <c r="F87" s="1157">
        <v>30</v>
      </c>
    </row>
    <row r="88" spans="1:6" s="1108" customFormat="1" ht="36">
      <c r="A88" s="1157">
        <v>28</v>
      </c>
      <c r="B88" s="3406"/>
      <c r="C88" s="1071" t="s">
        <v>1561</v>
      </c>
      <c r="D88" s="1071" t="s">
        <v>1562</v>
      </c>
      <c r="E88" s="1142">
        <v>0.2</v>
      </c>
      <c r="F88" s="1157">
        <v>30</v>
      </c>
    </row>
    <row r="89" spans="1:6" s="1108" customFormat="1" ht="24">
      <c r="A89" s="1157">
        <v>29</v>
      </c>
      <c r="B89" s="3406"/>
      <c r="C89" s="1071" t="s">
        <v>1563</v>
      </c>
      <c r="D89" s="1071" t="s">
        <v>1564</v>
      </c>
      <c r="E89" s="1142">
        <v>0.2</v>
      </c>
      <c r="F89" s="1157">
        <v>30</v>
      </c>
    </row>
    <row r="90" spans="1:6" s="1108" customFormat="1" ht="24">
      <c r="A90" s="1157">
        <v>30</v>
      </c>
      <c r="B90" s="3406"/>
      <c r="C90" s="1071" t="s">
        <v>1565</v>
      </c>
      <c r="D90" s="1071" t="s">
        <v>1566</v>
      </c>
      <c r="E90" s="1142">
        <v>0.2</v>
      </c>
      <c r="F90" s="1157">
        <v>30</v>
      </c>
    </row>
    <row r="91" spans="1:6" s="1108" customFormat="1" ht="36">
      <c r="A91" s="1157">
        <v>31</v>
      </c>
      <c r="B91" s="3406"/>
      <c r="C91" s="1071" t="s">
        <v>1567</v>
      </c>
      <c r="D91" s="1071" t="s">
        <v>1568</v>
      </c>
      <c r="E91" s="1142">
        <v>0.2</v>
      </c>
      <c r="F91" s="1157">
        <v>30</v>
      </c>
    </row>
    <row r="92" spans="1:6" s="1108" customFormat="1" ht="24">
      <c r="A92" s="1157">
        <v>32</v>
      </c>
      <c r="B92" s="3406" t="s">
        <v>1569</v>
      </c>
      <c r="C92" s="1157" t="s">
        <v>1570</v>
      </c>
      <c r="D92" s="1071" t="s">
        <v>1571</v>
      </c>
      <c r="E92" s="1142">
        <v>0.2</v>
      </c>
      <c r="F92" s="1157">
        <v>30</v>
      </c>
    </row>
    <row r="93" spans="1:6" s="1108" customFormat="1" ht="36">
      <c r="A93" s="1157">
        <v>33</v>
      </c>
      <c r="B93" s="3406"/>
      <c r="C93" s="1157" t="s">
        <v>1572</v>
      </c>
      <c r="D93" s="1071" t="s">
        <v>1573</v>
      </c>
      <c r="E93" s="1142">
        <v>0.2</v>
      </c>
      <c r="F93" s="1157">
        <v>30</v>
      </c>
    </row>
    <row r="94" spans="1:6" s="1108" customFormat="1" ht="48">
      <c r="A94" s="1157">
        <v>34</v>
      </c>
      <c r="B94" s="3406"/>
      <c r="C94" s="1157" t="s">
        <v>1574</v>
      </c>
      <c r="D94" s="1071" t="s">
        <v>1575</v>
      </c>
      <c r="E94" s="1142">
        <v>0.2</v>
      </c>
      <c r="F94" s="1157">
        <v>30</v>
      </c>
    </row>
    <row r="95" spans="1:6" s="1108" customFormat="1" ht="36">
      <c r="A95" s="1157">
        <v>35</v>
      </c>
      <c r="B95" s="3406"/>
      <c r="C95" s="1157" t="s">
        <v>1576</v>
      </c>
      <c r="D95" s="1071" t="s">
        <v>1577</v>
      </c>
      <c r="E95" s="1142">
        <v>0.2</v>
      </c>
      <c r="F95" s="1157">
        <v>30</v>
      </c>
    </row>
    <row r="96" spans="1:6" s="1108" customFormat="1" ht="48">
      <c r="A96" s="1157">
        <v>36</v>
      </c>
      <c r="B96" s="3406"/>
      <c r="C96" s="1071" t="s">
        <v>1578</v>
      </c>
      <c r="D96" s="1071" t="s">
        <v>1579</v>
      </c>
      <c r="E96" s="1142">
        <v>0.2</v>
      </c>
      <c r="F96" s="1157">
        <v>30</v>
      </c>
    </row>
    <row r="97" spans="1:6" s="1108" customFormat="1" ht="36">
      <c r="A97" s="1157">
        <v>37</v>
      </c>
      <c r="B97" s="3406"/>
      <c r="C97" s="1157" t="s">
        <v>1580</v>
      </c>
      <c r="D97" s="1071" t="s">
        <v>1581</v>
      </c>
      <c r="E97" s="1142">
        <v>0.2</v>
      </c>
      <c r="F97" s="1157">
        <v>30</v>
      </c>
    </row>
    <row r="98" spans="1:6" s="1108" customFormat="1" ht="36">
      <c r="A98" s="1157">
        <v>38</v>
      </c>
      <c r="B98" s="3406"/>
      <c r="C98" s="1157" t="s">
        <v>1582</v>
      </c>
      <c r="D98" s="1071" t="s">
        <v>1583</v>
      </c>
      <c r="E98" s="1142">
        <v>0.2</v>
      </c>
      <c r="F98" s="1157">
        <v>30</v>
      </c>
    </row>
    <row r="99" spans="1:6" s="1108" customFormat="1" ht="36">
      <c r="A99" s="1157">
        <v>39</v>
      </c>
      <c r="B99" s="3406" t="s">
        <v>1584</v>
      </c>
      <c r="C99" s="1157" t="s">
        <v>1585</v>
      </c>
      <c r="D99" s="1071" t="s">
        <v>1586</v>
      </c>
      <c r="E99" s="1142">
        <v>0.3</v>
      </c>
      <c r="F99" s="1157">
        <v>50</v>
      </c>
    </row>
    <row r="100" spans="1:6" s="1108" customFormat="1" ht="24">
      <c r="A100" s="1157">
        <v>40</v>
      </c>
      <c r="B100" s="3406"/>
      <c r="C100" s="1157" t="s">
        <v>1587</v>
      </c>
      <c r="D100" s="1071" t="s">
        <v>1588</v>
      </c>
      <c r="E100" s="1142">
        <v>0.2</v>
      </c>
      <c r="F100" s="1157">
        <v>30</v>
      </c>
    </row>
    <row r="101" spans="1:6" s="1108" customFormat="1" ht="36">
      <c r="A101" s="1157">
        <v>41</v>
      </c>
      <c r="B101" s="3406"/>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06" t="s">
        <v>1599</v>
      </c>
      <c r="C105" s="1157" t="s">
        <v>1600</v>
      </c>
      <c r="D105" s="1071" t="s">
        <v>1601</v>
      </c>
      <c r="E105" s="1142">
        <v>0.2</v>
      </c>
      <c r="F105" s="1157">
        <v>30</v>
      </c>
    </row>
    <row r="106" spans="1:6" s="1108" customFormat="1" ht="36">
      <c r="A106" s="1157">
        <v>46</v>
      </c>
      <c r="B106" s="3406"/>
      <c r="C106" s="1157" t="s">
        <v>1602</v>
      </c>
      <c r="D106" s="1071" t="s">
        <v>1603</v>
      </c>
      <c r="E106" s="1142">
        <v>0.2</v>
      </c>
      <c r="F106" s="1157">
        <v>30</v>
      </c>
    </row>
    <row r="107" spans="1:6" s="1108" customFormat="1" ht="36">
      <c r="A107" s="1157">
        <v>47</v>
      </c>
      <c r="B107" s="3406" t="s">
        <v>1604</v>
      </c>
      <c r="C107" s="1157" t="s">
        <v>1605</v>
      </c>
      <c r="D107" s="1071" t="s">
        <v>1606</v>
      </c>
      <c r="E107" s="1142">
        <v>0.3</v>
      </c>
      <c r="F107" s="1157">
        <v>50</v>
      </c>
    </row>
    <row r="108" spans="1:6" s="1108" customFormat="1" ht="36">
      <c r="A108" s="1157">
        <v>48</v>
      </c>
      <c r="B108" s="3406"/>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06" t="s">
        <v>1615</v>
      </c>
      <c r="C111" s="1157" t="s">
        <v>1616</v>
      </c>
      <c r="D111" s="1071" t="s">
        <v>1617</v>
      </c>
      <c r="E111" s="1142">
        <v>0.2</v>
      </c>
      <c r="F111" s="1157">
        <v>30</v>
      </c>
    </row>
    <row r="112" spans="1:6" s="1108" customFormat="1" ht="24">
      <c r="A112" s="1157">
        <v>52</v>
      </c>
      <c r="B112" s="3406"/>
      <c r="C112" s="1157" t="s">
        <v>1618</v>
      </c>
      <c r="D112" s="1071" t="s">
        <v>1619</v>
      </c>
      <c r="E112" s="1142">
        <v>0.2</v>
      </c>
      <c r="F112" s="1157">
        <v>30</v>
      </c>
    </row>
    <row r="113" spans="1:14" s="1108" customFormat="1" ht="24">
      <c r="A113" s="1157">
        <v>53</v>
      </c>
      <c r="B113" s="3406"/>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06" t="s">
        <v>1628</v>
      </c>
      <c r="C116" s="1157" t="s">
        <v>1629</v>
      </c>
      <c r="D116" s="1071" t="s">
        <v>1630</v>
      </c>
      <c r="E116" s="1142">
        <v>0.2</v>
      </c>
      <c r="F116" s="1157">
        <v>30</v>
      </c>
    </row>
    <row r="117" spans="1:14" ht="36">
      <c r="A117" s="1157">
        <v>57</v>
      </c>
      <c r="B117" s="3406"/>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05" t="s">
        <v>1637</v>
      </c>
      <c r="B121" s="3405"/>
      <c r="C121" s="3405"/>
      <c r="D121" s="3405"/>
      <c r="E121" s="3405"/>
      <c r="F121" s="3405"/>
      <c r="G121" s="3405"/>
      <c r="H121" s="3405"/>
      <c r="I121" s="3405"/>
      <c r="J121" s="340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5" t="s">
        <v>1043</v>
      </c>
      <c r="B1" s="3415"/>
      <c r="C1" s="3415"/>
      <c r="D1" s="3415"/>
      <c r="E1" s="3415"/>
      <c r="F1" s="3415"/>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16" t="s">
        <v>1056</v>
      </c>
      <c r="B2" s="3416"/>
      <c r="C2" s="3416"/>
      <c r="D2" s="3416"/>
      <c r="E2" s="3416"/>
      <c r="F2" s="3416"/>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17"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8"/>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419" t="s">
        <v>2087</v>
      </c>
      <c r="B1" s="3419"/>
    </row>
    <row r="2" spans="1:6" ht="14.25" thickBot="1">
      <c r="A2" s="1858"/>
      <c r="B2" s="1858"/>
    </row>
    <row r="3" spans="1:6" ht="14.25" thickBot="1">
      <c r="A3" s="1858"/>
      <c r="B3" s="1858"/>
      <c r="C3" s="1859" t="s">
        <v>2088</v>
      </c>
      <c r="D3" s="1859" t="s">
        <v>2089</v>
      </c>
      <c r="E3" s="1859" t="s">
        <v>2090</v>
      </c>
      <c r="F3" s="1859" t="s">
        <v>2091</v>
      </c>
    </row>
    <row r="4" spans="1:6" ht="14.25" thickBot="1">
      <c r="A4" s="1860" t="s">
        <v>2092</v>
      </c>
      <c r="B4" s="1861" t="s">
        <v>2093</v>
      </c>
      <c r="C4" s="1859"/>
      <c r="D4" s="1859"/>
      <c r="E4" s="1859"/>
      <c r="F4" s="1859"/>
    </row>
    <row r="5" spans="1:6" ht="14.25" thickBot="1">
      <c r="A5" s="1862" t="s">
        <v>2094</v>
      </c>
      <c r="B5" s="1863" t="s">
        <v>2095</v>
      </c>
      <c r="C5" s="1864">
        <v>8.8999999999999996E-2</v>
      </c>
      <c r="D5" s="1864">
        <v>7.3999999999999996E-2</v>
      </c>
      <c r="E5" s="1864">
        <v>7.4999999999999997E-2</v>
      </c>
      <c r="F5" s="1865">
        <v>0.1</v>
      </c>
    </row>
    <row r="6" spans="1:6" ht="14.25" thickBot="1">
      <c r="A6" s="1862" t="s">
        <v>1100</v>
      </c>
      <c r="B6" s="1866" t="s">
        <v>2096</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2097</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2098</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2099</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2100</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2101</v>
      </c>
      <c r="C72" s="1876"/>
      <c r="D72" s="1876"/>
      <c r="E72" s="1876"/>
      <c r="F72" s="1868">
        <v>0.05</v>
      </c>
    </row>
    <row r="73" spans="1:6" ht="14.25" thickBot="1">
      <c r="A73" s="1862" t="s">
        <v>928</v>
      </c>
      <c r="B73" s="1866" t="s">
        <v>2102</v>
      </c>
      <c r="C73" s="1876"/>
      <c r="D73" s="1876"/>
      <c r="E73" s="1876"/>
      <c r="F73" s="1868">
        <v>0.05</v>
      </c>
    </row>
    <row r="74" spans="1:6" ht="14.25" thickBot="1">
      <c r="A74" s="1862" t="s">
        <v>928</v>
      </c>
      <c r="B74" s="1866" t="s">
        <v>2103</v>
      </c>
      <c r="C74" s="1876"/>
      <c r="D74" s="1876"/>
      <c r="E74" s="1876"/>
      <c r="F74" s="1868">
        <v>0.05</v>
      </c>
    </row>
    <row r="75" spans="1:6" ht="14.25" thickBot="1">
      <c r="A75" s="1870" t="s">
        <v>928</v>
      </c>
      <c r="B75" s="1877" t="s">
        <v>2104</v>
      </c>
      <c r="C75" s="1873"/>
      <c r="D75" s="1873"/>
      <c r="E75" s="1873"/>
      <c r="F75" s="1878">
        <v>0.05</v>
      </c>
    </row>
    <row r="76" spans="1:6" ht="14.25" thickBot="1">
      <c r="A76" s="1862" t="s">
        <v>1411</v>
      </c>
      <c r="B76" s="1863" t="s">
        <v>2105</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2106</v>
      </c>
      <c r="C102" s="1876"/>
      <c r="D102" s="1876"/>
      <c r="E102" s="1876"/>
      <c r="F102" s="1868">
        <v>0.05</v>
      </c>
    </row>
    <row r="103" spans="1:6" ht="24.75" thickBot="1">
      <c r="A103" s="1862" t="s">
        <v>1411</v>
      </c>
      <c r="B103" s="1866" t="s">
        <v>2107</v>
      </c>
      <c r="C103" s="1876"/>
      <c r="D103" s="1876"/>
      <c r="E103" s="1876"/>
      <c r="F103" s="1868">
        <v>0.05</v>
      </c>
    </row>
    <row r="104" spans="1:6" ht="14.25" thickBot="1">
      <c r="A104" s="1862" t="s">
        <v>1411</v>
      </c>
      <c r="B104" s="1866" t="s">
        <v>2108</v>
      </c>
      <c r="C104" s="1876"/>
      <c r="D104" s="1876"/>
      <c r="E104" s="1876"/>
      <c r="F104" s="1868">
        <v>0.05</v>
      </c>
    </row>
    <row r="105" spans="1:6" ht="14.25" thickBot="1">
      <c r="A105" s="1862" t="s">
        <v>1411</v>
      </c>
      <c r="B105" s="1866" t="s">
        <v>2109</v>
      </c>
      <c r="C105" s="1876"/>
      <c r="D105" s="1876"/>
      <c r="E105" s="1876"/>
      <c r="F105" s="1868">
        <v>0.05</v>
      </c>
    </row>
    <row r="106" spans="1:6" ht="14.25" thickBot="1">
      <c r="A106" s="1862" t="s">
        <v>1411</v>
      </c>
      <c r="B106" s="1866" t="s">
        <v>2110</v>
      </c>
      <c r="C106" s="1876"/>
      <c r="D106" s="1876"/>
      <c r="E106" s="1876"/>
      <c r="F106" s="1868">
        <v>0.05</v>
      </c>
    </row>
    <row r="107" spans="1:6" ht="24.75" thickBot="1">
      <c r="A107" s="1862" t="s">
        <v>1411</v>
      </c>
      <c r="B107" s="1866" t="s">
        <v>2111</v>
      </c>
      <c r="C107" s="1876"/>
      <c r="D107" s="1876"/>
      <c r="E107" s="1876"/>
      <c r="F107" s="1868">
        <v>0.05</v>
      </c>
    </row>
    <row r="108" spans="1:6" ht="24.75" thickBot="1">
      <c r="A108" s="1862" t="s">
        <v>1411</v>
      </c>
      <c r="B108" s="1866" t="s">
        <v>2112</v>
      </c>
      <c r="C108" s="1876"/>
      <c r="D108" s="1876"/>
      <c r="E108" s="1876"/>
      <c r="F108" s="1868">
        <v>0.05</v>
      </c>
    </row>
    <row r="109" spans="1:6" ht="24.75" thickBot="1">
      <c r="A109" s="1870" t="s">
        <v>1411</v>
      </c>
      <c r="B109" s="1877" t="s">
        <v>2113</v>
      </c>
      <c r="C109" s="1873"/>
      <c r="D109" s="1873"/>
      <c r="E109" s="1873"/>
      <c r="F109" s="1878">
        <v>0.05</v>
      </c>
    </row>
    <row r="110" spans="1:6" ht="14.25" thickBot="1">
      <c r="A110" s="1862" t="s">
        <v>1413</v>
      </c>
      <c r="B110" s="1863" t="s">
        <v>2114</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2115</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2116</v>
      </c>
      <c r="C138" s="1867">
        <v>0.105</v>
      </c>
      <c r="D138" s="1867">
        <v>0.125</v>
      </c>
      <c r="E138" s="1867">
        <v>0.112</v>
      </c>
      <c r="F138" s="1875"/>
    </row>
    <row r="139" spans="1:6" ht="14.25" thickBot="1">
      <c r="A139" s="1862" t="s">
        <v>1413</v>
      </c>
      <c r="B139" s="1866" t="s">
        <v>2117</v>
      </c>
      <c r="C139" s="1867">
        <v>0.127</v>
      </c>
      <c r="D139" s="1867">
        <v>0.127</v>
      </c>
      <c r="E139" s="1867">
        <v>0.122</v>
      </c>
      <c r="F139" s="1868">
        <v>0.13</v>
      </c>
    </row>
    <row r="140" spans="1:6" ht="14.25" thickBot="1">
      <c r="A140" s="1862" t="s">
        <v>1413</v>
      </c>
      <c r="B140" s="1866" t="s">
        <v>2118</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2119</v>
      </c>
      <c r="C144" s="1880">
        <v>0.126</v>
      </c>
      <c r="D144" s="1880">
        <v>0.126</v>
      </c>
      <c r="E144" s="1880">
        <v>0.121</v>
      </c>
      <c r="F144" s="1875"/>
    </row>
    <row r="145" spans="1:6" ht="14.25" thickBot="1">
      <c r="A145" s="1870" t="s">
        <v>1413</v>
      </c>
      <c r="B145" s="1881" t="s">
        <v>2120</v>
      </c>
      <c r="C145" s="1882"/>
      <c r="D145" s="1882"/>
      <c r="E145" s="1882"/>
      <c r="F145" s="1883">
        <v>0.05</v>
      </c>
    </row>
    <row r="146" spans="1:6" ht="24.75" thickBot="1">
      <c r="A146" s="1884" t="s">
        <v>1413</v>
      </c>
      <c r="B146" s="1869" t="s">
        <v>2121</v>
      </c>
      <c r="C146" s="1876"/>
      <c r="D146" s="1876"/>
      <c r="E146" s="1876"/>
      <c r="F146" s="1885">
        <v>0.05</v>
      </c>
    </row>
    <row r="147" spans="1:6" ht="24.75" thickBot="1">
      <c r="A147" s="1862" t="s">
        <v>1413</v>
      </c>
      <c r="B147" s="1866" t="s">
        <v>2122</v>
      </c>
      <c r="C147" s="1876"/>
      <c r="D147" s="1876"/>
      <c r="E147" s="1876"/>
      <c r="F147" s="1868">
        <v>0.05</v>
      </c>
    </row>
    <row r="148" spans="1:6" ht="24.75" thickBot="1">
      <c r="A148" s="1862" t="s">
        <v>1413</v>
      </c>
      <c r="B148" s="1866" t="s">
        <v>2123</v>
      </c>
      <c r="C148" s="1876"/>
      <c r="D148" s="1876"/>
      <c r="E148" s="1876"/>
      <c r="F148" s="1868">
        <v>0.05</v>
      </c>
    </row>
    <row r="149" spans="1:6" ht="24.75" thickBot="1">
      <c r="A149" s="1862" t="s">
        <v>1413</v>
      </c>
      <c r="B149" s="1866" t="s">
        <v>2124</v>
      </c>
      <c r="C149" s="1876"/>
      <c r="D149" s="1876"/>
      <c r="E149" s="1876"/>
      <c r="F149" s="1868">
        <v>0.05</v>
      </c>
    </row>
    <row r="150" spans="1:6" ht="24.75" thickBot="1">
      <c r="A150" s="1862" t="s">
        <v>1413</v>
      </c>
      <c r="B150" s="1866" t="s">
        <v>2125</v>
      </c>
      <c r="C150" s="1876"/>
      <c r="D150" s="1876"/>
      <c r="E150" s="1876"/>
      <c r="F150" s="1868">
        <v>0.05</v>
      </c>
    </row>
    <row r="151" spans="1:6" ht="24.75" thickBot="1">
      <c r="A151" s="1862" t="s">
        <v>1413</v>
      </c>
      <c r="B151" s="1866" t="s">
        <v>2126</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2127</v>
      </c>
      <c r="C153" s="1876"/>
      <c r="D153" s="1876"/>
      <c r="E153" s="1876"/>
      <c r="F153" s="1868">
        <v>0.05</v>
      </c>
    </row>
    <row r="154" spans="1:6" ht="14.25" thickBot="1">
      <c r="A154" s="1862" t="s">
        <v>1413</v>
      </c>
      <c r="B154" s="1866" t="s">
        <v>2128</v>
      </c>
      <c r="C154" s="1876"/>
      <c r="D154" s="1876"/>
      <c r="E154" s="1876"/>
      <c r="F154" s="1868">
        <v>0.05</v>
      </c>
    </row>
    <row r="155" spans="1:6" ht="24.75" thickBot="1">
      <c r="A155" s="1862" t="s">
        <v>1413</v>
      </c>
      <c r="B155" s="1866" t="s">
        <v>2129</v>
      </c>
      <c r="C155" s="1876"/>
      <c r="D155" s="1876"/>
      <c r="E155" s="1876"/>
      <c r="F155" s="1868">
        <v>0.05</v>
      </c>
    </row>
    <row r="156" spans="1:6" ht="24.75" thickBot="1">
      <c r="A156" s="1862" t="s">
        <v>1413</v>
      </c>
      <c r="B156" s="1866" t="s">
        <v>2130</v>
      </c>
      <c r="C156" s="1876"/>
      <c r="D156" s="1876"/>
      <c r="E156" s="1876"/>
      <c r="F156" s="1868">
        <v>0.05</v>
      </c>
    </row>
    <row r="157" spans="1:6" ht="14.25" thickBot="1">
      <c r="A157" s="1870" t="s">
        <v>1413</v>
      </c>
      <c r="B157" s="1877" t="s">
        <v>2131</v>
      </c>
      <c r="C157" s="1873"/>
      <c r="D157" s="1873"/>
      <c r="E157" s="1873"/>
      <c r="F157" s="1878">
        <v>0.05</v>
      </c>
    </row>
    <row r="158" spans="1:6" ht="14.25" thickBot="1">
      <c r="A158" s="1862" t="s">
        <v>1415</v>
      </c>
      <c r="B158" s="1863" t="s">
        <v>2132</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2133</v>
      </c>
      <c r="C171" s="1867">
        <v>0.127</v>
      </c>
      <c r="D171" s="1867">
        <v>0.126</v>
      </c>
      <c r="E171" s="1867">
        <v>0.126</v>
      </c>
      <c r="F171" s="1868">
        <v>0.11799999999999999</v>
      </c>
    </row>
    <row r="172" spans="1:6" ht="14.25" thickBot="1">
      <c r="A172" s="1862" t="s">
        <v>1415</v>
      </c>
      <c r="B172" s="1866" t="s">
        <v>2134</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2135</v>
      </c>
      <c r="C174" s="1867">
        <v>0.13</v>
      </c>
      <c r="D174" s="1867">
        <v>0.13</v>
      </c>
      <c r="E174" s="1867">
        <v>0.13</v>
      </c>
      <c r="F174" s="1868">
        <v>0.13</v>
      </c>
    </row>
    <row r="175" spans="1:6" ht="14.25" thickBot="1">
      <c r="A175" s="1862" t="s">
        <v>1415</v>
      </c>
      <c r="B175" s="1866" t="s">
        <v>2136</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2137</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2138</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2139</v>
      </c>
      <c r="C185" s="1867">
        <v>0.127</v>
      </c>
      <c r="D185" s="1867">
        <v>0.127</v>
      </c>
      <c r="E185" s="1867">
        <v>0.128</v>
      </c>
      <c r="F185" s="1868">
        <v>0.13</v>
      </c>
    </row>
    <row r="186" spans="1:6" ht="24.75" thickBot="1">
      <c r="A186" s="1862" t="s">
        <v>1415</v>
      </c>
      <c r="B186" s="1866" t="s">
        <v>2140</v>
      </c>
      <c r="C186" s="1876"/>
      <c r="D186" s="1876"/>
      <c r="E186" s="1876"/>
      <c r="F186" s="1868">
        <v>0.05</v>
      </c>
    </row>
    <row r="187" spans="1:6" ht="14.25" thickBot="1">
      <c r="A187" s="1862" t="s">
        <v>1415</v>
      </c>
      <c r="B187" s="1866" t="s">
        <v>2141</v>
      </c>
      <c r="C187" s="1876"/>
      <c r="D187" s="1876"/>
      <c r="E187" s="1876"/>
      <c r="F187" s="1868">
        <v>0.05</v>
      </c>
    </row>
    <row r="188" spans="1:6" ht="14.25" thickBot="1">
      <c r="A188" s="1862" t="s">
        <v>1415</v>
      </c>
      <c r="B188" s="1866" t="s">
        <v>2142</v>
      </c>
      <c r="C188" s="1876"/>
      <c r="D188" s="1876"/>
      <c r="E188" s="1876"/>
      <c r="F188" s="1868">
        <v>0.05</v>
      </c>
    </row>
    <row r="189" spans="1:6" ht="24.75" thickBot="1">
      <c r="A189" s="1862" t="s">
        <v>1415</v>
      </c>
      <c r="B189" s="1866" t="s">
        <v>2143</v>
      </c>
      <c r="C189" s="1876"/>
      <c r="D189" s="1876"/>
      <c r="E189" s="1876"/>
      <c r="F189" s="1868">
        <v>0.05</v>
      </c>
    </row>
    <row r="190" spans="1:6" ht="24.75" thickBot="1">
      <c r="A190" s="1862" t="s">
        <v>1415</v>
      </c>
      <c r="B190" s="1866" t="s">
        <v>2144</v>
      </c>
      <c r="C190" s="1876"/>
      <c r="D190" s="1876"/>
      <c r="E190" s="1876"/>
      <c r="F190" s="1868">
        <v>0.05</v>
      </c>
    </row>
    <row r="191" spans="1:6" ht="24.75" thickBot="1">
      <c r="A191" s="1862" t="s">
        <v>1415</v>
      </c>
      <c r="B191" s="1866" t="s">
        <v>2145</v>
      </c>
      <c r="C191" s="1876"/>
      <c r="D191" s="1876"/>
      <c r="E191" s="1876"/>
      <c r="F191" s="1868">
        <v>0.05</v>
      </c>
    </row>
    <row r="192" spans="1:6" ht="24.75" thickBot="1">
      <c r="A192" s="1862" t="s">
        <v>1415</v>
      </c>
      <c r="B192" s="1866" t="s">
        <v>2146</v>
      </c>
      <c r="C192" s="1876"/>
      <c r="D192" s="1876"/>
      <c r="E192" s="1876"/>
      <c r="F192" s="1868">
        <v>0.05</v>
      </c>
    </row>
    <row r="193" spans="1:6" ht="24.75" thickBot="1">
      <c r="A193" s="1862" t="s">
        <v>1415</v>
      </c>
      <c r="B193" s="1866" t="s">
        <v>2147</v>
      </c>
      <c r="C193" s="1876"/>
      <c r="D193" s="1876"/>
      <c r="E193" s="1876"/>
      <c r="F193" s="1868">
        <v>0.05</v>
      </c>
    </row>
    <row r="194" spans="1:6" ht="24.75" thickBot="1">
      <c r="A194" s="1862" t="s">
        <v>1415</v>
      </c>
      <c r="B194" s="1866" t="s">
        <v>2148</v>
      </c>
      <c r="C194" s="1876"/>
      <c r="D194" s="1876"/>
      <c r="E194" s="1876"/>
      <c r="F194" s="1868">
        <v>0.05</v>
      </c>
    </row>
    <row r="195" spans="1:6" ht="14.25" thickBot="1">
      <c r="A195" s="1862" t="s">
        <v>1415</v>
      </c>
      <c r="B195" s="1866" t="s">
        <v>2149</v>
      </c>
      <c r="C195" s="1876"/>
      <c r="D195" s="1876"/>
      <c r="E195" s="1876"/>
      <c r="F195" s="1868">
        <v>0.05</v>
      </c>
    </row>
    <row r="196" spans="1:6" ht="24.75" thickBot="1">
      <c r="A196" s="1862" t="s">
        <v>1415</v>
      </c>
      <c r="B196" s="1866" t="s">
        <v>2150</v>
      </c>
      <c r="C196" s="1876"/>
      <c r="D196" s="1876"/>
      <c r="E196" s="1876"/>
      <c r="F196" s="1868">
        <v>0.05</v>
      </c>
    </row>
    <row r="197" spans="1:6" ht="24.75" thickBot="1">
      <c r="A197" s="1862" t="s">
        <v>1415</v>
      </c>
      <c r="B197" s="1866" t="s">
        <v>2151</v>
      </c>
      <c r="C197" s="1876"/>
      <c r="D197" s="1876"/>
      <c r="E197" s="1876"/>
      <c r="F197" s="1868">
        <v>0.05</v>
      </c>
    </row>
    <row r="198" spans="1:6" ht="24.75" thickBot="1">
      <c r="A198" s="1862" t="s">
        <v>1415</v>
      </c>
      <c r="B198" s="1866" t="s">
        <v>2152</v>
      </c>
      <c r="C198" s="1876"/>
      <c r="D198" s="1876"/>
      <c r="E198" s="1876"/>
      <c r="F198" s="1868">
        <v>0.05</v>
      </c>
    </row>
    <row r="199" spans="1:6" ht="24.75" thickBot="1">
      <c r="A199" s="1862" t="s">
        <v>1415</v>
      </c>
      <c r="B199" s="1866" t="s">
        <v>2153</v>
      </c>
      <c r="C199" s="1876"/>
      <c r="D199" s="1876"/>
      <c r="E199" s="1876"/>
      <c r="F199" s="1868">
        <v>0.05</v>
      </c>
    </row>
    <row r="200" spans="1:6" ht="24.75" thickBot="1">
      <c r="A200" s="1862" t="s">
        <v>1415</v>
      </c>
      <c r="B200" s="1866" t="s">
        <v>2154</v>
      </c>
      <c r="C200" s="1876"/>
      <c r="D200" s="1876"/>
      <c r="E200" s="1876"/>
      <c r="F200" s="1868">
        <v>0.05</v>
      </c>
    </row>
    <row r="201" spans="1:6" ht="24.75" thickBot="1">
      <c r="A201" s="1862" t="s">
        <v>1415</v>
      </c>
      <c r="B201" s="1866" t="s">
        <v>2155</v>
      </c>
      <c r="C201" s="1876"/>
      <c r="D201" s="1876"/>
      <c r="E201" s="1876"/>
      <c r="F201" s="1868">
        <v>0.05</v>
      </c>
    </row>
    <row r="202" spans="1:6" ht="24.75" thickBot="1">
      <c r="A202" s="1862" t="s">
        <v>1415</v>
      </c>
      <c r="B202" s="1866" t="s">
        <v>2156</v>
      </c>
      <c r="C202" s="1876"/>
      <c r="D202" s="1876"/>
      <c r="E202" s="1876"/>
      <c r="F202" s="1868">
        <v>0.05</v>
      </c>
    </row>
    <row r="203" spans="1:6" ht="24.75" thickBot="1">
      <c r="A203" s="1862" t="s">
        <v>1415</v>
      </c>
      <c r="B203" s="1866" t="s">
        <v>2157</v>
      </c>
      <c r="C203" s="1876"/>
      <c r="D203" s="1876"/>
      <c r="E203" s="1876"/>
      <c r="F203" s="1868">
        <v>0.05</v>
      </c>
    </row>
    <row r="204" spans="1:6" ht="14.25" thickBot="1">
      <c r="A204" s="1862" t="s">
        <v>1415</v>
      </c>
      <c r="B204" s="1866" t="s">
        <v>2158</v>
      </c>
      <c r="C204" s="1876"/>
      <c r="D204" s="1876"/>
      <c r="E204" s="1876"/>
      <c r="F204" s="1868">
        <v>0.05</v>
      </c>
    </row>
    <row r="205" spans="1:6" ht="14.25" thickBot="1">
      <c r="A205" s="1870" t="s">
        <v>1415</v>
      </c>
      <c r="B205" s="1877" t="s">
        <v>2159</v>
      </c>
      <c r="C205" s="1873"/>
      <c r="D205" s="1873"/>
      <c r="E205" s="1873"/>
      <c r="F205" s="1878">
        <v>0.05</v>
      </c>
    </row>
    <row r="206" spans="1:6" ht="14.25" thickBot="1">
      <c r="A206" s="1862" t="s">
        <v>1417</v>
      </c>
      <c r="B206" s="1863" t="s">
        <v>2160</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2161</v>
      </c>
      <c r="C210" s="1867">
        <v>0.15</v>
      </c>
      <c r="D210" s="1867">
        <v>0.15</v>
      </c>
      <c r="E210" s="1867">
        <v>0.15</v>
      </c>
      <c r="F210" s="1868">
        <v>0.13800000000000001</v>
      </c>
    </row>
    <row r="211" spans="1:6" ht="14.25" thickBot="1">
      <c r="A211" s="1862" t="s">
        <v>1417</v>
      </c>
      <c r="B211" s="1866" t="s">
        <v>2162</v>
      </c>
      <c r="C211" s="1867">
        <v>0.13700000000000001</v>
      </c>
      <c r="D211" s="1867">
        <v>0.13500000000000001</v>
      </c>
      <c r="E211" s="1867">
        <v>0.13600000000000001</v>
      </c>
      <c r="F211" s="1868">
        <v>0.1</v>
      </c>
    </row>
    <row r="212" spans="1:6" ht="14.25" thickBot="1">
      <c r="A212" s="1862" t="s">
        <v>1417</v>
      </c>
      <c r="B212" s="1866" t="s">
        <v>2163</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2164</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2165</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2166</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2167</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2168</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2169</v>
      </c>
      <c r="C231" s="1867">
        <v>0.128</v>
      </c>
      <c r="D231" s="1867">
        <v>0.125</v>
      </c>
      <c r="E231" s="1867">
        <v>0.13200000000000001</v>
      </c>
      <c r="F231" s="1875"/>
    </row>
    <row r="232" spans="1:6" ht="14.25" thickBot="1">
      <c r="A232" s="1862" t="s">
        <v>1417</v>
      </c>
      <c r="B232" s="1866" t="s">
        <v>2170</v>
      </c>
      <c r="C232" s="1867">
        <v>0.14499999999999999</v>
      </c>
      <c r="D232" s="1867">
        <v>0.14399999999999999</v>
      </c>
      <c r="E232" s="1867">
        <v>0.14599999999999999</v>
      </c>
      <c r="F232" s="1868">
        <v>0.13800000000000001</v>
      </c>
    </row>
    <row r="233" spans="1:6" ht="14.25" thickBot="1">
      <c r="A233" s="1862" t="s">
        <v>1417</v>
      </c>
      <c r="B233" s="1866" t="s">
        <v>2171</v>
      </c>
      <c r="C233" s="1867">
        <v>0.14499999999999999</v>
      </c>
      <c r="D233" s="1867">
        <v>0.14299999999999999</v>
      </c>
      <c r="E233" s="1867">
        <v>0.14199999999999999</v>
      </c>
      <c r="F233" s="1875"/>
    </row>
    <row r="234" spans="1:6" ht="14.25" thickBot="1">
      <c r="A234" s="1862" t="s">
        <v>1417</v>
      </c>
      <c r="B234" s="1866" t="s">
        <v>2172</v>
      </c>
      <c r="C234" s="1867">
        <v>0.14000000000000001</v>
      </c>
      <c r="D234" s="1867">
        <v>0.14000000000000001</v>
      </c>
      <c r="E234" s="1867">
        <v>0.14399999999999999</v>
      </c>
      <c r="F234" s="1875"/>
    </row>
    <row r="235" spans="1:6" ht="14.25" thickBot="1">
      <c r="A235" s="1862" t="s">
        <v>1417</v>
      </c>
      <c r="B235" s="1866" t="s">
        <v>2173</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2174</v>
      </c>
      <c r="C237" s="1876"/>
      <c r="D237" s="1876"/>
      <c r="E237" s="1876"/>
      <c r="F237" s="1868">
        <v>0.05</v>
      </c>
    </row>
    <row r="238" spans="1:6" ht="24.75" thickBot="1">
      <c r="A238" s="1862" t="s">
        <v>1417</v>
      </c>
      <c r="B238" s="1866" t="s">
        <v>2175</v>
      </c>
      <c r="C238" s="1876"/>
      <c r="D238" s="1876"/>
      <c r="E238" s="1876"/>
      <c r="F238" s="1868">
        <v>0.05</v>
      </c>
    </row>
    <row r="239" spans="1:6" ht="24.75" thickBot="1">
      <c r="A239" s="1862" t="s">
        <v>1417</v>
      </c>
      <c r="B239" s="1866" t="s">
        <v>2176</v>
      </c>
      <c r="C239" s="1876"/>
      <c r="D239" s="1876"/>
      <c r="E239" s="1876"/>
      <c r="F239" s="1868">
        <v>0.05</v>
      </c>
    </row>
    <row r="240" spans="1:6" ht="24.75" thickBot="1">
      <c r="A240" s="1862" t="s">
        <v>1417</v>
      </c>
      <c r="B240" s="1866" t="s">
        <v>2177</v>
      </c>
      <c r="C240" s="1876"/>
      <c r="D240" s="1876"/>
      <c r="E240" s="1876"/>
      <c r="F240" s="1868">
        <v>0.05</v>
      </c>
    </row>
    <row r="241" spans="1:6" ht="24.75" thickBot="1">
      <c r="A241" s="1862" t="s">
        <v>1417</v>
      </c>
      <c r="B241" s="1866" t="s">
        <v>2178</v>
      </c>
      <c r="C241" s="1876"/>
      <c r="D241" s="1876"/>
      <c r="E241" s="1876"/>
      <c r="F241" s="1868">
        <v>0.05</v>
      </c>
    </row>
    <row r="242" spans="1:6" ht="24.75" thickBot="1">
      <c r="A242" s="1862" t="s">
        <v>1417</v>
      </c>
      <c r="B242" s="1866" t="s">
        <v>2179</v>
      </c>
      <c r="C242" s="1876"/>
      <c r="D242" s="1876"/>
      <c r="E242" s="1876"/>
      <c r="F242" s="1868">
        <v>0.05</v>
      </c>
    </row>
    <row r="243" spans="1:6" ht="24.75" thickBot="1">
      <c r="A243" s="1862" t="s">
        <v>1417</v>
      </c>
      <c r="B243" s="1866" t="s">
        <v>2180</v>
      </c>
      <c r="C243" s="1876"/>
      <c r="D243" s="1876"/>
      <c r="E243" s="1876"/>
      <c r="F243" s="1868">
        <v>0.05</v>
      </c>
    </row>
    <row r="244" spans="1:6" ht="24.75" thickBot="1">
      <c r="A244" s="1870" t="s">
        <v>1417</v>
      </c>
      <c r="B244" s="1877" t="s">
        <v>2181</v>
      </c>
      <c r="C244" s="1873"/>
      <c r="D244" s="1873"/>
      <c r="E244" s="1873"/>
      <c r="F244" s="1878">
        <v>0.05</v>
      </c>
    </row>
    <row r="245" spans="1:6" ht="14.25" thickBot="1">
      <c r="A245" s="1862" t="s">
        <v>1419</v>
      </c>
      <c r="B245" s="1863" t="s">
        <v>2182</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2183</v>
      </c>
      <c r="C247" s="1867">
        <v>0.15</v>
      </c>
      <c r="D247" s="1867">
        <v>0.15</v>
      </c>
      <c r="E247" s="1867">
        <v>0.15</v>
      </c>
      <c r="F247" s="1868">
        <v>0.15</v>
      </c>
    </row>
    <row r="248" spans="1:6" ht="14.25" thickBot="1">
      <c r="A248" s="1862" t="s">
        <v>1419</v>
      </c>
      <c r="B248" s="1866" t="s">
        <v>2184</v>
      </c>
      <c r="C248" s="1867">
        <v>0.15</v>
      </c>
      <c r="D248" s="1867">
        <v>0.15</v>
      </c>
      <c r="E248" s="1867">
        <v>0.15</v>
      </c>
      <c r="F248" s="1868">
        <v>0.14000000000000001</v>
      </c>
    </row>
    <row r="249" spans="1:6" ht="14.25" thickBot="1">
      <c r="A249" s="1862" t="s">
        <v>1419</v>
      </c>
      <c r="B249" s="1866" t="s">
        <v>2185</v>
      </c>
      <c r="C249" s="1867">
        <v>0.15</v>
      </c>
      <c r="D249" s="1867">
        <v>0.14899999999999999</v>
      </c>
      <c r="E249" s="1867">
        <v>0.15</v>
      </c>
      <c r="F249" s="1868">
        <v>0.1</v>
      </c>
    </row>
    <row r="250" spans="1:6" ht="14.25" thickBot="1">
      <c r="A250" s="1862" t="s">
        <v>1419</v>
      </c>
      <c r="B250" s="1866" t="s">
        <v>2186</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2187</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2188</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2189</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2190</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2191</v>
      </c>
      <c r="C273" s="1867">
        <v>0.14199999999999999</v>
      </c>
      <c r="D273" s="1867">
        <v>0.14299999999999999</v>
      </c>
      <c r="E273" s="1867">
        <v>0.15</v>
      </c>
      <c r="F273" s="1868">
        <v>0.1</v>
      </c>
    </row>
    <row r="274" spans="1:6" ht="14.25" thickBot="1">
      <c r="A274" s="1862" t="s">
        <v>1419</v>
      </c>
      <c r="B274" s="1866" t="s">
        <v>2192</v>
      </c>
      <c r="C274" s="1867">
        <v>0.14799999999999999</v>
      </c>
      <c r="D274" s="1867">
        <v>0.14799999999999999</v>
      </c>
      <c r="E274" s="1867">
        <v>0.15</v>
      </c>
      <c r="F274" s="1868">
        <v>6.7000000000000004E-2</v>
      </c>
    </row>
    <row r="275" spans="1:6" ht="14.25" thickBot="1">
      <c r="A275" s="1862" t="s">
        <v>1419</v>
      </c>
      <c r="B275" s="1866" t="s">
        <v>2193</v>
      </c>
      <c r="C275" s="1867">
        <v>0.15</v>
      </c>
      <c r="D275" s="1867">
        <v>0.15</v>
      </c>
      <c r="E275" s="1867">
        <v>0.15</v>
      </c>
      <c r="F275" s="1868">
        <v>0.15</v>
      </c>
    </row>
    <row r="276" spans="1:6" ht="14.25" thickBot="1">
      <c r="A276" s="1862" t="s">
        <v>1419</v>
      </c>
      <c r="B276" s="1866" t="s">
        <v>2194</v>
      </c>
      <c r="C276" s="1867">
        <v>0.14499999999999999</v>
      </c>
      <c r="D276" s="1867">
        <v>0.14299999999999999</v>
      </c>
      <c r="E276" s="1867">
        <v>0.15</v>
      </c>
      <c r="F276" s="1868">
        <v>5.8999999999999997E-2</v>
      </c>
    </row>
    <row r="277" spans="1:6" ht="14.25" thickBot="1">
      <c r="A277" s="1862" t="s">
        <v>1419</v>
      </c>
      <c r="B277" s="1866" t="s">
        <v>2195</v>
      </c>
      <c r="C277" s="1867">
        <v>0.15</v>
      </c>
      <c r="D277" s="1867">
        <v>0.15</v>
      </c>
      <c r="E277" s="1867">
        <v>0.15</v>
      </c>
      <c r="F277" s="1868">
        <v>0.121</v>
      </c>
    </row>
    <row r="278" spans="1:6" ht="14.25" thickBot="1">
      <c r="A278" s="1862" t="s">
        <v>1419</v>
      </c>
      <c r="B278" s="1866" t="s">
        <v>2196</v>
      </c>
      <c r="C278" s="1867">
        <v>0.15</v>
      </c>
      <c r="D278" s="1867">
        <v>0.15</v>
      </c>
      <c r="E278" s="1867">
        <v>0.15</v>
      </c>
      <c r="F278" s="1868">
        <v>0.13800000000000001</v>
      </c>
    </row>
    <row r="279" spans="1:6" ht="24.75" thickBot="1">
      <c r="A279" s="1862" t="s">
        <v>1419</v>
      </c>
      <c r="B279" s="1866" t="s">
        <v>2197</v>
      </c>
      <c r="C279" s="1876"/>
      <c r="D279" s="1876"/>
      <c r="E279" s="1876"/>
      <c r="F279" s="1868">
        <v>0.05</v>
      </c>
    </row>
    <row r="280" spans="1:6" ht="24.75" thickBot="1">
      <c r="A280" s="1862" t="s">
        <v>1419</v>
      </c>
      <c r="B280" s="1866" t="s">
        <v>2198</v>
      </c>
      <c r="C280" s="1876"/>
      <c r="D280" s="1876"/>
      <c r="E280" s="1876"/>
      <c r="F280" s="1868">
        <v>0.05</v>
      </c>
    </row>
    <row r="281" spans="1:6" ht="24.75" thickBot="1">
      <c r="A281" s="1862" t="s">
        <v>1419</v>
      </c>
      <c r="B281" s="1866" t="s">
        <v>2199</v>
      </c>
      <c r="C281" s="1876"/>
      <c r="D281" s="1876"/>
      <c r="E281" s="1876"/>
      <c r="F281" s="1868">
        <v>0.05</v>
      </c>
    </row>
    <row r="282" spans="1:6" ht="24.75" thickBot="1">
      <c r="A282" s="1862" t="s">
        <v>1419</v>
      </c>
      <c r="B282" s="1866" t="s">
        <v>2200</v>
      </c>
      <c r="C282" s="1876"/>
      <c r="D282" s="1876"/>
      <c r="E282" s="1876"/>
      <c r="F282" s="1868">
        <v>0.05</v>
      </c>
    </row>
    <row r="283" spans="1:6" ht="24.75" thickBot="1">
      <c r="A283" s="1862" t="s">
        <v>1419</v>
      </c>
      <c r="B283" s="1866" t="s">
        <v>2201</v>
      </c>
      <c r="C283" s="1876"/>
      <c r="D283" s="1876"/>
      <c r="E283" s="1876"/>
      <c r="F283" s="1868">
        <v>0.05</v>
      </c>
    </row>
    <row r="284" spans="1:6" ht="24.75" thickBot="1">
      <c r="A284" s="1862" t="s">
        <v>1419</v>
      </c>
      <c r="B284" s="1866" t="s">
        <v>2202</v>
      </c>
      <c r="C284" s="1876"/>
      <c r="D284" s="1876"/>
      <c r="E284" s="1876"/>
      <c r="F284" s="1868">
        <v>0.05</v>
      </c>
    </row>
    <row r="285" spans="1:6" ht="24.75" thickBot="1">
      <c r="A285" s="1862" t="s">
        <v>1419</v>
      </c>
      <c r="B285" s="1866" t="s">
        <v>2203</v>
      </c>
      <c r="C285" s="1876"/>
      <c r="D285" s="1876"/>
      <c r="E285" s="1876"/>
      <c r="F285" s="1868">
        <v>0.05</v>
      </c>
    </row>
    <row r="286" spans="1:6" ht="24.75" thickBot="1">
      <c r="A286" s="1862" t="s">
        <v>1419</v>
      </c>
      <c r="B286" s="1866" t="s">
        <v>2204</v>
      </c>
      <c r="C286" s="1876"/>
      <c r="D286" s="1876"/>
      <c r="E286" s="1876"/>
      <c r="F286" s="1868">
        <v>0.05</v>
      </c>
    </row>
    <row r="287" spans="1:6" ht="24.75" thickBot="1">
      <c r="A287" s="1862" t="s">
        <v>1419</v>
      </c>
      <c r="B287" s="1866" t="s">
        <v>2205</v>
      </c>
      <c r="C287" s="1876"/>
      <c r="D287" s="1876"/>
      <c r="E287" s="1876"/>
      <c r="F287" s="1868">
        <v>0.05</v>
      </c>
    </row>
    <row r="288" spans="1:6" ht="24.75" thickBot="1">
      <c r="A288" s="1862" t="s">
        <v>1419</v>
      </c>
      <c r="B288" s="1866" t="s">
        <v>2206</v>
      </c>
      <c r="C288" s="1876"/>
      <c r="D288" s="1876"/>
      <c r="E288" s="1876"/>
      <c r="F288" s="1868">
        <v>0.05</v>
      </c>
    </row>
    <row r="289" spans="1:6" ht="24.75" thickBot="1">
      <c r="A289" s="1870" t="s">
        <v>1419</v>
      </c>
      <c r="B289" s="1877" t="s">
        <v>2207</v>
      </c>
      <c r="C289" s="1873"/>
      <c r="D289" s="1873"/>
      <c r="E289" s="1873"/>
      <c r="F289" s="1878">
        <v>0.05</v>
      </c>
    </row>
    <row r="290" spans="1:6" ht="14.25" thickBot="1">
      <c r="A290" s="1862" t="s">
        <v>1423</v>
      </c>
      <c r="B290" s="1863" t="s">
        <v>2208</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2209</v>
      </c>
      <c r="C292" s="1867">
        <v>0.15</v>
      </c>
      <c r="D292" s="1867">
        <v>0.15</v>
      </c>
      <c r="E292" s="1867">
        <v>0.15</v>
      </c>
      <c r="F292" s="1868">
        <v>0.14699999999999999</v>
      </c>
    </row>
    <row r="293" spans="1:6" ht="14.25" thickBot="1">
      <c r="A293" s="1862" t="s">
        <v>1423</v>
      </c>
      <c r="B293" s="1866" t="s">
        <v>2210</v>
      </c>
      <c r="C293" s="1876"/>
      <c r="D293" s="1876"/>
      <c r="E293" s="1876"/>
      <c r="F293" s="1868">
        <v>0.1</v>
      </c>
    </row>
    <row r="294" spans="1:6" ht="14.25" thickBot="1">
      <c r="A294" s="1862" t="s">
        <v>1423</v>
      </c>
      <c r="B294" s="1866" t="s">
        <v>2211</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2212</v>
      </c>
      <c r="C296" s="1867">
        <v>0.15</v>
      </c>
      <c r="D296" s="1867">
        <v>0.15</v>
      </c>
      <c r="E296" s="1867">
        <v>0.15</v>
      </c>
      <c r="F296" s="1868">
        <v>0.15</v>
      </c>
    </row>
    <row r="297" spans="1:6" ht="14.25" thickBot="1">
      <c r="A297" s="1862" t="s">
        <v>1423</v>
      </c>
      <c r="B297" s="1866" t="s">
        <v>2213</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2214</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2215</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2216</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2217</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2218</v>
      </c>
      <c r="C310" s="1867">
        <v>0.15</v>
      </c>
      <c r="D310" s="1867">
        <v>0.15</v>
      </c>
      <c r="E310" s="1867">
        <v>0.15</v>
      </c>
      <c r="F310" s="1868">
        <v>0.13700000000000001</v>
      </c>
    </row>
    <row r="311" spans="1:6" ht="14.25" thickBot="1">
      <c r="A311" s="1862" t="s">
        <v>1423</v>
      </c>
      <c r="B311" s="1866" t="s">
        <v>2219</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2220</v>
      </c>
      <c r="C313" s="1867">
        <v>0.15</v>
      </c>
      <c r="D313" s="1867">
        <v>0.15</v>
      </c>
      <c r="E313" s="1867">
        <v>0.15</v>
      </c>
      <c r="F313" s="1868">
        <v>0.15</v>
      </c>
    </row>
    <row r="314" spans="1:6" ht="24.75" thickBot="1">
      <c r="A314" s="1862" t="s">
        <v>1423</v>
      </c>
      <c r="B314" s="1866" t="s">
        <v>2221</v>
      </c>
      <c r="C314" s="1876"/>
      <c r="D314" s="1876"/>
      <c r="E314" s="1876"/>
      <c r="F314" s="1868">
        <v>0.05</v>
      </c>
    </row>
    <row r="315" spans="1:6" ht="24.75" thickBot="1">
      <c r="A315" s="1862" t="s">
        <v>1423</v>
      </c>
      <c r="B315" s="1866" t="s">
        <v>2222</v>
      </c>
      <c r="C315" s="1876"/>
      <c r="D315" s="1876"/>
      <c r="E315" s="1876"/>
      <c r="F315" s="1868">
        <v>0.05</v>
      </c>
    </row>
    <row r="316" spans="1:6" ht="24.75" thickBot="1">
      <c r="A316" s="1870" t="s">
        <v>1423</v>
      </c>
      <c r="B316" s="1877" t="s">
        <v>2223</v>
      </c>
      <c r="C316" s="1873"/>
      <c r="D316" s="1873"/>
      <c r="E316" s="1873"/>
      <c r="F316" s="1878">
        <v>0.05</v>
      </c>
    </row>
    <row r="317" spans="1:6" ht="14.25" thickBot="1">
      <c r="A317" s="1862" t="s">
        <v>2224</v>
      </c>
      <c r="B317" s="1863" t="s">
        <v>2225</v>
      </c>
      <c r="C317" s="1864">
        <v>0.15</v>
      </c>
      <c r="D317" s="1864">
        <v>0.15</v>
      </c>
      <c r="E317" s="1864">
        <v>0.15</v>
      </c>
      <c r="F317" s="1865">
        <v>0.15</v>
      </c>
    </row>
    <row r="318" spans="1:6" ht="14.25" thickBot="1">
      <c r="A318" s="1862" t="s">
        <v>2224</v>
      </c>
      <c r="B318" s="1866" t="s">
        <v>2226</v>
      </c>
      <c r="C318" s="1867">
        <v>0.107</v>
      </c>
      <c r="D318" s="1867">
        <v>0.11</v>
      </c>
      <c r="E318" s="1867">
        <v>0.112</v>
      </c>
      <c r="F318" s="1875"/>
    </row>
    <row r="319" spans="1:6" ht="14.25" thickBot="1">
      <c r="A319" s="1862" t="s">
        <v>2224</v>
      </c>
      <c r="B319" s="1866" t="s">
        <v>2227</v>
      </c>
      <c r="C319" s="1867">
        <v>0.15</v>
      </c>
      <c r="D319" s="1867">
        <v>0.15</v>
      </c>
      <c r="E319" s="1867">
        <v>0.15</v>
      </c>
      <c r="F319" s="1868">
        <v>0.15</v>
      </c>
    </row>
    <row r="320" spans="1:6" ht="14.25" thickBot="1">
      <c r="A320" s="1862" t="s">
        <v>2224</v>
      </c>
      <c r="B320" s="1866" t="s">
        <v>1111</v>
      </c>
      <c r="C320" s="1867">
        <v>0.15</v>
      </c>
      <c r="D320" s="1867">
        <v>0.15</v>
      </c>
      <c r="E320" s="1867">
        <v>0.15</v>
      </c>
      <c r="F320" s="1875"/>
    </row>
    <row r="321" spans="1:6" ht="14.25" thickBot="1">
      <c r="A321" s="1862" t="s">
        <v>2224</v>
      </c>
      <c r="B321" s="1866" t="s">
        <v>2228</v>
      </c>
      <c r="C321" s="1867">
        <v>0.15</v>
      </c>
      <c r="D321" s="1867">
        <v>0.15</v>
      </c>
      <c r="E321" s="1867">
        <v>0.15</v>
      </c>
      <c r="F321" s="1875"/>
    </row>
    <row r="322" spans="1:6" ht="14.25" thickBot="1">
      <c r="A322" s="1862" t="s">
        <v>2224</v>
      </c>
      <c r="B322" s="1866" t="s">
        <v>2229</v>
      </c>
      <c r="C322" s="1867">
        <v>0.15</v>
      </c>
      <c r="D322" s="1867">
        <v>0.15</v>
      </c>
      <c r="E322" s="1867">
        <v>0.15</v>
      </c>
      <c r="F322" s="1868">
        <v>0.15</v>
      </c>
    </row>
    <row r="323" spans="1:6" ht="14.25" thickBot="1">
      <c r="A323" s="1862" t="s">
        <v>2224</v>
      </c>
      <c r="B323" s="1866" t="s">
        <v>2230</v>
      </c>
      <c r="C323" s="1867">
        <v>0.15</v>
      </c>
      <c r="D323" s="1867">
        <v>0.15</v>
      </c>
      <c r="E323" s="1867">
        <v>0.15</v>
      </c>
      <c r="F323" s="1875"/>
    </row>
    <row r="324" spans="1:6" ht="14.25" thickBot="1">
      <c r="A324" s="1862" t="s">
        <v>2224</v>
      </c>
      <c r="B324" s="1866" t="s">
        <v>2231</v>
      </c>
      <c r="C324" s="1867">
        <v>0.15</v>
      </c>
      <c r="D324" s="1867">
        <v>0.15</v>
      </c>
      <c r="E324" s="1867">
        <v>0.15</v>
      </c>
      <c r="F324" s="1875"/>
    </row>
    <row r="325" spans="1:6" ht="14.25" thickBot="1">
      <c r="A325" s="1862" t="s">
        <v>2224</v>
      </c>
      <c r="B325" s="1866" t="s">
        <v>2232</v>
      </c>
      <c r="C325" s="1867">
        <v>0.15</v>
      </c>
      <c r="D325" s="1867">
        <v>0.15</v>
      </c>
      <c r="E325" s="1867">
        <v>0.15</v>
      </c>
      <c r="F325" s="1868">
        <v>0.14699999999999999</v>
      </c>
    </row>
    <row r="326" spans="1:6" ht="14.25" thickBot="1">
      <c r="A326" s="1862" t="s">
        <v>2224</v>
      </c>
      <c r="B326" s="1866" t="s">
        <v>1180</v>
      </c>
      <c r="C326" s="1867">
        <v>0.15</v>
      </c>
      <c r="D326" s="1867">
        <v>0.15</v>
      </c>
      <c r="E326" s="1867">
        <v>0.15</v>
      </c>
      <c r="F326" s="1875"/>
    </row>
    <row r="327" spans="1:6" ht="14.25" thickBot="1">
      <c r="A327" s="1862" t="s">
        <v>2224</v>
      </c>
      <c r="B327" s="1866" t="s">
        <v>2233</v>
      </c>
      <c r="C327" s="1867">
        <v>0.15</v>
      </c>
      <c r="D327" s="1867">
        <v>0.15</v>
      </c>
      <c r="E327" s="1867">
        <v>0.15</v>
      </c>
      <c r="F327" s="1868">
        <v>0.15</v>
      </c>
    </row>
    <row r="328" spans="1:6" ht="14.25" thickBot="1">
      <c r="A328" s="1862" t="s">
        <v>2224</v>
      </c>
      <c r="B328" s="1866" t="s">
        <v>1200</v>
      </c>
      <c r="C328" s="1867">
        <v>0.15</v>
      </c>
      <c r="D328" s="1867">
        <v>0.15</v>
      </c>
      <c r="E328" s="1867">
        <v>0.15</v>
      </c>
      <c r="F328" s="1868">
        <v>0.14099999999999999</v>
      </c>
    </row>
    <row r="329" spans="1:6" ht="14.25" thickBot="1">
      <c r="A329" s="1862" t="s">
        <v>2224</v>
      </c>
      <c r="B329" s="1866" t="s">
        <v>1210</v>
      </c>
      <c r="C329" s="1867">
        <v>0.15</v>
      </c>
      <c r="D329" s="1867">
        <v>0.15</v>
      </c>
      <c r="E329" s="1867">
        <v>0.15</v>
      </c>
      <c r="F329" s="1868">
        <v>0.15</v>
      </c>
    </row>
    <row r="330" spans="1:6" ht="14.25" thickBot="1">
      <c r="A330" s="1862" t="s">
        <v>2224</v>
      </c>
      <c r="B330" s="1866" t="s">
        <v>1220</v>
      </c>
      <c r="C330" s="1867">
        <v>0.15</v>
      </c>
      <c r="D330" s="1867">
        <v>0.15</v>
      </c>
      <c r="E330" s="1867">
        <v>0.15</v>
      </c>
      <c r="F330" s="1875"/>
    </row>
    <row r="331" spans="1:6" ht="14.25" thickBot="1">
      <c r="A331" s="1862" t="s">
        <v>2224</v>
      </c>
      <c r="B331" s="1866" t="s">
        <v>2234</v>
      </c>
      <c r="C331" s="1867">
        <v>0.15</v>
      </c>
      <c r="D331" s="1867">
        <v>0.15</v>
      </c>
      <c r="E331" s="1867">
        <v>0.15</v>
      </c>
      <c r="F331" s="1868">
        <v>0.15</v>
      </c>
    </row>
    <row r="332" spans="1:6" ht="14.25" thickBot="1">
      <c r="A332" s="1862" t="s">
        <v>2224</v>
      </c>
      <c r="B332" s="1866" t="s">
        <v>1240</v>
      </c>
      <c r="C332" s="1867">
        <v>0.15</v>
      </c>
      <c r="D332" s="1867">
        <v>0.15</v>
      </c>
      <c r="E332" s="1867">
        <v>0.15</v>
      </c>
      <c r="F332" s="1868">
        <v>0.15</v>
      </c>
    </row>
    <row r="333" spans="1:6" ht="14.25" thickBot="1">
      <c r="A333" s="1862" t="s">
        <v>2224</v>
      </c>
      <c r="B333" s="1866" t="s">
        <v>2235</v>
      </c>
      <c r="C333" s="1867">
        <v>0.15</v>
      </c>
      <c r="D333" s="1867">
        <v>0.15</v>
      </c>
      <c r="E333" s="1867">
        <v>0.15</v>
      </c>
      <c r="F333" s="1868">
        <v>0.14099999999999999</v>
      </c>
    </row>
    <row r="334" spans="1:6" ht="14.25" thickBot="1">
      <c r="A334" s="1862" t="s">
        <v>2224</v>
      </c>
      <c r="B334" s="1866" t="s">
        <v>1260</v>
      </c>
      <c r="C334" s="1867">
        <v>0.15</v>
      </c>
      <c r="D334" s="1867">
        <v>0.15</v>
      </c>
      <c r="E334" s="1867">
        <v>0.15</v>
      </c>
      <c r="F334" s="1868">
        <v>0.15</v>
      </c>
    </row>
    <row r="335" spans="1:6" ht="14.25" thickBot="1">
      <c r="A335" s="1862" t="s">
        <v>2224</v>
      </c>
      <c r="B335" s="1866" t="s">
        <v>1270</v>
      </c>
      <c r="C335" s="1867">
        <v>0.15</v>
      </c>
      <c r="D335" s="1867">
        <v>0.15</v>
      </c>
      <c r="E335" s="1867">
        <v>0.15</v>
      </c>
      <c r="F335" s="1875"/>
    </row>
    <row r="336" spans="1:6" ht="14.25" thickBot="1">
      <c r="A336" s="1862" t="s">
        <v>2224</v>
      </c>
      <c r="B336" s="1866" t="s">
        <v>2236</v>
      </c>
      <c r="C336" s="1867">
        <v>0.15</v>
      </c>
      <c r="D336" s="1867">
        <v>0.15</v>
      </c>
      <c r="E336" s="1867">
        <v>0.15</v>
      </c>
      <c r="F336" s="1868">
        <v>0.11799999999999999</v>
      </c>
    </row>
    <row r="337" spans="1:6" ht="14.25" thickBot="1">
      <c r="A337" s="1870" t="s">
        <v>2224</v>
      </c>
      <c r="B337" s="1877" t="s">
        <v>1288</v>
      </c>
      <c r="C337" s="1873"/>
      <c r="D337" s="1873"/>
      <c r="E337" s="1873"/>
      <c r="F337" s="1878">
        <v>0.14299999999999999</v>
      </c>
    </row>
    <row r="338" spans="1:6" ht="14.25" thickBot="1">
      <c r="A338" s="1862" t="s">
        <v>2237</v>
      </c>
      <c r="B338" s="1863" t="s">
        <v>2238</v>
      </c>
      <c r="C338" s="1864">
        <v>0.15</v>
      </c>
      <c r="D338" s="1864">
        <v>0.15</v>
      </c>
      <c r="E338" s="1864">
        <v>0.15</v>
      </c>
      <c r="F338" s="1886"/>
    </row>
    <row r="339" spans="1:6" ht="14.25" thickBot="1">
      <c r="A339" s="1862" t="s">
        <v>2237</v>
      </c>
      <c r="B339" s="1866" t="s">
        <v>2239</v>
      </c>
      <c r="C339" s="1867">
        <v>0.15</v>
      </c>
      <c r="D339" s="1867">
        <v>0.15</v>
      </c>
      <c r="E339" s="1867">
        <v>0.15</v>
      </c>
      <c r="F339" s="1875"/>
    </row>
    <row r="340" spans="1:6" ht="14.25" thickBot="1">
      <c r="A340" s="1862" t="s">
        <v>2237</v>
      </c>
      <c r="B340" s="1866" t="s">
        <v>2240</v>
      </c>
      <c r="C340" s="1867">
        <v>0.15</v>
      </c>
      <c r="D340" s="1867">
        <v>0.15</v>
      </c>
      <c r="E340" s="1867">
        <v>0.15</v>
      </c>
      <c r="F340" s="1875"/>
    </row>
    <row r="341" spans="1:6" ht="14.25" thickBot="1">
      <c r="A341" s="1862" t="s">
        <v>2241</v>
      </c>
      <c r="B341" s="1866" t="s">
        <v>2242</v>
      </c>
      <c r="C341" s="1867">
        <v>0.15</v>
      </c>
      <c r="D341" s="1867">
        <v>0.15</v>
      </c>
      <c r="E341" s="1867">
        <v>0.15</v>
      </c>
      <c r="F341" s="1868">
        <v>0.15</v>
      </c>
    </row>
    <row r="342" spans="1:6" ht="14.25" thickBot="1">
      <c r="A342" s="1862" t="s">
        <v>2237</v>
      </c>
      <c r="B342" s="1866" t="s">
        <v>2243</v>
      </c>
      <c r="C342" s="1867">
        <v>0.15</v>
      </c>
      <c r="D342" s="1867">
        <v>0.15</v>
      </c>
      <c r="E342" s="1867">
        <v>0.15</v>
      </c>
      <c r="F342" s="1868">
        <v>0.15</v>
      </c>
    </row>
    <row r="343" spans="1:6" ht="14.25" thickBot="1">
      <c r="A343" s="1862" t="s">
        <v>2237</v>
      </c>
      <c r="B343" s="1866" t="s">
        <v>2244</v>
      </c>
      <c r="C343" s="1867">
        <v>0.15</v>
      </c>
      <c r="D343" s="1867">
        <v>0.15</v>
      </c>
      <c r="E343" s="1867">
        <v>0.15</v>
      </c>
      <c r="F343" s="1868">
        <v>0.15</v>
      </c>
    </row>
    <row r="344" spans="1:6" ht="14.25" thickBot="1">
      <c r="A344" s="1870" t="s">
        <v>2237</v>
      </c>
      <c r="B344" s="1877" t="s">
        <v>2245</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22" t="s">
        <v>2588</v>
      </c>
      <c r="C1" s="3422"/>
      <c r="D1" s="3422"/>
      <c r="E1" s="3422"/>
      <c r="F1" s="3422"/>
      <c r="G1" s="3421" t="s">
        <v>2589</v>
      </c>
      <c r="H1" s="3421"/>
      <c r="I1" s="3421"/>
      <c r="J1" s="3421"/>
      <c r="K1" s="3421"/>
      <c r="L1" s="3421"/>
      <c r="N1" s="3421" t="s">
        <v>2590</v>
      </c>
      <c r="O1" s="3421"/>
      <c r="P1" s="3421"/>
      <c r="Q1" s="3421"/>
      <c r="R1" s="2691"/>
      <c r="S1" s="3421" t="s">
        <v>2591</v>
      </c>
      <c r="T1" s="3421"/>
      <c r="U1" s="3421"/>
      <c r="V1" s="3421"/>
      <c r="X1" s="3420" t="s">
        <v>2653</v>
      </c>
      <c r="Y1" s="3421"/>
      <c r="Z1" s="3421"/>
      <c r="AA1" s="3421"/>
      <c r="AB1" s="3421"/>
      <c r="AD1" s="3420" t="s">
        <v>2658</v>
      </c>
      <c r="AE1" s="3421"/>
      <c r="AF1" s="3421"/>
      <c r="AG1" s="3421"/>
      <c r="AH1" s="3421"/>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429">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424"/>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424"/>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425"/>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29">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24"/>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24"/>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25"/>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23">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24"/>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24"/>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25"/>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23">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24"/>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24"/>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25"/>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26">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27"/>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27"/>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28"/>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423">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424"/>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424"/>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425"/>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423">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24">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424">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425">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423">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24">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424">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425">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423">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24">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424">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425">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423">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24">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424">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425">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423">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24">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424">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425">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423">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24">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424">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425">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423">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24">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424">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425">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423">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24">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424">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425">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423">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424">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424">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425">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423">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424">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424">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425">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9</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31" t="s">
        <v>2474</v>
      </c>
      <c r="C8" s="1832">
        <f ca="1">ROUND(F8*F10*F9*(1-F11)/10000,0)</f>
        <v>0</v>
      </c>
      <c r="D8" s="1829" t="s">
        <v>2546</v>
      </c>
      <c r="E8" s="61" t="s">
        <v>638</v>
      </c>
      <c r="F8" s="788">
        <f ca="1">INDIRECT("'数据-取费表'!u"&amp;$G$1)</f>
        <v>0</v>
      </c>
      <c r="G8" s="1598"/>
      <c r="H8" s="2540" t="s">
        <v>1829</v>
      </c>
      <c r="I8" s="3431" t="s">
        <v>2474</v>
      </c>
      <c r="J8" s="786">
        <f ca="1">ROUND(M8*M10*M9*(1-M11)/10000,0)</f>
        <v>0</v>
      </c>
      <c r="K8" s="344" t="s">
        <v>2546</v>
      </c>
      <c r="L8" s="787" t="s">
        <v>1742</v>
      </c>
      <c r="M8" s="788">
        <f ca="1">INDIRECT("'数据-取费表'!z"&amp;$G$1)</f>
        <v>0</v>
      </c>
    </row>
    <row r="9" spans="1:25" ht="18" customHeight="1">
      <c r="A9" s="2536"/>
      <c r="B9" s="3432"/>
      <c r="C9" s="1833"/>
      <c r="D9" s="1830"/>
      <c r="E9" s="61" t="s">
        <v>639</v>
      </c>
      <c r="F9" s="788">
        <f ca="1">IF(INDIRECT("'数据-取费表'!ah"&amp;$G$1)="",INDIRECT("'数据-取费表'!k"&amp;$G$1),INDIRECT("'数据-取费表'!ah"&amp;$G$1))</f>
        <v>0</v>
      </c>
      <c r="G9" s="1598"/>
      <c r="H9" s="2525"/>
      <c r="I9" s="3432"/>
      <c r="J9" s="791"/>
      <c r="K9" s="792"/>
      <c r="L9" s="787" t="s">
        <v>1743</v>
      </c>
      <c r="M9" s="788">
        <f ca="1">F9</f>
        <v>0</v>
      </c>
    </row>
    <row r="10" spans="1:25" ht="18" customHeight="1">
      <c r="A10" s="2529"/>
      <c r="B10" s="3433"/>
      <c r="C10" s="1833"/>
      <c r="D10" s="1830"/>
      <c r="E10" s="61" t="s">
        <v>640</v>
      </c>
      <c r="F10" s="788">
        <f ca="1">INDIRECT("'数据-取费表'!ai"&amp;$G$1)</f>
        <v>0</v>
      </c>
      <c r="G10" s="1598"/>
      <c r="H10" s="2525"/>
      <c r="I10" s="3433"/>
      <c r="J10" s="791"/>
      <c r="K10" s="792"/>
      <c r="L10" s="787" t="s">
        <v>1744</v>
      </c>
      <c r="M10" s="788">
        <f ca="1">INDIRECT("'数据-取费表'!ai"&amp;$G$1)</f>
        <v>0</v>
      </c>
    </row>
    <row r="11" spans="1:25" ht="18" customHeight="1">
      <c r="A11" s="789"/>
      <c r="B11" s="3434"/>
      <c r="C11" s="1833"/>
      <c r="D11" s="1830"/>
      <c r="E11" s="61" t="s">
        <v>641</v>
      </c>
      <c r="F11" s="797">
        <f ca="1">INDIRECT("'数据-取费表'!w"&amp;$G$1)</f>
        <v>0</v>
      </c>
      <c r="G11" s="1598"/>
      <c r="H11" s="2541"/>
      <c r="I11" s="3433"/>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2077</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0.05</v>
      </c>
      <c r="G17" s="1599"/>
      <c r="H17" s="806" t="s">
        <v>2078</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200</v>
      </c>
      <c r="G19" s="1599"/>
      <c r="H19" s="806" t="s">
        <v>2077</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2078</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30"/>
      <c r="J36" s="2087"/>
      <c r="K36" s="2088"/>
      <c r="L36" s="2087"/>
      <c r="M36" s="2087"/>
    </row>
    <row r="37" spans="1:13" ht="18" customHeight="1">
      <c r="A37" s="818"/>
      <c r="B37" s="796"/>
      <c r="C37" s="69"/>
      <c r="D37" s="819"/>
      <c r="E37" s="787" t="s">
        <v>675</v>
      </c>
      <c r="F37" s="788">
        <f ca="1">INDIRECT("'数据-取费表'!r"&amp;$G$1)</f>
        <v>0</v>
      </c>
      <c r="G37" s="2070"/>
      <c r="H37" s="2073"/>
      <c r="I37" s="3430"/>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3022</v>
      </c>
      <c r="D1" s="2057"/>
      <c r="E1" s="2423" t="s">
        <v>2384</v>
      </c>
      <c r="F1" s="2424">
        <f ca="1">J53</f>
        <v>38.15</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25092</v>
      </c>
      <c r="C2" s="2065"/>
      <c r="D2" s="2063"/>
      <c r="E2" s="2064"/>
      <c r="F2" s="2064"/>
      <c r="G2" s="1596"/>
      <c r="H2" s="2065"/>
      <c r="I2" s="2065"/>
      <c r="J2" s="2065"/>
      <c r="K2" s="2066"/>
      <c r="L2" s="2065"/>
      <c r="M2" s="2065"/>
    </row>
    <row r="3" spans="1:33" ht="18" customHeight="1" thickBot="1">
      <c r="A3" s="836" t="s">
        <v>1731</v>
      </c>
      <c r="B3" s="837">
        <f ca="1">IF(ISERROR(B2*10000/F43),0,ROUND(B2*10000/F43,0))</f>
        <v>38308</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1293</v>
      </c>
      <c r="D5" s="2532" t="s">
        <v>2472</v>
      </c>
      <c r="E5" s="2526"/>
      <c r="F5" s="2527"/>
      <c r="G5" s="1598"/>
      <c r="H5" s="784">
        <v>1</v>
      </c>
      <c r="I5" s="785" t="s">
        <v>2469</v>
      </c>
      <c r="J5" s="55">
        <f ca="1">J6+J10+J12</f>
        <v>0</v>
      </c>
      <c r="K5" s="2532" t="s">
        <v>2472</v>
      </c>
      <c r="L5" s="2526"/>
      <c r="M5" s="2527"/>
    </row>
    <row r="6" spans="1:33" ht="18" customHeight="1">
      <c r="A6" s="1837" t="s">
        <v>1829</v>
      </c>
      <c r="B6" s="3431" t="s">
        <v>2474</v>
      </c>
      <c r="C6" s="786">
        <f ca="1">ROUND(F6*F8*F7*(1-F9)/10000,0)</f>
        <v>1291</v>
      </c>
      <c r="D6" s="2533" t="s">
        <v>2473</v>
      </c>
      <c r="E6" s="787" t="s">
        <v>1742</v>
      </c>
      <c r="F6" s="788">
        <f ca="1">INDIRECT("'数据-取费表'!u"&amp;$G$1)</f>
        <v>6</v>
      </c>
      <c r="G6" s="1598"/>
      <c r="H6" s="2540" t="s">
        <v>2480</v>
      </c>
      <c r="I6" s="3431" t="s">
        <v>2474</v>
      </c>
      <c r="J6" s="786">
        <f ca="1">ROUND(M6*M8*M7*(1-M9)/10000,0)</f>
        <v>0</v>
      </c>
      <c r="K6" s="344" t="s">
        <v>1741</v>
      </c>
      <c r="L6" s="787" t="s">
        <v>1742</v>
      </c>
      <c r="M6" s="788">
        <f ca="1">INDIRECT("'数据-取费表'!z"&amp;$G$1)</f>
        <v>0</v>
      </c>
    </row>
    <row r="7" spans="1:33" ht="18" customHeight="1">
      <c r="A7" s="2536"/>
      <c r="B7" s="3432"/>
      <c r="C7" s="791"/>
      <c r="D7" s="792"/>
      <c r="E7" s="787" t="s">
        <v>1743</v>
      </c>
      <c r="F7" s="788">
        <f ca="1">IF(INDIRECT("'数据-取费表'!ah"&amp;$G$1)="",INDIRECT("'数据-取费表'!k"&amp;$G$1),INDIRECT("'数据-取费表'!ah"&amp;$G$1))</f>
        <v>6550</v>
      </c>
      <c r="G7" s="1598"/>
      <c r="H7" s="2525"/>
      <c r="I7" s="3432"/>
      <c r="J7" s="791"/>
      <c r="K7" s="792"/>
      <c r="L7" s="787" t="s">
        <v>1743</v>
      </c>
      <c r="M7" s="788">
        <f ca="1">F7</f>
        <v>6550</v>
      </c>
    </row>
    <row r="8" spans="1:33" ht="18" customHeight="1">
      <c r="A8" s="2529"/>
      <c r="B8" s="3433"/>
      <c r="C8" s="791"/>
      <c r="D8" s="792"/>
      <c r="E8" s="787" t="s">
        <v>1744</v>
      </c>
      <c r="F8" s="788">
        <f ca="1">INDIRECT("'数据-取费表'!ai"&amp;$G$1)</f>
        <v>365</v>
      </c>
      <c r="G8" s="1598"/>
      <c r="H8" s="2525"/>
      <c r="I8" s="3433"/>
      <c r="J8" s="791"/>
      <c r="K8" s="792"/>
      <c r="L8" s="787" t="s">
        <v>1744</v>
      </c>
      <c r="M8" s="788">
        <f ca="1">INDIRECT("'数据-取费表'!ai"&amp;$G$1)</f>
        <v>365</v>
      </c>
    </row>
    <row r="9" spans="1:33" ht="18" customHeight="1">
      <c r="A9" s="789"/>
      <c r="B9" s="3434"/>
      <c r="C9" s="791"/>
      <c r="D9" s="792"/>
      <c r="E9" s="787" t="s">
        <v>1745</v>
      </c>
      <c r="F9" s="797">
        <f ca="1">INDIRECT("'数据-取费表'!w"&amp;$G$1)</f>
        <v>0.1</v>
      </c>
      <c r="G9" s="1598"/>
      <c r="H9" s="2541"/>
      <c r="I9" s="3433"/>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2</v>
      </c>
      <c r="D10" s="2537" t="s">
        <v>2477</v>
      </c>
      <c r="E10" s="2534" t="s">
        <v>2475</v>
      </c>
      <c r="F10" s="2657" t="s">
        <v>3028</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2493</v>
      </c>
      <c r="D13" s="1841" t="s">
        <v>2305</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1631</v>
      </c>
      <c r="D14" s="1986" t="s">
        <v>1749</v>
      </c>
      <c r="E14" s="1987"/>
      <c r="F14" s="808"/>
      <c r="G14" s="1598"/>
      <c r="H14" s="1655" t="s">
        <v>1835</v>
      </c>
      <c r="I14" s="2242" t="s">
        <v>2841</v>
      </c>
      <c r="J14" s="53">
        <f ca="1">C29</f>
        <v>2493</v>
      </c>
      <c r="K14" s="26"/>
      <c r="L14" s="804"/>
      <c r="M14" s="805"/>
    </row>
    <row r="15" spans="1:33" s="2072" customFormat="1" ht="18" customHeight="1" thickBot="1">
      <c r="A15" s="1654" t="s">
        <v>1890</v>
      </c>
      <c r="B15" s="787" t="s">
        <v>648</v>
      </c>
      <c r="C15" s="53">
        <f ca="1">ROUND(C14*F15,0)</f>
        <v>82</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61</v>
      </c>
      <c r="K16" s="1828" t="s">
        <v>1754</v>
      </c>
      <c r="L16" s="2522"/>
      <c r="M16" s="2527"/>
    </row>
    <row r="17" spans="1:33" s="2072" customFormat="1" ht="18" customHeight="1">
      <c r="A17" s="1654" t="s">
        <v>1892</v>
      </c>
      <c r="B17" s="787" t="s">
        <v>654</v>
      </c>
      <c r="C17" s="53">
        <f ca="1">ROUND(F17*(F43+INDIRECT("'数据-取费表'!S"&amp;$G$1))/10000,0)</f>
        <v>145</v>
      </c>
      <c r="D17" s="787" t="s">
        <v>1755</v>
      </c>
      <c r="E17" s="787" t="s">
        <v>1756</v>
      </c>
      <c r="F17" s="56">
        <f>'数据-取费表'!B35</f>
        <v>200</v>
      </c>
      <c r="G17" s="1599"/>
      <c r="H17" s="1655" t="s">
        <v>1835</v>
      </c>
      <c r="I17" s="787" t="s">
        <v>657</v>
      </c>
      <c r="J17" s="53">
        <f ca="1">ROUND(IF(项目基本情况!B11="自然人",J5*M17,J18+J19+J20),0)</f>
        <v>24</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24</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1882</v>
      </c>
      <c r="D19" s="261" t="s">
        <v>1761</v>
      </c>
      <c r="E19" s="1989"/>
      <c r="F19" s="56"/>
      <c r="G19" s="1598"/>
      <c r="H19" s="1654" t="s">
        <v>1890</v>
      </c>
      <c r="I19" s="787" t="s">
        <v>1762</v>
      </c>
      <c r="J19" s="53">
        <f ca="1">IF(K19="按租金收入计税",ROUND(J5*M19,1),ROUND(C29*F33*0.7,1))</f>
        <v>20.9</v>
      </c>
      <c r="K19" s="814" t="s">
        <v>666</v>
      </c>
      <c r="L19" s="787" t="s">
        <v>1751</v>
      </c>
      <c r="M19" s="812">
        <f>IF(K19="按租金收入计税",'数据-取费表'!B51,'数据-取费表'!B50)</f>
        <v>1.2E-2</v>
      </c>
    </row>
    <row r="20" spans="1:33" s="2072" customFormat="1" ht="18" customHeight="1">
      <c r="A20" s="1655" t="s">
        <v>1894</v>
      </c>
      <c r="B20" s="787" t="s">
        <v>667</v>
      </c>
      <c r="C20" s="53">
        <f ca="1">ROUND(C19*F20,0)</f>
        <v>38</v>
      </c>
      <c r="D20" s="815" t="s">
        <v>1763</v>
      </c>
      <c r="E20" s="787" t="s">
        <v>1751</v>
      </c>
      <c r="F20" s="812">
        <f>'数据-取费表'!B37</f>
        <v>0.02</v>
      </c>
      <c r="G20" s="1599"/>
      <c r="H20" s="1657" t="s">
        <v>1885</v>
      </c>
      <c r="I20" s="344" t="s">
        <v>1764</v>
      </c>
      <c r="J20" s="54">
        <f ca="1">ROUND(M20*M21/10000,0)</f>
        <v>3</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2306</v>
      </c>
      <c r="E21" s="787" t="s">
        <v>1769</v>
      </c>
      <c r="F21" s="812">
        <f>'数据-取费表'!B38</f>
        <v>0.02</v>
      </c>
      <c r="G21" s="1599"/>
      <c r="H21" s="2542"/>
      <c r="I21" s="796"/>
      <c r="J21" s="69"/>
      <c r="K21" s="819"/>
      <c r="L21" s="787" t="s">
        <v>1770</v>
      </c>
      <c r="M21" s="788">
        <f ca="1">INDIRECT("'数据-取费表'!r"&amp;$G$1)</f>
        <v>1944.6399999999999</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37</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91</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2E-3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-61</v>
      </c>
      <c r="K25" s="2584" t="s">
        <v>1781</v>
      </c>
      <c r="L25" s="2585"/>
      <c r="M25" s="2586"/>
    </row>
    <row r="26" spans="1:33" ht="18" customHeight="1">
      <c r="A26" s="1654" t="s">
        <v>1836</v>
      </c>
      <c r="B26" s="787" t="s">
        <v>2448</v>
      </c>
      <c r="C26" s="53">
        <f ca="1">ROUND((C19+C20)*F26,0)</f>
        <v>288</v>
      </c>
      <c r="D26" s="815" t="s">
        <v>1782</v>
      </c>
      <c r="E26" s="798" t="s">
        <v>1783</v>
      </c>
      <c r="F26" s="797">
        <f ca="1">INDIRECT("'数据-取费表'!q"&amp;$G$1)</f>
        <v>0.15</v>
      </c>
      <c r="G26" s="1598"/>
      <c r="H26" s="2538" t="s">
        <v>1784</v>
      </c>
      <c r="I26" s="2243" t="s">
        <v>2842</v>
      </c>
      <c r="J26" s="786">
        <f ca="1">IF(J5&lt;&gt;0,ROUND(J25*(1-((1+M28)/(1+M26))^M27)/(M26-M28),0),0)</f>
        <v>0</v>
      </c>
      <c r="K26" s="817" t="s">
        <v>1785</v>
      </c>
      <c r="L26" s="787" t="s">
        <v>2429</v>
      </c>
      <c r="M26" s="797">
        <f ca="1">INDIRECT("'数据-取费表'!I"&amp;$G$1)</f>
        <v>0.06</v>
      </c>
    </row>
    <row r="27" spans="1:33" ht="18" customHeight="1">
      <c r="A27" s="1654" t="s">
        <v>1837</v>
      </c>
      <c r="B27" s="787" t="s">
        <v>687</v>
      </c>
      <c r="C27" s="53">
        <f ca="1">ROUND(F21*F26,4)</f>
        <v>3.0000000000000001E-3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2307</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2308</v>
      </c>
      <c r="C29" s="2580">
        <f ca="1">ROUND((C19+C20+C23+C26)/(1-F21-C24-C27-C28),0)</f>
        <v>2493</v>
      </c>
      <c r="D29" s="2581"/>
      <c r="E29" s="2582"/>
      <c r="F29" s="2583"/>
      <c r="G29" s="1599"/>
      <c r="H29" s="826" t="s">
        <v>1791</v>
      </c>
      <c r="I29" s="827" t="s">
        <v>1792</v>
      </c>
      <c r="J29" s="828">
        <f ca="1">ROUND(J26/(1+F40)^F41,0)</f>
        <v>0</v>
      </c>
      <c r="K29" s="829" t="s">
        <v>1793</v>
      </c>
      <c r="L29" s="830"/>
      <c r="M29" s="831">
        <f ca="1">INDIRECT("'数据-取费表'!k"&amp;$G$1)</f>
        <v>6550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162</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93.4</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69.599999999999994</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20.9</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2.9</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1944.6399999999999</v>
      </c>
      <c r="G35" s="2070"/>
      <c r="H35" s="2073"/>
      <c r="I35" s="840" t="s">
        <v>1819</v>
      </c>
      <c r="J35" s="841">
        <f ca="1">ROUND(C13*J36,0)</f>
        <v>212</v>
      </c>
      <c r="K35" s="2086"/>
      <c r="L35" s="2085"/>
      <c r="M35" s="2085"/>
    </row>
    <row r="36" spans="1:18" ht="18" customHeight="1">
      <c r="A36" s="1655" t="s">
        <v>1894</v>
      </c>
      <c r="B36" s="787" t="s">
        <v>1806</v>
      </c>
      <c r="C36" s="53">
        <f ca="1">ROUND(C29*F36,1)</f>
        <v>37.4</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5</v>
      </c>
      <c r="D37" s="1984" t="s">
        <v>1808</v>
      </c>
      <c r="E37" s="787" t="s">
        <v>1800</v>
      </c>
      <c r="F37" s="821">
        <f ca="1">INDIRECT("'数据-取费表'!Al"&amp;$G$1)</f>
        <v>2E-3</v>
      </c>
      <c r="G37" s="2070"/>
      <c r="H37" s="2085"/>
      <c r="I37" s="844" t="s">
        <v>1821</v>
      </c>
      <c r="J37" s="845"/>
      <c r="K37" s="2090"/>
      <c r="L37" s="2085"/>
      <c r="M37" s="2085"/>
    </row>
    <row r="38" spans="1:18" ht="18" customHeight="1" thickBot="1">
      <c r="A38" s="2587" t="s">
        <v>1896</v>
      </c>
      <c r="B38" s="2582" t="s">
        <v>667</v>
      </c>
      <c r="C38" s="2580">
        <f ca="1">ROUND(C5*F38,1)</f>
        <v>25.9</v>
      </c>
      <c r="D38" s="2581" t="s">
        <v>1809</v>
      </c>
      <c r="E38" s="2582" t="s">
        <v>1800</v>
      </c>
      <c r="F38" s="2578">
        <f ca="1">INDIRECT("'数据-取费表'!Am"&amp;$G$1)</f>
        <v>0.02</v>
      </c>
      <c r="G38" s="2070"/>
      <c r="H38" s="2085"/>
      <c r="I38" s="846" t="s">
        <v>1822</v>
      </c>
      <c r="J38" s="847"/>
      <c r="K38" s="2091"/>
      <c r="L38" s="2085"/>
      <c r="M38" s="2085"/>
    </row>
    <row r="39" spans="1:18" ht="24.6" customHeight="1" thickTop="1">
      <c r="A39" s="1836" t="s">
        <v>1899</v>
      </c>
      <c r="B39" s="3050" t="s">
        <v>2837</v>
      </c>
      <c r="C39" s="795">
        <f ca="1">C5-C30</f>
        <v>1131</v>
      </c>
      <c r="D39" s="2584" t="s">
        <v>1810</v>
      </c>
      <c r="E39" s="2585"/>
      <c r="F39" s="2586"/>
      <c r="G39" s="2070"/>
      <c r="H39" s="2085"/>
      <c r="I39" s="840" t="s">
        <v>1823</v>
      </c>
      <c r="J39" s="848">
        <f ca="1">ROUND(J35/C39,3)</f>
        <v>0.187</v>
      </c>
      <c r="K39" s="2091"/>
      <c r="L39" s="2085"/>
      <c r="M39" s="2085"/>
    </row>
    <row r="40" spans="1:18" ht="18" customHeight="1">
      <c r="A40" s="784" t="s">
        <v>1900</v>
      </c>
      <c r="B40" s="2243" t="s">
        <v>2309</v>
      </c>
      <c r="C40" s="786">
        <f ca="1">ROUND(C39*(1-((1+F42)/(1+F40))^F41)/(F40-F42),0)</f>
        <v>25092</v>
      </c>
      <c r="D40" s="817" t="s">
        <v>1811</v>
      </c>
      <c r="E40" s="787" t="s">
        <v>2429</v>
      </c>
      <c r="F40" s="797">
        <f ca="1">INDIRECT("'数据-取费表'!I"&amp;$G$1)</f>
        <v>0.06</v>
      </c>
      <c r="G40" s="2070"/>
      <c r="H40" s="2070"/>
      <c r="I40" s="840" t="s">
        <v>1824</v>
      </c>
      <c r="J40" s="848">
        <f ca="1">1-J39</f>
        <v>0.81299999999999994</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38.15</v>
      </c>
      <c r="G41" s="2070"/>
      <c r="H41" s="1995"/>
      <c r="I41" s="846" t="s">
        <v>1825</v>
      </c>
      <c r="J41" s="849"/>
      <c r="K41" s="2090"/>
      <c r="L41" s="1995"/>
      <c r="M41" s="1995"/>
    </row>
    <row r="42" spans="1:18" ht="18" customHeight="1">
      <c r="A42" s="793"/>
      <c r="B42" s="794"/>
      <c r="C42" s="795"/>
      <c r="D42" s="819"/>
      <c r="E42" s="787" t="s">
        <v>1814</v>
      </c>
      <c r="F42" s="797">
        <f ca="1">INDIRECT("'数据-取费表'!v"&amp;$G$1)</f>
        <v>0.03</v>
      </c>
      <c r="G42" s="2070"/>
      <c r="H42" s="1995"/>
      <c r="I42" s="850" t="s">
        <v>1826</v>
      </c>
      <c r="J42" s="848">
        <f ca="1">ROUND(C13/C40,3)</f>
        <v>9.9000000000000005E-2</v>
      </c>
      <c r="K42" s="2090"/>
      <c r="L42" s="1995"/>
      <c r="M42" s="1995"/>
    </row>
    <row r="43" spans="1:18" ht="18" customHeight="1" thickBot="1">
      <c r="A43" s="826" t="s">
        <v>1791</v>
      </c>
      <c r="B43" s="827" t="s">
        <v>1815</v>
      </c>
      <c r="C43" s="828">
        <f ca="1">ROUND(C40*10000/F43,0)</f>
        <v>38308</v>
      </c>
      <c r="D43" s="829" t="s">
        <v>1816</v>
      </c>
      <c r="E43" s="830" t="s">
        <v>1817</v>
      </c>
      <c r="F43" s="831">
        <f ca="1">INDIRECT("'数据-取费表'!k"&amp;$G$1)</f>
        <v>6550</v>
      </c>
      <c r="G43" s="2070"/>
      <c r="H43" s="1995"/>
      <c r="I43" s="850" t="s">
        <v>1827</v>
      </c>
      <c r="J43" s="851">
        <f ca="1">1-J42</f>
        <v>0.90100000000000002</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2303</v>
      </c>
      <c r="B46" s="2093"/>
      <c r="C46" s="2610">
        <f ca="1">C67-C40</f>
        <v>-26073</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3027</v>
      </c>
      <c r="K47" s="2399" t="s">
        <v>2359</v>
      </c>
      <c r="L47" s="2400">
        <f ca="1">INDIRECT("'数据-取费表'!d"&amp;$G$1)</f>
        <v>40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2304</v>
      </c>
      <c r="F48" s="2388"/>
      <c r="G48" s="2098"/>
      <c r="I48" s="2394" t="s">
        <v>2354</v>
      </c>
      <c r="J48" s="2401" t="s">
        <v>2360</v>
      </c>
      <c r="K48" s="2402" t="s">
        <v>2361</v>
      </c>
      <c r="L48" s="2403">
        <f ca="1">INDIRECT("'数据-取费表'!f"&amp;$G$1)</f>
        <v>38.15</v>
      </c>
      <c r="O48" s="2434" t="s">
        <v>2389</v>
      </c>
      <c r="P48" s="2435" t="s">
        <v>2415</v>
      </c>
      <c r="Q48" s="2436">
        <f ca="1">C40+J29</f>
        <v>25092</v>
      </c>
      <c r="R48" s="2435" t="s">
        <v>2390</v>
      </c>
    </row>
    <row r="49" spans="1:18" s="2067" customFormat="1" ht="18" customHeight="1" thickBot="1">
      <c r="A49" s="789"/>
      <c r="B49" s="790"/>
      <c r="C49" s="791"/>
      <c r="D49" s="792"/>
      <c r="E49" s="787" t="s">
        <v>1743</v>
      </c>
      <c r="F49" s="788">
        <f ca="1">F7</f>
        <v>6550</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2493</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-8345209</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c r="K52" s="2396" t="s">
        <v>2430</v>
      </c>
      <c r="L52" s="2410"/>
      <c r="O52" s="2437" t="s">
        <v>2396</v>
      </c>
      <c r="P52" s="2435" t="s">
        <v>2397</v>
      </c>
      <c r="Q52" s="2438">
        <f>J52</f>
        <v>0</v>
      </c>
      <c r="R52" s="2439"/>
    </row>
    <row r="53" spans="1:18" s="2067" customFormat="1" ht="39.75" customHeight="1" thickBot="1">
      <c r="A53" s="789"/>
      <c r="B53" s="2531" t="s">
        <v>2585</v>
      </c>
      <c r="C53" s="2535"/>
      <c r="D53" s="2537"/>
      <c r="E53" s="2534"/>
      <c r="F53" s="803"/>
      <c r="I53" s="2397" t="s">
        <v>2358</v>
      </c>
      <c r="J53" s="2411">
        <f ca="1">IF(M47="住宅",J51,MIN(J51,L48))</f>
        <v>38.15</v>
      </c>
      <c r="K53" s="3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6"/>
      <c r="O53" s="2437" t="s">
        <v>2398</v>
      </c>
      <c r="P53" s="2435" t="s">
        <v>2399</v>
      </c>
      <c r="Q53" s="2436">
        <f ca="1">J53</f>
        <v>38.15</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25092</v>
      </c>
      <c r="R54" s="2439" t="s">
        <v>2402</v>
      </c>
    </row>
    <row r="55" spans="1:18" s="2067" customFormat="1" ht="18" customHeight="1" thickTop="1" thickBot="1">
      <c r="A55" s="800">
        <v>2</v>
      </c>
      <c r="B55" s="801" t="s">
        <v>645</v>
      </c>
      <c r="C55" s="802">
        <f ca="1">C13</f>
        <v>2493</v>
      </c>
      <c r="D55" s="798"/>
      <c r="E55" s="798"/>
      <c r="F55" s="803"/>
      <c r="I55" s="3142" t="s">
        <v>2365</v>
      </c>
      <c r="J55" s="3141" t="e">
        <f ca="1">ROUND(IF(J47="钢混",J57/J50,1-(1-2%)*(J50-J57)/J50),3)</f>
        <v>#VALUE!</v>
      </c>
      <c r="K55" s="2412" t="s">
        <v>2366</v>
      </c>
      <c r="L55" s="2413"/>
      <c r="O55" s="2440" t="s">
        <v>2421</v>
      </c>
      <c r="P55" s="1598"/>
      <c r="Q55" s="1610"/>
      <c r="R55" s="1598"/>
    </row>
    <row r="56" spans="1:18" s="2067" customFormat="1" ht="42.75" customHeight="1" thickBot="1">
      <c r="A56" s="1656"/>
      <c r="B56" s="2242" t="s">
        <v>2310</v>
      </c>
      <c r="C56" s="53">
        <f ca="1">C29</f>
        <v>2493</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66</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25092</v>
      </c>
      <c r="R57" s="2435" t="s">
        <v>2390</v>
      </c>
    </row>
    <row r="58" spans="1:18" s="2067" customFormat="1" ht="28.5" customHeight="1" thickBot="1">
      <c r="A58" s="1655" t="s">
        <v>1829</v>
      </c>
      <c r="B58" s="787" t="s">
        <v>657</v>
      </c>
      <c r="C58" s="53">
        <f ca="1">ROUND(IF(项目基本情况!B11="自然人",C47*F58,C59+C60+C61),1)</f>
        <v>23.8</v>
      </c>
      <c r="D58" s="2675" t="s">
        <v>658</v>
      </c>
      <c r="E58" s="2676" t="s">
        <v>691</v>
      </c>
      <c r="F58" s="813" t="str">
        <f ca="1">IF(项目基本情况!B11="企业","",IF(INDIRECT("'数据-取费表'!c"&amp;$G$1)="住宅",5%,IF(F48*F49*F50/12/(1+'数据-取费表'!C42)&gt;20000,12%,7%)))</f>
        <v/>
      </c>
      <c r="I58" s="2415" t="s">
        <v>2369</v>
      </c>
      <c r="J58" s="3143"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20.9</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2.9</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1944.6399999999999</v>
      </c>
      <c r="I62" s="2420" t="s">
        <v>2377</v>
      </c>
      <c r="J62" s="2421" t="s">
        <v>2378</v>
      </c>
      <c r="K62" s="2421" t="s">
        <v>2379</v>
      </c>
      <c r="L62" s="2421" t="s">
        <v>2360</v>
      </c>
      <c r="M62" s="3144" t="s">
        <v>2956</v>
      </c>
      <c r="O62" s="2437" t="s">
        <v>2398</v>
      </c>
      <c r="P62" s="2435" t="s">
        <v>2406</v>
      </c>
      <c r="Q62" s="2436">
        <f ca="1">L59</f>
        <v>0</v>
      </c>
      <c r="R62" s="2439" t="s">
        <v>2407</v>
      </c>
    </row>
    <row r="63" spans="1:18" s="2067" customFormat="1" ht="15.75" thickBot="1">
      <c r="A63" s="1655" t="s">
        <v>1894</v>
      </c>
      <c r="B63" s="787" t="s">
        <v>677</v>
      </c>
      <c r="C63" s="53">
        <f ca="1">ROUND(C56*F63,1)</f>
        <v>37.4</v>
      </c>
      <c r="D63" s="2676" t="s">
        <v>1807</v>
      </c>
      <c r="E63" s="787" t="s">
        <v>1751</v>
      </c>
      <c r="F63" s="820">
        <f t="shared" ca="1" si="0"/>
        <v>1.4999999999999999E-2</v>
      </c>
      <c r="I63" s="2420" t="s">
        <v>2380</v>
      </c>
      <c r="J63" s="2421">
        <v>70</v>
      </c>
      <c r="K63" s="2421">
        <v>50</v>
      </c>
      <c r="L63" s="2421">
        <v>80</v>
      </c>
      <c r="M63" s="3145">
        <v>0.02</v>
      </c>
      <c r="O63" s="2434" t="s">
        <v>2401</v>
      </c>
      <c r="P63" s="2435" t="s">
        <v>2418</v>
      </c>
      <c r="Q63" s="2436">
        <f ca="1">Q57+Q58</f>
        <v>25092</v>
      </c>
      <c r="R63" s="2439" t="s">
        <v>2402</v>
      </c>
    </row>
    <row r="64" spans="1:18" s="2067" customFormat="1" ht="16.5" thickBot="1">
      <c r="A64" s="1655" t="s">
        <v>1895</v>
      </c>
      <c r="B64" s="787" t="s">
        <v>680</v>
      </c>
      <c r="C64" s="53">
        <f ca="1">ROUND(C55*F64,1)</f>
        <v>5</v>
      </c>
      <c r="D64" s="2676" t="s">
        <v>681</v>
      </c>
      <c r="E64" s="787" t="s">
        <v>1751</v>
      </c>
      <c r="F64" s="821">
        <f t="shared" ca="1" si="0"/>
        <v>2E-3</v>
      </c>
      <c r="I64" s="2420" t="s">
        <v>2381</v>
      </c>
      <c r="J64" s="2421">
        <v>50</v>
      </c>
      <c r="K64" s="2421">
        <v>35</v>
      </c>
      <c r="L64" s="2421">
        <v>60</v>
      </c>
      <c r="M64" s="3146">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0.02</v>
      </c>
      <c r="I65" s="2420" t="s">
        <v>2382</v>
      </c>
      <c r="J65" s="2421">
        <v>40</v>
      </c>
      <c r="K65" s="2421">
        <v>30</v>
      </c>
      <c r="L65" s="2421">
        <v>50</v>
      </c>
      <c r="M65" s="3145">
        <v>0.02</v>
      </c>
      <c r="O65" s="2431" t="s">
        <v>2385</v>
      </c>
      <c r="P65" s="2432" t="s">
        <v>2386</v>
      </c>
      <c r="Q65" s="2433" t="s">
        <v>2387</v>
      </c>
      <c r="R65" s="2432" t="s">
        <v>2388</v>
      </c>
    </row>
    <row r="66" spans="1:18" s="2067" customFormat="1" ht="24.75" thickBot="1">
      <c r="A66" s="800" t="s">
        <v>1780</v>
      </c>
      <c r="B66" s="3051" t="s">
        <v>2837</v>
      </c>
      <c r="C66" s="802">
        <f ca="1">C47-C57</f>
        <v>-66</v>
      </c>
      <c r="D66" s="2675" t="s">
        <v>702</v>
      </c>
      <c r="E66" s="2674"/>
      <c r="F66" s="823"/>
      <c r="K66" s="2094"/>
      <c r="O66" s="2434" t="s">
        <v>2389</v>
      </c>
      <c r="P66" s="2435" t="s">
        <v>2419</v>
      </c>
      <c r="Q66" s="2436">
        <f ca="1">C40+J29</f>
        <v>25092</v>
      </c>
      <c r="R66" s="2435" t="s">
        <v>2390</v>
      </c>
    </row>
    <row r="67" spans="1:18" s="2067" customFormat="1" ht="20.25" thickBot="1">
      <c r="A67" s="784" t="s">
        <v>1784</v>
      </c>
      <c r="B67" s="2243" t="s">
        <v>2309</v>
      </c>
      <c r="C67" s="786">
        <f ca="1">ROUND(C66*(1-((1+F69)/(1+F67))^F68)/(F67-F69),0)</f>
        <v>-981</v>
      </c>
      <c r="D67" s="817" t="s">
        <v>706</v>
      </c>
      <c r="E67" s="787" t="s">
        <v>707</v>
      </c>
      <c r="F67" s="797">
        <f ca="1">F40</f>
        <v>0.06</v>
      </c>
      <c r="K67" s="2094"/>
      <c r="O67" s="2434" t="s">
        <v>2391</v>
      </c>
      <c r="P67" s="2435" t="s">
        <v>2422</v>
      </c>
      <c r="Q67" s="2436">
        <f ca="1">L60</f>
        <v>0</v>
      </c>
      <c r="R67" s="2439" t="s">
        <v>2424</v>
      </c>
    </row>
    <row r="68" spans="1:18" ht="21.75" thickBot="1">
      <c r="A68" s="789"/>
      <c r="B68" s="790"/>
      <c r="C68" s="791"/>
      <c r="D68" s="824" t="s">
        <v>1812</v>
      </c>
      <c r="E68" s="787" t="s">
        <v>1788</v>
      </c>
      <c r="F68" s="825">
        <f ca="1">F41</f>
        <v>38.15</v>
      </c>
      <c r="O68" s="2437" t="s">
        <v>2393</v>
      </c>
      <c r="P68" s="2435" t="s">
        <v>2423</v>
      </c>
      <c r="Q68" s="2441">
        <f ca="1">L51</f>
        <v>-8345209</v>
      </c>
      <c r="R68" s="2442" t="s">
        <v>2426</v>
      </c>
    </row>
    <row r="69" spans="1:18" ht="20.25" thickBot="1">
      <c r="A69" s="793"/>
      <c r="B69" s="794"/>
      <c r="C69" s="795"/>
      <c r="D69" s="819"/>
      <c r="E69" s="787" t="s">
        <v>712</v>
      </c>
      <c r="F69" s="2382"/>
      <c r="O69" s="2437" t="s">
        <v>2394</v>
      </c>
      <c r="P69" s="2443" t="s">
        <v>2408</v>
      </c>
      <c r="Q69" s="2436">
        <f ca="1">ROUND(Q70-Q71*Q72,0)</f>
        <v>919</v>
      </c>
      <c r="R69" s="2439"/>
    </row>
    <row r="70" spans="1:18" ht="15.75" thickBot="1">
      <c r="A70" s="826" t="s">
        <v>1791</v>
      </c>
      <c r="B70" s="827" t="s">
        <v>1815</v>
      </c>
      <c r="C70" s="828">
        <f ca="1">ROUND(C67*10000/F70,0)</f>
        <v>-1498</v>
      </c>
      <c r="D70" s="829" t="s">
        <v>1816</v>
      </c>
      <c r="E70" s="830" t="s">
        <v>1817</v>
      </c>
      <c r="F70" s="831">
        <f ca="1">F43</f>
        <v>6550</v>
      </c>
      <c r="O70" s="2437" t="s">
        <v>2409</v>
      </c>
      <c r="P70" s="2443" t="s">
        <v>2410</v>
      </c>
      <c r="Q70" s="2436">
        <f ca="1">C39</f>
        <v>1131</v>
      </c>
      <c r="R70" s="2435" t="s">
        <v>2390</v>
      </c>
    </row>
    <row r="71" spans="1:18" ht="15.75" thickBot="1">
      <c r="O71" s="2437" t="s">
        <v>2411</v>
      </c>
      <c r="P71" s="2443" t="s">
        <v>2412</v>
      </c>
      <c r="Q71" s="2436">
        <f ca="1">C13</f>
        <v>2493</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25092</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72811平方米。</v>
      </c>
    </row>
    <row r="7" spans="1:4" ht="56.25">
      <c r="A7" s="1802" t="s">
        <v>2762</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2017年10月30日（评估专业人员勘察现场之日）</v>
      </c>
    </row>
    <row r="12" spans="1:4" ht="18.75">
      <c r="A12" s="1804" t="s">
        <v>2033</v>
      </c>
    </row>
    <row r="13" spans="1:4" ht="18.75">
      <c r="A13" s="1798" t="s">
        <v>2955</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根据《国有土地使用证》[]，估价对象（分摊）出让国有建设用地使用权面积为19564.6平方米。根据《总平图》，估价对象规划建筑面积为72811平方米。</v>
      </c>
    </row>
    <row r="21" spans="1:1" ht="18.75">
      <c r="A21" s="1798" t="s">
        <v>2082</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总平图》，土地终止日期为住宅2085年12月15日、商业2055年12月15日地下车库2065年12月15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3" t="s">
        <v>2483</v>
      </c>
      <c r="B1" s="3454"/>
      <c r="C1" s="3455"/>
      <c r="D1" s="3456">
        <f>SUM(I10,I15,I20,I21,I23)</f>
        <v>0</v>
      </c>
      <c r="E1" s="3456"/>
      <c r="F1" s="3456"/>
      <c r="G1" s="3456"/>
      <c r="H1" s="3456"/>
      <c r="I1" s="3457"/>
    </row>
    <row r="2" spans="1:9">
      <c r="A2" s="3443" t="s">
        <v>2484</v>
      </c>
      <c r="B2" s="3444" t="s">
        <v>2485</v>
      </c>
      <c r="C2" s="3444"/>
      <c r="D2" s="2543" t="s">
        <v>2486</v>
      </c>
      <c r="E2" s="2543" t="s">
        <v>2487</v>
      </c>
      <c r="F2" s="2543" t="s">
        <v>2488</v>
      </c>
      <c r="G2" s="2543" t="s">
        <v>2489</v>
      </c>
      <c r="H2" s="2543" t="s">
        <v>2490</v>
      </c>
      <c r="I2" s="2544" t="s">
        <v>2491</v>
      </c>
    </row>
    <row r="3" spans="1:9">
      <c r="A3" s="3443"/>
      <c r="B3" s="3444" t="s">
        <v>2492</v>
      </c>
      <c r="C3" s="3444"/>
      <c r="D3" s="2545"/>
      <c r="E3" s="2543"/>
      <c r="F3" s="2546"/>
      <c r="G3" s="2546"/>
      <c r="H3" s="2547"/>
      <c r="I3" s="2548">
        <f>ROUND(D3*E3*F3*G3*H3/10000,0)</f>
        <v>0</v>
      </c>
    </row>
    <row r="4" spans="1:9">
      <c r="A4" s="3443"/>
      <c r="B4" s="3444" t="s">
        <v>2493</v>
      </c>
      <c r="C4" s="3444"/>
      <c r="D4" s="2545"/>
      <c r="E4" s="2543"/>
      <c r="F4" s="2546"/>
      <c r="G4" s="2546"/>
      <c r="H4" s="2547"/>
      <c r="I4" s="2548">
        <f t="shared" ref="I4:I9" si="0">ROUND(D4*E4*F4*G4*H4/10000,0)</f>
        <v>0</v>
      </c>
    </row>
    <row r="5" spans="1:9">
      <c r="A5" s="3443"/>
      <c r="B5" s="3444" t="s">
        <v>2494</v>
      </c>
      <c r="C5" s="3444"/>
      <c r="D5" s="2545"/>
      <c r="E5" s="2543"/>
      <c r="F5" s="2546"/>
      <c r="G5" s="2546"/>
      <c r="H5" s="2547"/>
      <c r="I5" s="2548">
        <f t="shared" si="0"/>
        <v>0</v>
      </c>
    </row>
    <row r="6" spans="1:9">
      <c r="A6" s="3443"/>
      <c r="B6" s="3444" t="s">
        <v>2495</v>
      </c>
      <c r="C6" s="3444"/>
      <c r="D6" s="2545"/>
      <c r="E6" s="2543"/>
      <c r="F6" s="2546"/>
      <c r="G6" s="2546"/>
      <c r="H6" s="2547"/>
      <c r="I6" s="2548">
        <f t="shared" si="0"/>
        <v>0</v>
      </c>
    </row>
    <row r="7" spans="1:9">
      <c r="A7" s="3443"/>
      <c r="B7" s="3444" t="s">
        <v>2496</v>
      </c>
      <c r="C7" s="3444"/>
      <c r="D7" s="2545"/>
      <c r="E7" s="2543"/>
      <c r="F7" s="2546"/>
      <c r="G7" s="2546"/>
      <c r="H7" s="2547"/>
      <c r="I7" s="2548">
        <f t="shared" si="0"/>
        <v>0</v>
      </c>
    </row>
    <row r="8" spans="1:9">
      <c r="A8" s="3443"/>
      <c r="B8" s="3444" t="s">
        <v>2497</v>
      </c>
      <c r="C8" s="3444"/>
      <c r="D8" s="2545"/>
      <c r="E8" s="2543"/>
      <c r="F8" s="2546"/>
      <c r="G8" s="2546"/>
      <c r="H8" s="2547"/>
      <c r="I8" s="2548">
        <f t="shared" si="0"/>
        <v>0</v>
      </c>
    </row>
    <row r="9" spans="1:9">
      <c r="A9" s="3443"/>
      <c r="B9" s="3444" t="s">
        <v>2498</v>
      </c>
      <c r="C9" s="3444"/>
      <c r="D9" s="2545"/>
      <c r="E9" s="2543"/>
      <c r="F9" s="2546"/>
      <c r="G9" s="2546"/>
      <c r="H9" s="2547"/>
      <c r="I9" s="2548">
        <f t="shared" si="0"/>
        <v>0</v>
      </c>
    </row>
    <row r="10" spans="1:9">
      <c r="A10" s="3443"/>
      <c r="B10" s="3445" t="s">
        <v>2499</v>
      </c>
      <c r="C10" s="3445"/>
      <c r="D10" s="2549">
        <v>527</v>
      </c>
      <c r="E10" s="2549" t="e">
        <f>ROUND(D1*10000/D10/H9,0)</f>
        <v>#DIV/0!</v>
      </c>
      <c r="F10" s="2550"/>
      <c r="G10" s="2550"/>
      <c r="H10" s="2551"/>
      <c r="I10" s="2552">
        <f>SUM(I3:I9)</f>
        <v>0</v>
      </c>
    </row>
    <row r="11" spans="1:9" ht="14.25">
      <c r="A11" s="3443" t="s">
        <v>2500</v>
      </c>
      <c r="B11" s="3444" t="s">
        <v>2501</v>
      </c>
      <c r="C11" s="3444"/>
      <c r="D11" s="2545" t="s">
        <v>2502</v>
      </c>
      <c r="E11" s="2545" t="s">
        <v>2503</v>
      </c>
      <c r="F11" s="2546" t="s">
        <v>2504</v>
      </c>
      <c r="G11" s="2546" t="s">
        <v>2505</v>
      </c>
      <c r="H11" s="2553" t="s">
        <v>2506</v>
      </c>
      <c r="I11" s="2544" t="s">
        <v>2507</v>
      </c>
    </row>
    <row r="12" spans="1:9">
      <c r="A12" s="3443"/>
      <c r="B12" s="3444" t="s">
        <v>2508</v>
      </c>
      <c r="C12" s="3444"/>
      <c r="D12" s="2545"/>
      <c r="E12" s="2545"/>
      <c r="F12" s="2546"/>
      <c r="G12" s="2547"/>
      <c r="H12" s="2554"/>
      <c r="I12" s="2544">
        <f>ROUND(D12*E12*F12*G12/10000,0)</f>
        <v>0</v>
      </c>
    </row>
    <row r="13" spans="1:9">
      <c r="A13" s="3443"/>
      <c r="B13" s="3444" t="s">
        <v>2509</v>
      </c>
      <c r="C13" s="3444"/>
      <c r="D13" s="2545"/>
      <c r="E13" s="2545"/>
      <c r="F13" s="2546"/>
      <c r="G13" s="2547"/>
      <c r="H13" s="2554"/>
      <c r="I13" s="2544">
        <f>ROUND(D13*E13*F13*G13/10000,0)</f>
        <v>0</v>
      </c>
    </row>
    <row r="14" spans="1:9">
      <c r="A14" s="3443"/>
      <c r="B14" s="3444" t="s">
        <v>2510</v>
      </c>
      <c r="C14" s="3444"/>
      <c r="D14" s="2545"/>
      <c r="E14" s="2545"/>
      <c r="F14" s="2546"/>
      <c r="G14" s="2547"/>
      <c r="H14" s="2554"/>
      <c r="I14" s="2544">
        <f>ROUND(D14*E14*F14*G14/10000,0)</f>
        <v>0</v>
      </c>
    </row>
    <row r="15" spans="1:9">
      <c r="A15" s="3443"/>
      <c r="B15" s="3445" t="s">
        <v>2499</v>
      </c>
      <c r="C15" s="3445"/>
      <c r="D15" s="2549"/>
      <c r="E15" s="2549">
        <f>SUM(E12:E14)</f>
        <v>0</v>
      </c>
      <c r="F15" s="2550"/>
      <c r="G15" s="2547"/>
      <c r="H15" s="2554"/>
      <c r="I15" s="2555">
        <f>SUM(I12:I14)</f>
        <v>0</v>
      </c>
    </row>
    <row r="16" spans="1:9" ht="24">
      <c r="A16" s="3443" t="s">
        <v>2511</v>
      </c>
      <c r="B16" s="3444" t="s">
        <v>2512</v>
      </c>
      <c r="C16" s="3444"/>
      <c r="D16" s="2545" t="s">
        <v>2513</v>
      </c>
      <c r="E16" s="2556" t="s">
        <v>2514</v>
      </c>
      <c r="F16" s="2546" t="s">
        <v>2515</v>
      </c>
      <c r="G16" s="2547" t="s">
        <v>2505</v>
      </c>
      <c r="H16" s="2553" t="s">
        <v>2506</v>
      </c>
      <c r="I16" s="2544" t="s">
        <v>2507</v>
      </c>
    </row>
    <row r="17" spans="1:9" ht="14.25">
      <c r="A17" s="3443"/>
      <c r="B17" s="3444" t="s">
        <v>2516</v>
      </c>
      <c r="C17" s="3444"/>
      <c r="D17" s="2545"/>
      <c r="E17" s="2545"/>
      <c r="F17" s="2546"/>
      <c r="G17" s="2547"/>
      <c r="H17" s="2557"/>
      <c r="I17" s="2558">
        <f>ROUND(D17*E17*F17*G17/10000,0)</f>
        <v>0</v>
      </c>
    </row>
    <row r="18" spans="1:9" ht="14.25">
      <c r="A18" s="3443"/>
      <c r="B18" s="3444" t="s">
        <v>2517</v>
      </c>
      <c r="C18" s="3444"/>
      <c r="D18" s="2545"/>
      <c r="E18" s="2545"/>
      <c r="F18" s="2546"/>
      <c r="G18" s="2547"/>
      <c r="H18" s="2557"/>
      <c r="I18" s="2558">
        <f>ROUND(D18*E18*F18*G18/10000,0)</f>
        <v>0</v>
      </c>
    </row>
    <row r="19" spans="1:9" ht="14.25">
      <c r="A19" s="3443"/>
      <c r="B19" s="3444" t="s">
        <v>2518</v>
      </c>
      <c r="C19" s="3444"/>
      <c r="D19" s="2545"/>
      <c r="E19" s="2545"/>
      <c r="F19" s="2546"/>
      <c r="G19" s="2547"/>
      <c r="H19" s="2557"/>
      <c r="I19" s="2558">
        <f>ROUND(D19*E19*F19*G19/10000,0)</f>
        <v>0</v>
      </c>
    </row>
    <row r="20" spans="1:9">
      <c r="A20" s="3443"/>
      <c r="B20" s="3445" t="s">
        <v>2499</v>
      </c>
      <c r="C20" s="3445"/>
      <c r="D20" s="2549">
        <f>SUM(D17:D19)</f>
        <v>0</v>
      </c>
      <c r="E20" s="2549"/>
      <c r="F20" s="2550"/>
      <c r="G20" s="2547"/>
      <c r="H20" s="2554"/>
      <c r="I20" s="2555">
        <f>SUM(I17:I19)</f>
        <v>0</v>
      </c>
    </row>
    <row r="21" spans="1:9">
      <c r="A21" s="3443" t="s">
        <v>2519</v>
      </c>
      <c r="B21" s="3446"/>
      <c r="C21" s="3446"/>
      <c r="D21" s="3446"/>
      <c r="E21" s="3446"/>
      <c r="F21" s="3446"/>
      <c r="G21" s="3446"/>
      <c r="H21" s="2559">
        <v>0.1</v>
      </c>
      <c r="I21" s="2552">
        <f>ROUND(I10*H21,0)</f>
        <v>0</v>
      </c>
    </row>
    <row r="22" spans="1:9" ht="14.25">
      <c r="A22" s="3447" t="s">
        <v>2520</v>
      </c>
      <c r="B22" s="3448"/>
      <c r="C22" s="3449"/>
      <c r="D22" s="2560" t="s">
        <v>2521</v>
      </c>
      <c r="E22" s="2560" t="s">
        <v>2522</v>
      </c>
      <c r="F22" s="2561" t="s">
        <v>2523</v>
      </c>
      <c r="G22" s="2561" t="s">
        <v>2524</v>
      </c>
      <c r="H22" s="2553" t="s">
        <v>2525</v>
      </c>
      <c r="I22" s="2544" t="s">
        <v>2526</v>
      </c>
    </row>
    <row r="23" spans="1:9" ht="14.25" thickBot="1">
      <c r="A23" s="3450"/>
      <c r="B23" s="3451"/>
      <c r="C23" s="3452"/>
      <c r="D23" s="2562"/>
      <c r="E23" s="2562"/>
      <c r="F23" s="2562"/>
      <c r="G23" s="2563"/>
      <c r="H23" s="2564"/>
      <c r="I23" s="2565">
        <f>ROUND(E23*D23*F23*(1-G23)/10000,0)</f>
        <v>0</v>
      </c>
    </row>
    <row r="26" spans="1:9">
      <c r="A26" s="2566" t="s">
        <v>2527</v>
      </c>
      <c r="B26" s="2566"/>
      <c r="C26" s="2566"/>
      <c r="D26" s="2566"/>
      <c r="E26" s="3440">
        <f>C27-C30-C31-C32</f>
        <v>0</v>
      </c>
      <c r="F26" s="3440"/>
      <c r="G26" s="3440"/>
      <c r="H26" s="3084" t="s">
        <v>2858</v>
      </c>
    </row>
    <row r="27" spans="1:9">
      <c r="A27" s="2567">
        <v>1</v>
      </c>
      <c r="B27" s="2568" t="s">
        <v>2528</v>
      </c>
      <c r="C27" s="2568"/>
      <c r="D27" s="2568"/>
      <c r="E27" s="3441"/>
      <c r="F27" s="3441"/>
      <c r="G27" s="3441"/>
    </row>
    <row r="28" spans="1:9">
      <c r="A28" s="2569" t="s">
        <v>2529</v>
      </c>
      <c r="B28" s="2568" t="s">
        <v>2530</v>
      </c>
      <c r="C28" s="2568"/>
      <c r="D28" s="2568"/>
      <c r="E28" s="3441"/>
      <c r="F28" s="3441"/>
      <c r="G28" s="3441"/>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42"/>
      <c r="F32" s="3442"/>
      <c r="G32" s="3442"/>
    </row>
    <row r="33" spans="1:7" hidden="1">
      <c r="A33" s="3437" t="s">
        <v>2538</v>
      </c>
      <c r="B33" s="3438"/>
      <c r="C33" s="3438"/>
      <c r="D33" s="3439"/>
      <c r="E33" s="3440"/>
      <c r="F33" s="3440"/>
      <c r="G33" s="3440"/>
    </row>
    <row r="34" spans="1:7" hidden="1">
      <c r="A34" s="2571">
        <v>1</v>
      </c>
      <c r="B34" s="2568" t="s">
        <v>2539</v>
      </c>
      <c r="C34" s="2568"/>
      <c r="D34" s="2568"/>
      <c r="E34" s="3441"/>
      <c r="F34" s="3441"/>
      <c r="G34" s="3441"/>
    </row>
    <row r="35" spans="1:7" hidden="1">
      <c r="A35" s="2571">
        <v>2</v>
      </c>
      <c r="B35" s="2568" t="s">
        <v>2540</v>
      </c>
      <c r="C35" s="2568"/>
      <c r="D35" s="2568"/>
      <c r="E35" s="3441"/>
      <c r="F35" s="3441"/>
      <c r="G35" s="3441"/>
    </row>
    <row r="36" spans="1:7" hidden="1">
      <c r="A36" s="2571">
        <v>3</v>
      </c>
      <c r="B36" s="2568" t="s">
        <v>2541</v>
      </c>
      <c r="C36" s="2568"/>
      <c r="D36" s="2568"/>
      <c r="E36" s="3441"/>
      <c r="F36" s="3441"/>
      <c r="G36" s="3441"/>
    </row>
    <row r="37" spans="1:7" hidden="1">
      <c r="A37" s="2571">
        <v>4</v>
      </c>
      <c r="B37" s="2568" t="s">
        <v>2542</v>
      </c>
      <c r="C37" s="2568"/>
      <c r="D37" s="2568"/>
      <c r="E37" s="3441"/>
      <c r="F37" s="3441"/>
      <c r="G37" s="3441"/>
    </row>
    <row r="38" spans="1:7" hidden="1">
      <c r="A38" s="3437" t="s">
        <v>2543</v>
      </c>
      <c r="B38" s="3438"/>
      <c r="C38" s="3438"/>
      <c r="D38" s="3439"/>
      <c r="E38" s="3440"/>
      <c r="F38" s="3440"/>
      <c r="G38" s="34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72811</v>
      </c>
      <c r="E10" s="752">
        <f>'数据-取费表'!B31</f>
        <v>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1176</v>
      </c>
      <c r="D12" s="761">
        <f>'数据-汇总表'!E5</f>
        <v>40541</v>
      </c>
      <c r="E12" s="760">
        <f>'数据-取费表'!B27</f>
        <v>290</v>
      </c>
      <c r="F12" s="758"/>
      <c r="G12" s="762"/>
    </row>
    <row r="13" spans="1:25" s="2194" customFormat="1" ht="13.5" customHeight="1">
      <c r="A13" s="2512" t="s">
        <v>2457</v>
      </c>
      <c r="B13" s="759" t="s">
        <v>613</v>
      </c>
      <c r="C13" s="760">
        <f>ROUND(D13*E13/10000,0)</f>
        <v>1033</v>
      </c>
      <c r="D13" s="761">
        <f>'数据-汇总表'!E6</f>
        <v>32270</v>
      </c>
      <c r="E13" s="760">
        <f>'数据-取费表'!B28</f>
        <v>320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0.14000000000000001</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0.91500000000000004</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30" sqref="J30"/>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3278</v>
      </c>
      <c r="D1" s="2057"/>
      <c r="E1" s="2423" t="s">
        <v>2384</v>
      </c>
      <c r="F1" s="2424">
        <f ca="1">J53</f>
        <v>48.15</v>
      </c>
      <c r="G1" s="777">
        <f>MATCH(C1,'数据-取费表'!A6:A16,0)+5</f>
        <v>8</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7930</v>
      </c>
      <c r="C2" s="2065"/>
      <c r="D2" s="2063"/>
      <c r="E2" s="2064"/>
      <c r="F2" s="2064"/>
      <c r="G2" s="1596"/>
      <c r="H2" s="2065"/>
      <c r="I2" s="2065"/>
      <c r="J2" s="2065"/>
      <c r="K2" s="2066"/>
      <c r="L2" s="2065"/>
      <c r="M2" s="2065"/>
    </row>
    <row r="3" spans="1:33" ht="18" customHeight="1" thickBot="1">
      <c r="A3" s="836" t="s">
        <v>1731</v>
      </c>
      <c r="B3" s="837">
        <f ca="1">IF(ISERROR(B2*10000/F43),0,ROUND(B2*10000/F43,0))</f>
        <v>4621</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451</v>
      </c>
      <c r="D5" s="2532" t="s">
        <v>2472</v>
      </c>
      <c r="E5" s="2526"/>
      <c r="F5" s="2527"/>
      <c r="G5" s="1598"/>
      <c r="H5" s="784">
        <v>1</v>
      </c>
      <c r="I5" s="785" t="s">
        <v>2469</v>
      </c>
      <c r="J5" s="55">
        <f ca="1">J6+J10+J12</f>
        <v>0</v>
      </c>
      <c r="K5" s="2532" t="s">
        <v>2472</v>
      </c>
      <c r="L5" s="2526"/>
      <c r="M5" s="2527"/>
    </row>
    <row r="6" spans="1:33" ht="18" customHeight="1">
      <c r="A6" s="1837" t="s">
        <v>1829</v>
      </c>
      <c r="B6" s="3431" t="s">
        <v>2474</v>
      </c>
      <c r="C6" s="786">
        <f ca="1">ROUND(F6*F8*F7*(1-F9)/10000,0)</f>
        <v>451</v>
      </c>
      <c r="D6" s="2533" t="s">
        <v>2473</v>
      </c>
      <c r="E6" s="787" t="s">
        <v>1742</v>
      </c>
      <c r="F6" s="788">
        <f ca="1">INDIRECT("'数据-取费表'!u"&amp;$G$1)</f>
        <v>0.8</v>
      </c>
      <c r="G6" s="1598"/>
      <c r="H6" s="2540" t="s">
        <v>2480</v>
      </c>
      <c r="I6" s="3431" t="s">
        <v>2474</v>
      </c>
      <c r="J6" s="786">
        <f ca="1">ROUND(M6*M8*M7*(1-M9)/10000,0)</f>
        <v>0</v>
      </c>
      <c r="K6" s="344" t="s">
        <v>1741</v>
      </c>
      <c r="L6" s="787" t="s">
        <v>1742</v>
      </c>
      <c r="M6" s="788">
        <f ca="1">INDIRECT("'数据-取费表'!z"&amp;$G$1)</f>
        <v>0</v>
      </c>
    </row>
    <row r="7" spans="1:33" ht="18" customHeight="1">
      <c r="A7" s="2536"/>
      <c r="B7" s="3432"/>
      <c r="C7" s="791"/>
      <c r="D7" s="792"/>
      <c r="E7" s="787" t="s">
        <v>1743</v>
      </c>
      <c r="F7" s="788">
        <f ca="1">IF(INDIRECT("'数据-取费表'!ah"&amp;$G$1)="",INDIRECT("'数据-取费表'!k"&amp;$G$1),INDIRECT("'数据-取费表'!ah"&amp;$G$1))</f>
        <v>17160</v>
      </c>
      <c r="G7" s="1598"/>
      <c r="H7" s="2525"/>
      <c r="I7" s="3432"/>
      <c r="J7" s="791"/>
      <c r="K7" s="792"/>
      <c r="L7" s="787" t="s">
        <v>1743</v>
      </c>
      <c r="M7" s="788">
        <f ca="1">F7</f>
        <v>17160</v>
      </c>
    </row>
    <row r="8" spans="1:33" ht="18" customHeight="1">
      <c r="A8" s="2529"/>
      <c r="B8" s="3433"/>
      <c r="C8" s="791"/>
      <c r="D8" s="792"/>
      <c r="E8" s="787" t="s">
        <v>1744</v>
      </c>
      <c r="F8" s="788">
        <f ca="1">INDIRECT("'数据-取费表'!ai"&amp;$G$1)</f>
        <v>365</v>
      </c>
      <c r="G8" s="1598"/>
      <c r="H8" s="2525"/>
      <c r="I8" s="3433"/>
      <c r="J8" s="791"/>
      <c r="K8" s="792"/>
      <c r="L8" s="787" t="s">
        <v>1744</v>
      </c>
      <c r="M8" s="788">
        <f ca="1">INDIRECT("'数据-取费表'!ai"&amp;$G$1)</f>
        <v>365</v>
      </c>
    </row>
    <row r="9" spans="1:33" ht="18" customHeight="1">
      <c r="A9" s="789"/>
      <c r="B9" s="3434"/>
      <c r="C9" s="791"/>
      <c r="D9" s="792"/>
      <c r="E9" s="787" t="s">
        <v>1745</v>
      </c>
      <c r="F9" s="797">
        <f ca="1">INDIRECT("'数据-取费表'!w"&amp;$G$1)</f>
        <v>0.1</v>
      </c>
      <c r="G9" s="1598"/>
      <c r="H9" s="2541"/>
      <c r="I9" s="3433"/>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0</v>
      </c>
      <c r="D10" s="2537" t="s">
        <v>2477</v>
      </c>
      <c r="E10" s="2534" t="s">
        <v>2475</v>
      </c>
      <c r="F10" s="2657" t="s">
        <v>3281</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5088</v>
      </c>
      <c r="D13" s="1841" t="s">
        <v>2305</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3413</v>
      </c>
      <c r="D14" s="3170" t="s">
        <v>1749</v>
      </c>
      <c r="E14" s="3169"/>
      <c r="F14" s="808"/>
      <c r="G14" s="1598"/>
      <c r="H14" s="1655" t="s">
        <v>1835</v>
      </c>
      <c r="I14" s="2242" t="s">
        <v>2840</v>
      </c>
      <c r="J14" s="53">
        <f ca="1">C29</f>
        <v>5088</v>
      </c>
      <c r="K14" s="26"/>
      <c r="L14" s="804"/>
      <c r="M14" s="805"/>
    </row>
    <row r="15" spans="1:33" s="2072" customFormat="1" ht="18" customHeight="1" thickBot="1">
      <c r="A15" s="1654" t="s">
        <v>1890</v>
      </c>
      <c r="B15" s="787" t="s">
        <v>648</v>
      </c>
      <c r="C15" s="53">
        <f ca="1">ROUND(C14*F15,0)</f>
        <v>171</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127</v>
      </c>
      <c r="K16" s="1828" t="s">
        <v>1754</v>
      </c>
      <c r="L16" s="3172"/>
      <c r="M16" s="2527"/>
    </row>
    <row r="17" spans="1:33" s="2072" customFormat="1" ht="18" customHeight="1">
      <c r="A17" s="1654" t="s">
        <v>1892</v>
      </c>
      <c r="B17" s="787" t="s">
        <v>654</v>
      </c>
      <c r="C17" s="53">
        <f ca="1">ROUND(F17*(F43+INDIRECT("'数据-取费表'!S"&amp;$G$1))/10000,0)</f>
        <v>379</v>
      </c>
      <c r="D17" s="787" t="s">
        <v>1755</v>
      </c>
      <c r="E17" s="787" t="s">
        <v>1756</v>
      </c>
      <c r="F17" s="56">
        <f>'数据-取费表'!B35</f>
        <v>200</v>
      </c>
      <c r="G17" s="1599"/>
      <c r="H17" s="1655" t="s">
        <v>1835</v>
      </c>
      <c r="I17" s="787" t="s">
        <v>657</v>
      </c>
      <c r="J17" s="53">
        <f ca="1">ROUND(IF(项目基本情况!B11="自然人",J5*M17,J18+J19+J20),0)</f>
        <v>51</v>
      </c>
      <c r="K17" s="3170" t="s">
        <v>1757</v>
      </c>
      <c r="L17" s="3171"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51</v>
      </c>
      <c r="D18" s="787" t="s">
        <v>1750</v>
      </c>
      <c r="E18" s="787" t="s">
        <v>1751</v>
      </c>
      <c r="F18" s="812">
        <f>'数据-取费表'!B36</f>
        <v>1.4999999999999999E-2</v>
      </c>
      <c r="G18" s="1599"/>
      <c r="H18" s="1654" t="s">
        <v>1889</v>
      </c>
      <c r="I18" s="787" t="s">
        <v>1759</v>
      </c>
      <c r="J18" s="53">
        <f ca="1">ROUND(J5*M18/1.05,1)</f>
        <v>0</v>
      </c>
      <c r="K18" s="3171"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4014</v>
      </c>
      <c r="D19" s="261" t="s">
        <v>1761</v>
      </c>
      <c r="E19" s="3173"/>
      <c r="F19" s="56"/>
      <c r="G19" s="1598"/>
      <c r="H19" s="1654" t="s">
        <v>1890</v>
      </c>
      <c r="I19" s="787" t="s">
        <v>1762</v>
      </c>
      <c r="J19" s="53">
        <f ca="1">IF(K19="按租金收入计税",ROUND(J5*M19,1),ROUND(C29*F33*0.7,1))</f>
        <v>42.7</v>
      </c>
      <c r="K19" s="814" t="s">
        <v>666</v>
      </c>
      <c r="L19" s="787" t="s">
        <v>1751</v>
      </c>
      <c r="M19" s="812">
        <f>IF(K19="按租金收入计税",'数据-取费表'!B51,'数据-取费表'!B50)</f>
        <v>1.2E-2</v>
      </c>
    </row>
    <row r="20" spans="1:33" s="2072" customFormat="1" ht="18" customHeight="1">
      <c r="A20" s="1655" t="s">
        <v>1894</v>
      </c>
      <c r="B20" s="787" t="s">
        <v>667</v>
      </c>
      <c r="C20" s="53">
        <f ca="1">ROUND(C19*F20,0)</f>
        <v>80</v>
      </c>
      <c r="D20" s="815" t="s">
        <v>1763</v>
      </c>
      <c r="E20" s="787" t="s">
        <v>1751</v>
      </c>
      <c r="F20" s="812">
        <f>'数据-取费表'!B37</f>
        <v>0.02</v>
      </c>
      <c r="G20" s="1599"/>
      <c r="H20" s="1657" t="s">
        <v>1885</v>
      </c>
      <c r="I20" s="344" t="s">
        <v>1764</v>
      </c>
      <c r="J20" s="54">
        <f ca="1">ROUND(M20*M21/10000,0)</f>
        <v>8</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2306</v>
      </c>
      <c r="E21" s="787" t="s">
        <v>1769</v>
      </c>
      <c r="F21" s="812">
        <f>'数据-取费表'!B38</f>
        <v>0.02</v>
      </c>
      <c r="G21" s="1599"/>
      <c r="H21" s="2542"/>
      <c r="I21" s="796"/>
      <c r="J21" s="69"/>
      <c r="K21" s="819"/>
      <c r="L21" s="787" t="s">
        <v>1770</v>
      </c>
      <c r="M21" s="788">
        <f ca="1">INDIRECT("'数据-取费表'!r"&amp;$G$1)</f>
        <v>5094.6499999999996</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3173"/>
      <c r="F22" s="56"/>
      <c r="G22" s="1598"/>
      <c r="H22" s="1655" t="s">
        <v>1894</v>
      </c>
      <c r="I22" s="787" t="s">
        <v>1772</v>
      </c>
      <c r="J22" s="53">
        <f ca="1">ROUND(J14*M22,0)</f>
        <v>76</v>
      </c>
      <c r="K22" s="3171"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194</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3171"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0.01</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3173"/>
      <c r="F25" s="56"/>
      <c r="G25" s="1598"/>
      <c r="H25" s="1836" t="s">
        <v>1780</v>
      </c>
      <c r="I25" s="3050" t="s">
        <v>2837</v>
      </c>
      <c r="J25" s="795">
        <f ca="1">J5-J16</f>
        <v>-127</v>
      </c>
      <c r="K25" s="2584" t="s">
        <v>1781</v>
      </c>
      <c r="L25" s="2585"/>
      <c r="M25" s="2586"/>
    </row>
    <row r="26" spans="1:33" ht="18" customHeight="1">
      <c r="A26" s="1654" t="s">
        <v>1836</v>
      </c>
      <c r="B26" s="787" t="s">
        <v>2448</v>
      </c>
      <c r="C26" s="53">
        <f ca="1">ROUND((C19+C20)*F26,0)</f>
        <v>409</v>
      </c>
      <c r="D26" s="815" t="s">
        <v>1782</v>
      </c>
      <c r="E26" s="798" t="s">
        <v>1783</v>
      </c>
      <c r="F26" s="797">
        <f ca="1">INDIRECT("'数据-取费表'!q"&amp;$G$1)</f>
        <v>0.1</v>
      </c>
      <c r="G26" s="1598"/>
      <c r="H26" s="2538" t="s">
        <v>1784</v>
      </c>
      <c r="I26" s="2243" t="s">
        <v>2842</v>
      </c>
      <c r="J26" s="786">
        <f ca="1">IF(J5&lt;&gt;0,ROUND(J25*(1-((1+M28)/(1+M26))^M27)/(M26-M28),0),0)</f>
        <v>0</v>
      </c>
      <c r="K26" s="817" t="s">
        <v>1785</v>
      </c>
      <c r="L26" s="787" t="s">
        <v>2429</v>
      </c>
      <c r="M26" s="797">
        <f ca="1">INDIRECT("'数据-取费表'!I"&amp;$G$1)</f>
        <v>4.4999999999999998E-2</v>
      </c>
    </row>
    <row r="27" spans="1:33" ht="18" customHeight="1">
      <c r="A27" s="1654" t="s">
        <v>1837</v>
      </c>
      <c r="B27" s="787" t="s">
        <v>687</v>
      </c>
      <c r="C27" s="53">
        <f ca="1">ROUND(F21*F26,4)</f>
        <v>2E-3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2307</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2308</v>
      </c>
      <c r="C29" s="2580">
        <f ca="1">ROUND((C19+C20+C23+C26)/(1-F21-C24-C27-C28),0)</f>
        <v>5088</v>
      </c>
      <c r="D29" s="2581"/>
      <c r="E29" s="2582"/>
      <c r="F29" s="2583"/>
      <c r="G29" s="1599"/>
      <c r="H29" s="826" t="s">
        <v>1791</v>
      </c>
      <c r="I29" s="827" t="s">
        <v>1792</v>
      </c>
      <c r="J29" s="828">
        <f ca="1">ROUND(J26/(1+F40)^F41,0)</f>
        <v>0</v>
      </c>
      <c r="K29" s="829" t="s">
        <v>1793</v>
      </c>
      <c r="L29" s="830"/>
      <c r="M29" s="831">
        <f ca="1">INDIRECT("'数据-取费表'!k"&amp;$G$1)</f>
        <v>17160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163</v>
      </c>
      <c r="D30" s="1828" t="s">
        <v>1795</v>
      </c>
      <c r="E30" s="3172"/>
      <c r="F30" s="2527"/>
      <c r="G30" s="2070"/>
      <c r="H30" s="2073"/>
      <c r="I30" s="2074"/>
      <c r="J30" s="2075"/>
      <c r="K30" s="2076"/>
      <c r="L30" s="2077"/>
      <c r="M30" s="2078"/>
    </row>
    <row r="31" spans="1:33" ht="18" customHeight="1">
      <c r="A31" s="1655" t="s">
        <v>1835</v>
      </c>
      <c r="B31" s="787" t="s">
        <v>657</v>
      </c>
      <c r="C31" s="53">
        <f ca="1">ROUND(IF(项目基本情况!B11="自然人",C5*F31,C32+C33+C34),1)</f>
        <v>74.599999999999994</v>
      </c>
      <c r="D31" s="3170" t="s">
        <v>1796</v>
      </c>
      <c r="E31" s="3171"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24.3</v>
      </c>
      <c r="D32" s="3171"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42.7</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7.6</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5094.6499999999996</v>
      </c>
      <c r="G35" s="2070"/>
      <c r="H35" s="2073"/>
      <c r="I35" s="840" t="s">
        <v>1819</v>
      </c>
      <c r="J35" s="841">
        <f ca="1">ROUND(C13*J36,0)</f>
        <v>432</v>
      </c>
      <c r="K35" s="2086"/>
      <c r="L35" s="2085"/>
      <c r="M35" s="2085"/>
    </row>
    <row r="36" spans="1:18" ht="18" customHeight="1">
      <c r="A36" s="1655" t="s">
        <v>1894</v>
      </c>
      <c r="B36" s="787" t="s">
        <v>1806</v>
      </c>
      <c r="C36" s="53">
        <f ca="1">ROUND(C29*F36,1)</f>
        <v>76.3</v>
      </c>
      <c r="D36" s="3171"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7.6</v>
      </c>
      <c r="D37" s="3171"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4.5</v>
      </c>
      <c r="D38" s="2581" t="s">
        <v>1809</v>
      </c>
      <c r="E38" s="2582" t="s">
        <v>1800</v>
      </c>
      <c r="F38" s="2578">
        <f ca="1">INDIRECT("'数据-取费表'!Am"&amp;$G$1)</f>
        <v>0.01</v>
      </c>
      <c r="G38" s="2070"/>
      <c r="H38" s="2085"/>
      <c r="I38" s="846" t="s">
        <v>1822</v>
      </c>
      <c r="J38" s="847"/>
      <c r="K38" s="2091"/>
      <c r="L38" s="2085"/>
      <c r="M38" s="2085"/>
    </row>
    <row r="39" spans="1:18" ht="24.6" customHeight="1" thickTop="1">
      <c r="A39" s="1836" t="s">
        <v>1899</v>
      </c>
      <c r="B39" s="3050" t="s">
        <v>2837</v>
      </c>
      <c r="C39" s="795">
        <f ca="1">C5-C30</f>
        <v>288</v>
      </c>
      <c r="D39" s="2584" t="s">
        <v>1810</v>
      </c>
      <c r="E39" s="2585"/>
      <c r="F39" s="2586"/>
      <c r="G39" s="2070"/>
      <c r="H39" s="2085"/>
      <c r="I39" s="840" t="s">
        <v>1823</v>
      </c>
      <c r="J39" s="848">
        <f ca="1">ROUND(J35/C39,3)</f>
        <v>1.5</v>
      </c>
      <c r="K39" s="2091"/>
      <c r="L39" s="2085"/>
      <c r="M39" s="2085"/>
    </row>
    <row r="40" spans="1:18" ht="18" customHeight="1">
      <c r="A40" s="784" t="s">
        <v>1900</v>
      </c>
      <c r="B40" s="2243" t="s">
        <v>2309</v>
      </c>
      <c r="C40" s="786">
        <f ca="1">ROUND(C39*(1-((1+F42)/(1+F40))^F41)/(F40-F42),0)</f>
        <v>7930</v>
      </c>
      <c r="D40" s="817" t="s">
        <v>1811</v>
      </c>
      <c r="E40" s="787" t="s">
        <v>2429</v>
      </c>
      <c r="F40" s="797">
        <f ca="1">INDIRECT("'数据-取费表'!I"&amp;$G$1)</f>
        <v>4.4999999999999998E-2</v>
      </c>
      <c r="G40" s="2070"/>
      <c r="H40" s="2070"/>
      <c r="I40" s="840" t="s">
        <v>1824</v>
      </c>
      <c r="J40" s="848">
        <f ca="1">1-J39</f>
        <v>-0.5</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48.15</v>
      </c>
      <c r="G41" s="2070"/>
      <c r="H41" s="1995"/>
      <c r="I41" s="846" t="s">
        <v>1825</v>
      </c>
      <c r="J41" s="849"/>
      <c r="K41" s="2090"/>
      <c r="L41" s="1995"/>
      <c r="M41" s="1995"/>
    </row>
    <row r="42" spans="1:18" ht="18" customHeight="1">
      <c r="A42" s="793"/>
      <c r="B42" s="794"/>
      <c r="C42" s="795"/>
      <c r="D42" s="819"/>
      <c r="E42" s="787" t="s">
        <v>1814</v>
      </c>
      <c r="F42" s="797">
        <f ca="1">INDIRECT("'数据-取费表'!v"&amp;$G$1)</f>
        <v>0.02</v>
      </c>
      <c r="G42" s="2070"/>
      <c r="H42" s="1995"/>
      <c r="I42" s="850" t="s">
        <v>1826</v>
      </c>
      <c r="J42" s="848">
        <f ca="1">ROUND(C13/C40,3)</f>
        <v>0.64200000000000002</v>
      </c>
      <c r="K42" s="2090"/>
      <c r="L42" s="1995"/>
      <c r="M42" s="1995"/>
    </row>
    <row r="43" spans="1:18" ht="18" customHeight="1" thickBot="1">
      <c r="A43" s="826" t="s">
        <v>1791</v>
      </c>
      <c r="B43" s="827" t="s">
        <v>1815</v>
      </c>
      <c r="C43" s="828">
        <f ca="1">ROUND(C40*10000/F43,0)</f>
        <v>4621</v>
      </c>
      <c r="D43" s="829" t="s">
        <v>1816</v>
      </c>
      <c r="E43" s="830" t="s">
        <v>1817</v>
      </c>
      <c r="F43" s="831">
        <f ca="1">INDIRECT("'数据-取费表'!k"&amp;$G$1)</f>
        <v>17160</v>
      </c>
      <c r="G43" s="2070"/>
      <c r="H43" s="1995"/>
      <c r="I43" s="850" t="s">
        <v>1827</v>
      </c>
      <c r="J43" s="851">
        <f ca="1">1-J42</f>
        <v>0.35799999999999998</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2303</v>
      </c>
      <c r="B46" s="2093"/>
      <c r="C46" s="2610">
        <f ca="1">C67-C40</f>
        <v>-10550</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3027</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2304</v>
      </c>
      <c r="F48" s="2388"/>
      <c r="G48" s="2098"/>
      <c r="I48" s="2394" t="s">
        <v>2354</v>
      </c>
      <c r="J48" s="2401" t="s">
        <v>2360</v>
      </c>
      <c r="K48" s="2402" t="s">
        <v>2361</v>
      </c>
      <c r="L48" s="2403">
        <f ca="1">INDIRECT("'数据-取费表'!f"&amp;$G$1)</f>
        <v>48.15</v>
      </c>
      <c r="O48" s="2434" t="s">
        <v>2389</v>
      </c>
      <c r="P48" s="2435" t="s">
        <v>2415</v>
      </c>
      <c r="Q48" s="2436">
        <f ca="1">C40+J29</f>
        <v>7930</v>
      </c>
      <c r="R48" s="2435" t="s">
        <v>2390</v>
      </c>
    </row>
    <row r="49" spans="1:18" s="2067" customFormat="1" ht="18" customHeight="1" thickBot="1">
      <c r="A49" s="789"/>
      <c r="B49" s="790"/>
      <c r="C49" s="791"/>
      <c r="D49" s="792"/>
      <c r="E49" s="787" t="s">
        <v>1743</v>
      </c>
      <c r="F49" s="788">
        <f ca="1">F7</f>
        <v>17160</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5088</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-46630183</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c r="K52" s="2396" t="s">
        <v>2430</v>
      </c>
      <c r="L52" s="2410"/>
      <c r="O52" s="2437" t="s">
        <v>2396</v>
      </c>
      <c r="P52" s="2435" t="s">
        <v>2397</v>
      </c>
      <c r="Q52" s="2438">
        <f>J52</f>
        <v>0</v>
      </c>
      <c r="R52" s="2439"/>
    </row>
    <row r="53" spans="1:18" s="2067" customFormat="1" ht="39.75" customHeight="1" thickBot="1">
      <c r="A53" s="789"/>
      <c r="B53" s="2531" t="s">
        <v>2585</v>
      </c>
      <c r="C53" s="2535"/>
      <c r="D53" s="2537"/>
      <c r="E53" s="2534"/>
      <c r="F53" s="803"/>
      <c r="I53" s="2397" t="s">
        <v>2358</v>
      </c>
      <c r="J53" s="2411">
        <f ca="1">IF(M47="住宅",J51,MIN(J51,L48))</f>
        <v>48.15</v>
      </c>
      <c r="K53" s="3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36"/>
      <c r="O53" s="2437" t="s">
        <v>2398</v>
      </c>
      <c r="P53" s="2435" t="s">
        <v>2399</v>
      </c>
      <c r="Q53" s="2436">
        <f ca="1">J53</f>
        <v>48.15</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7930</v>
      </c>
      <c r="R54" s="2439" t="s">
        <v>2402</v>
      </c>
    </row>
    <row r="55" spans="1:18" s="2067" customFormat="1" ht="18" customHeight="1" thickTop="1" thickBot="1">
      <c r="A55" s="800">
        <v>2</v>
      </c>
      <c r="B55" s="801" t="s">
        <v>645</v>
      </c>
      <c r="C55" s="802">
        <f ca="1">C13</f>
        <v>5088</v>
      </c>
      <c r="D55" s="798"/>
      <c r="E55" s="798"/>
      <c r="F55" s="803"/>
      <c r="I55" s="3142" t="s">
        <v>2365</v>
      </c>
      <c r="J55" s="3141" t="e">
        <f ca="1">ROUND(IF(J47="钢混",J57/J50,1-(1-2%)*(J50-J57)/J50),3)</f>
        <v>#VALUE!</v>
      </c>
      <c r="K55" s="2412" t="s">
        <v>2366</v>
      </c>
      <c r="L55" s="2413"/>
      <c r="O55" s="2440" t="s">
        <v>2421</v>
      </c>
      <c r="P55" s="1598"/>
      <c r="Q55" s="1610"/>
      <c r="R55" s="1598"/>
    </row>
    <row r="56" spans="1:18" s="2067" customFormat="1" ht="42.75" customHeight="1" thickBot="1">
      <c r="A56" s="1656"/>
      <c r="B56" s="2242" t="s">
        <v>2310</v>
      </c>
      <c r="C56" s="53">
        <f ca="1">C29</f>
        <v>5088</v>
      </c>
      <c r="D56" s="3171"/>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134</v>
      </c>
      <c r="D57" s="26" t="s">
        <v>1754</v>
      </c>
      <c r="E57" s="3173"/>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7930</v>
      </c>
      <c r="R57" s="2435" t="s">
        <v>2390</v>
      </c>
    </row>
    <row r="58" spans="1:18" s="2067" customFormat="1" ht="28.5" customHeight="1" thickBot="1">
      <c r="A58" s="1655" t="s">
        <v>1829</v>
      </c>
      <c r="B58" s="787" t="s">
        <v>657</v>
      </c>
      <c r="C58" s="53">
        <f ca="1">ROUND(IF(项目基本情况!B11="自然人",C47*F58,C59+C60+C61),1)</f>
        <v>50.3</v>
      </c>
      <c r="D58" s="3170" t="s">
        <v>658</v>
      </c>
      <c r="E58" s="3171" t="s">
        <v>691</v>
      </c>
      <c r="F58" s="813" t="str">
        <f ca="1">IF(项目基本情况!B11="企业","",IF(INDIRECT("'数据-取费表'!c"&amp;$G$1)="住宅",5%,IF(F48*F49*F50/12/(1+'数据-取费表'!C42)&gt;20000,12%,7%)))</f>
        <v/>
      </c>
      <c r="I58" s="2415" t="s">
        <v>2369</v>
      </c>
      <c r="J58" s="3143"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3171"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42.7</v>
      </c>
      <c r="D60" s="3171"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7.6</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5094.6499999999996</v>
      </c>
      <c r="I62" s="2420" t="s">
        <v>2377</v>
      </c>
      <c r="J62" s="2421" t="s">
        <v>2378</v>
      </c>
      <c r="K62" s="2421" t="s">
        <v>2379</v>
      </c>
      <c r="L62" s="2421" t="s">
        <v>2360</v>
      </c>
      <c r="M62" s="3144" t="s">
        <v>2956</v>
      </c>
      <c r="O62" s="2437" t="s">
        <v>2398</v>
      </c>
      <c r="P62" s="2435" t="s">
        <v>2406</v>
      </c>
      <c r="Q62" s="2436">
        <f ca="1">L59</f>
        <v>0</v>
      </c>
      <c r="R62" s="2439" t="s">
        <v>2407</v>
      </c>
    </row>
    <row r="63" spans="1:18" s="2067" customFormat="1" ht="15.75" thickBot="1">
      <c r="A63" s="1655" t="s">
        <v>1894</v>
      </c>
      <c r="B63" s="787" t="s">
        <v>677</v>
      </c>
      <c r="C63" s="53">
        <f ca="1">ROUND(C56*F63,1)</f>
        <v>76.3</v>
      </c>
      <c r="D63" s="3171" t="s">
        <v>1807</v>
      </c>
      <c r="E63" s="787" t="s">
        <v>1751</v>
      </c>
      <c r="F63" s="820">
        <f t="shared" ca="1" si="0"/>
        <v>1.4999999999999999E-2</v>
      </c>
      <c r="I63" s="2420" t="s">
        <v>2380</v>
      </c>
      <c r="J63" s="2421">
        <v>70</v>
      </c>
      <c r="K63" s="2421">
        <v>50</v>
      </c>
      <c r="L63" s="2421">
        <v>80</v>
      </c>
      <c r="M63" s="3145">
        <v>0.02</v>
      </c>
      <c r="O63" s="2434" t="s">
        <v>2401</v>
      </c>
      <c r="P63" s="2435" t="s">
        <v>2418</v>
      </c>
      <c r="Q63" s="2436">
        <f ca="1">Q57+Q58</f>
        <v>7930</v>
      </c>
      <c r="R63" s="2439" t="s">
        <v>2402</v>
      </c>
    </row>
    <row r="64" spans="1:18" s="2067" customFormat="1" ht="16.5" thickBot="1">
      <c r="A64" s="1655" t="s">
        <v>1895</v>
      </c>
      <c r="B64" s="787" t="s">
        <v>680</v>
      </c>
      <c r="C64" s="53">
        <f ca="1">ROUND(C55*F64,1)</f>
        <v>7.6</v>
      </c>
      <c r="D64" s="3171" t="s">
        <v>681</v>
      </c>
      <c r="E64" s="787" t="s">
        <v>1751</v>
      </c>
      <c r="F64" s="821">
        <f t="shared" ca="1" si="0"/>
        <v>1.5E-3</v>
      </c>
      <c r="I64" s="2420" t="s">
        <v>2381</v>
      </c>
      <c r="J64" s="2421">
        <v>50</v>
      </c>
      <c r="K64" s="2421">
        <v>35</v>
      </c>
      <c r="L64" s="2421">
        <v>60</v>
      </c>
      <c r="M64" s="3146">
        <v>0</v>
      </c>
      <c r="O64" s="2440" t="s">
        <v>2425</v>
      </c>
      <c r="P64" s="1598"/>
      <c r="Q64" s="1610"/>
      <c r="R64" s="1598"/>
    </row>
    <row r="65" spans="1:18" s="2067" customFormat="1" ht="15.75" thickBot="1">
      <c r="A65" s="1655" t="s">
        <v>1896</v>
      </c>
      <c r="B65" s="787" t="s">
        <v>667</v>
      </c>
      <c r="C65" s="53">
        <f ca="1">ROUND(C47*F65,1)</f>
        <v>0</v>
      </c>
      <c r="D65" s="3171" t="s">
        <v>684</v>
      </c>
      <c r="E65" s="787" t="s">
        <v>1751</v>
      </c>
      <c r="F65" s="797">
        <f t="shared" ca="1" si="0"/>
        <v>0.01</v>
      </c>
      <c r="I65" s="2420" t="s">
        <v>2382</v>
      </c>
      <c r="J65" s="2421">
        <v>40</v>
      </c>
      <c r="K65" s="2421">
        <v>30</v>
      </c>
      <c r="L65" s="2421">
        <v>50</v>
      </c>
      <c r="M65" s="3145">
        <v>0.02</v>
      </c>
      <c r="O65" s="2431" t="s">
        <v>2385</v>
      </c>
      <c r="P65" s="2432" t="s">
        <v>2386</v>
      </c>
      <c r="Q65" s="2433" t="s">
        <v>2387</v>
      </c>
      <c r="R65" s="2432" t="s">
        <v>2388</v>
      </c>
    </row>
    <row r="66" spans="1:18" s="2067" customFormat="1" ht="24.75" thickBot="1">
      <c r="A66" s="800" t="s">
        <v>1780</v>
      </c>
      <c r="B66" s="3051" t="s">
        <v>2837</v>
      </c>
      <c r="C66" s="802">
        <f ca="1">C47-C57</f>
        <v>-134</v>
      </c>
      <c r="D66" s="3170" t="s">
        <v>702</v>
      </c>
      <c r="E66" s="3168"/>
      <c r="F66" s="823"/>
      <c r="K66" s="2094"/>
      <c r="O66" s="2434" t="s">
        <v>2389</v>
      </c>
      <c r="P66" s="2435" t="s">
        <v>2419</v>
      </c>
      <c r="Q66" s="2436">
        <f ca="1">C40+J29</f>
        <v>7930</v>
      </c>
      <c r="R66" s="2435" t="s">
        <v>2390</v>
      </c>
    </row>
    <row r="67" spans="1:18" s="2067" customFormat="1" ht="20.25" thickBot="1">
      <c r="A67" s="784" t="s">
        <v>1784</v>
      </c>
      <c r="B67" s="2243" t="s">
        <v>2309</v>
      </c>
      <c r="C67" s="786">
        <f ca="1">ROUND(C66*(1-((1+F69)/(1+F67))^F68)/(F67-F69),0)</f>
        <v>-2620</v>
      </c>
      <c r="D67" s="817" t="s">
        <v>706</v>
      </c>
      <c r="E67" s="787" t="s">
        <v>707</v>
      </c>
      <c r="F67" s="797">
        <f ca="1">F40</f>
        <v>4.4999999999999998E-2</v>
      </c>
      <c r="K67" s="2094"/>
      <c r="O67" s="2434" t="s">
        <v>2391</v>
      </c>
      <c r="P67" s="2435" t="s">
        <v>2422</v>
      </c>
      <c r="Q67" s="2436">
        <f ca="1">L60</f>
        <v>0</v>
      </c>
      <c r="R67" s="2439" t="s">
        <v>2424</v>
      </c>
    </row>
    <row r="68" spans="1:18" ht="21.75" thickBot="1">
      <c r="A68" s="789"/>
      <c r="B68" s="790"/>
      <c r="C68" s="791"/>
      <c r="D68" s="824" t="s">
        <v>1812</v>
      </c>
      <c r="E68" s="787" t="s">
        <v>1788</v>
      </c>
      <c r="F68" s="825">
        <f ca="1">F41</f>
        <v>48.15</v>
      </c>
      <c r="O68" s="2437" t="s">
        <v>2393</v>
      </c>
      <c r="P68" s="2435" t="s">
        <v>2423</v>
      </c>
      <c r="Q68" s="2441">
        <f ca="1">L51</f>
        <v>-46630183</v>
      </c>
      <c r="R68" s="2442" t="s">
        <v>2426</v>
      </c>
    </row>
    <row r="69" spans="1:18" ht="20.25" thickBot="1">
      <c r="A69" s="793"/>
      <c r="B69" s="794"/>
      <c r="C69" s="795"/>
      <c r="D69" s="819"/>
      <c r="E69" s="787" t="s">
        <v>712</v>
      </c>
      <c r="F69" s="2382"/>
      <c r="O69" s="2437" t="s">
        <v>2394</v>
      </c>
      <c r="P69" s="2443" t="s">
        <v>2408</v>
      </c>
      <c r="Q69" s="2436">
        <f ca="1">ROUND(Q70-Q71*Q72,0)</f>
        <v>-144</v>
      </c>
      <c r="R69" s="2439"/>
    </row>
    <row r="70" spans="1:18" ht="15.75" thickBot="1">
      <c r="A70" s="826" t="s">
        <v>1791</v>
      </c>
      <c r="B70" s="827" t="s">
        <v>1815</v>
      </c>
      <c r="C70" s="828">
        <f ca="1">ROUND(C67*10000/F70,0)</f>
        <v>-1527</v>
      </c>
      <c r="D70" s="829" t="s">
        <v>1816</v>
      </c>
      <c r="E70" s="830" t="s">
        <v>1817</v>
      </c>
      <c r="F70" s="831">
        <f ca="1">F43</f>
        <v>17160</v>
      </c>
      <c r="O70" s="2437" t="s">
        <v>2409</v>
      </c>
      <c r="P70" s="2443" t="s">
        <v>2410</v>
      </c>
      <c r="Q70" s="2436">
        <f ca="1">C39</f>
        <v>288</v>
      </c>
      <c r="R70" s="2435" t="s">
        <v>2390</v>
      </c>
    </row>
    <row r="71" spans="1:18" ht="15.75" thickBot="1">
      <c r="O71" s="2437" t="s">
        <v>2411</v>
      </c>
      <c r="P71" s="2443" t="s">
        <v>2412</v>
      </c>
      <c r="Q71" s="2436">
        <f ca="1">C13</f>
        <v>5088</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7930</v>
      </c>
      <c r="R76" s="2439"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rintOptions horizontalCentered="1" verticalCentered="1"/>
  <pageMargins left="0.70866141732283472" right="0.70866141732283472" top="0.74803149606299213" bottom="0.74803149606299213" header="0.31496062992125984" footer="0.31496062992125984"/>
  <pageSetup paperSize="9" scale="2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4" zoomScaleNormal="100" workbookViewId="0">
      <selection activeCell="J57" sqref="J57"/>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3024</v>
      </c>
      <c r="E1" s="2662"/>
      <c r="F1" s="2847" t="s">
        <v>3228</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175048</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43178</v>
      </c>
      <c r="C3" s="855" t="s">
        <v>725</v>
      </c>
      <c r="D3" s="854">
        <f>SUMIF('数据-汇总表'!$C19:$C33,D1,'数据-汇总表'!$E19:$E33)</f>
        <v>40541</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69" t="s">
        <v>523</v>
      </c>
      <c r="D4" s="3370"/>
      <c r="E4" s="3394" t="s">
        <v>524</v>
      </c>
      <c r="F4" s="3395"/>
      <c r="G4" s="3369" t="s">
        <v>525</v>
      </c>
      <c r="H4" s="3370"/>
      <c r="I4" s="3369" t="s">
        <v>526</v>
      </c>
      <c r="J4" s="3370"/>
      <c r="K4" s="856" t="s">
        <v>527</v>
      </c>
      <c r="L4" s="2144"/>
      <c r="M4" s="2145"/>
      <c r="N4" s="2145"/>
      <c r="O4" s="2145"/>
      <c r="P4" s="3371" t="s">
        <v>528</v>
      </c>
      <c r="Q4" s="3372"/>
      <c r="R4" s="3357" t="s">
        <v>524</v>
      </c>
      <c r="S4" s="3358"/>
      <c r="T4" s="3357" t="s">
        <v>525</v>
      </c>
      <c r="U4" s="3358"/>
      <c r="V4" s="3377" t="s">
        <v>526</v>
      </c>
      <c r="W4" s="3377"/>
      <c r="X4" s="1573"/>
      <c r="Y4" s="3357" t="s">
        <v>528</v>
      </c>
      <c r="Z4" s="3358"/>
      <c r="AA4" s="3352" t="s">
        <v>524</v>
      </c>
      <c r="AB4" s="3352" t="s">
        <v>525</v>
      </c>
      <c r="AC4" s="3352" t="s">
        <v>526</v>
      </c>
    </row>
    <row r="5" spans="1:29" ht="15">
      <c r="A5" s="518"/>
      <c r="B5" s="519"/>
      <c r="C5" s="3382" t="s">
        <v>2941</v>
      </c>
      <c r="D5" s="3381"/>
      <c r="E5" s="3458" t="s">
        <v>3265</v>
      </c>
      <c r="F5" s="3397"/>
      <c r="G5" s="3459" t="s">
        <v>3266</v>
      </c>
      <c r="H5" s="3381"/>
      <c r="I5" s="3459" t="s">
        <v>3227</v>
      </c>
      <c r="J5" s="3381"/>
      <c r="K5" s="857"/>
      <c r="L5" s="2144"/>
      <c r="M5" s="2145"/>
      <c r="N5" s="2145"/>
      <c r="O5" s="2145"/>
      <c r="P5" s="3373"/>
      <c r="Q5" s="3374"/>
      <c r="R5" s="3359"/>
      <c r="S5" s="3360"/>
      <c r="T5" s="3359"/>
      <c r="U5" s="3360"/>
      <c r="V5" s="3377"/>
      <c r="W5" s="3377"/>
      <c r="X5" s="1573"/>
      <c r="Y5" s="3359"/>
      <c r="Z5" s="3360"/>
      <c r="AA5" s="3353"/>
      <c r="AB5" s="3353"/>
      <c r="AC5" s="3353"/>
    </row>
    <row r="6" spans="1:29" ht="15.75" thickBot="1">
      <c r="A6" s="520"/>
      <c r="B6" s="521"/>
      <c r="C6" s="3378" t="s">
        <v>2945</v>
      </c>
      <c r="D6" s="3379"/>
      <c r="E6" s="3398" t="s">
        <v>2945</v>
      </c>
      <c r="F6" s="3399"/>
      <c r="G6" s="3378" t="s">
        <v>2945</v>
      </c>
      <c r="H6" s="3379"/>
      <c r="I6" s="3378" t="s">
        <v>2945</v>
      </c>
      <c r="J6" s="3379"/>
      <c r="K6" s="857" t="s">
        <v>529</v>
      </c>
      <c r="L6" s="2144"/>
      <c r="M6" s="2145"/>
      <c r="N6" s="2145"/>
      <c r="O6" s="2145"/>
      <c r="P6" s="3375"/>
      <c r="Q6" s="3376"/>
      <c r="R6" s="3359"/>
      <c r="S6" s="3360"/>
      <c r="T6" s="3361"/>
      <c r="U6" s="3362"/>
      <c r="V6" s="3377"/>
      <c r="W6" s="3377"/>
      <c r="X6" s="1573"/>
      <c r="Y6" s="3361"/>
      <c r="Z6" s="3362"/>
      <c r="AA6" s="3354"/>
      <c r="AB6" s="3354"/>
      <c r="AC6" s="3354"/>
    </row>
    <row r="7" spans="1:29" s="1223" customFormat="1" ht="15.75" thickBot="1">
      <c r="A7" s="2952"/>
      <c r="B7" s="2959" t="s">
        <v>530</v>
      </c>
      <c r="C7" s="522">
        <f>'数据-取费表'!B2</f>
        <v>43038</v>
      </c>
      <c r="D7" s="523">
        <v>100</v>
      </c>
      <c r="E7" s="524">
        <f>C7</f>
        <v>43038</v>
      </c>
      <c r="F7" s="525">
        <f>SUMIF(58:58,YEAR(E7)&amp;"-"&amp;MONTH(E7),59:59)</f>
        <v>100</v>
      </c>
      <c r="G7" s="526">
        <f>C7</f>
        <v>43038</v>
      </c>
      <c r="H7" s="523">
        <f>SUMIF(58:58,YEAR(G7)&amp;"-"&amp;MONTH(G7),59:59)</f>
        <v>100</v>
      </c>
      <c r="I7" s="526">
        <f>C7</f>
        <v>43038</v>
      </c>
      <c r="J7" s="523">
        <f>SUMIF(58:58,YEAR(I7)&amp;"-"&amp;MONTH(I7),59:59)</f>
        <v>100</v>
      </c>
      <c r="K7" s="858"/>
      <c r="L7" s="2146"/>
      <c r="M7" s="2147"/>
      <c r="N7" s="2147"/>
      <c r="O7" s="2147"/>
      <c r="P7" s="3355" t="s">
        <v>531</v>
      </c>
      <c r="Q7" s="3364"/>
      <c r="R7" s="1574" t="s">
        <v>13</v>
      </c>
      <c r="S7" s="1575">
        <f t="shared" ref="S7:S15" si="0">F7</f>
        <v>100</v>
      </c>
      <c r="T7" s="1574" t="s">
        <v>13</v>
      </c>
      <c r="U7" s="1575">
        <f t="shared" ref="U7:U15" si="1">H7</f>
        <v>100</v>
      </c>
      <c r="V7" s="1574" t="s">
        <v>13</v>
      </c>
      <c r="W7" s="1575">
        <f t="shared" ref="W7:W15" si="2">J7</f>
        <v>100</v>
      </c>
      <c r="X7" s="1576"/>
      <c r="Y7" s="3355" t="s">
        <v>531</v>
      </c>
      <c r="Z7" s="3356"/>
      <c r="AA7" s="1577">
        <f>D7/F7</f>
        <v>1</v>
      </c>
      <c r="AB7" s="1577">
        <f>D7/H7</f>
        <v>1</v>
      </c>
      <c r="AC7" s="1577">
        <f>D7/J7</f>
        <v>1</v>
      </c>
    </row>
    <row r="8" spans="1:29" s="1223" customFormat="1" ht="15.75" thickBot="1">
      <c r="A8" s="2953"/>
      <c r="B8" s="2960"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8"/>
      <c r="L8" s="2146"/>
      <c r="M8" s="2147"/>
      <c r="N8" s="2147"/>
      <c r="O8" s="2147"/>
      <c r="P8" s="3355" t="s">
        <v>534</v>
      </c>
      <c r="Q8" s="3356"/>
      <c r="R8" s="1574" t="s">
        <v>13</v>
      </c>
      <c r="S8" s="1575">
        <f t="shared" si="0"/>
        <v>100</v>
      </c>
      <c r="T8" s="1574" t="s">
        <v>13</v>
      </c>
      <c r="U8" s="1575">
        <f t="shared" si="1"/>
        <v>100</v>
      </c>
      <c r="V8" s="1574" t="s">
        <v>13</v>
      </c>
      <c r="W8" s="1575">
        <f t="shared" si="2"/>
        <v>100</v>
      </c>
      <c r="X8" s="1576"/>
      <c r="Y8" s="3355" t="s">
        <v>534</v>
      </c>
      <c r="Z8" s="3356"/>
      <c r="AA8" s="1577">
        <f t="shared" ref="AA8:AA46" si="3">D8/F8</f>
        <v>1</v>
      </c>
      <c r="AB8" s="1577">
        <f t="shared" ref="AB8:AB46" si="4">D8/H8</f>
        <v>1</v>
      </c>
      <c r="AC8" s="1577">
        <f t="shared" ref="AC8:AC46" si="5">D8/J8</f>
        <v>1</v>
      </c>
    </row>
    <row r="9" spans="1:29" s="1223" customFormat="1" ht="15">
      <c r="A9" s="2954"/>
      <c r="B9" s="2961" t="s">
        <v>2771</v>
      </c>
      <c r="C9" s="3159" t="s">
        <v>3204</v>
      </c>
      <c r="D9" s="254">
        <v>100</v>
      </c>
      <c r="E9" s="3159" t="s">
        <v>3204</v>
      </c>
      <c r="F9" s="862">
        <f>SUMIF(63:63,E9,64:64)-SUMIF(63:63,C9,64:64)+100</f>
        <v>100</v>
      </c>
      <c r="G9" s="3159" t="s">
        <v>3204</v>
      </c>
      <c r="H9" s="254">
        <f>SUMIF(63:63,G9,64:64)-SUMIF(63:63,C9,64:64)+100</f>
        <v>100</v>
      </c>
      <c r="I9" s="3159" t="s">
        <v>3204</v>
      </c>
      <c r="J9" s="254">
        <f>SUMIF(63:63,I9,64:64)-SUMIF(63:63,C9,64:64)+100</f>
        <v>100</v>
      </c>
      <c r="K9" s="858"/>
      <c r="L9" s="2146"/>
      <c r="M9" s="2147"/>
      <c r="N9" s="2147"/>
      <c r="O9" s="2148"/>
      <c r="P9" s="3363" t="s">
        <v>536</v>
      </c>
      <c r="Q9" s="1154" t="str">
        <f t="shared" ref="Q9:Q15" si="6">B9</f>
        <v>用途</v>
      </c>
      <c r="R9" s="1574" t="s">
        <v>8</v>
      </c>
      <c r="S9" s="1575">
        <f t="shared" si="0"/>
        <v>100</v>
      </c>
      <c r="T9" s="1574" t="s">
        <v>8</v>
      </c>
      <c r="U9" s="1575">
        <f t="shared" si="1"/>
        <v>100</v>
      </c>
      <c r="V9" s="1574" t="s">
        <v>8</v>
      </c>
      <c r="W9" s="1575">
        <f t="shared" si="2"/>
        <v>100</v>
      </c>
      <c r="X9" s="1576"/>
      <c r="Y9" s="3320" t="s">
        <v>537</v>
      </c>
      <c r="Z9" s="1153" t="str">
        <f t="shared" ref="Z9:Z15" si="7">Q9</f>
        <v>用途</v>
      </c>
      <c r="AA9" s="1577">
        <f t="shared" si="3"/>
        <v>1</v>
      </c>
      <c r="AB9" s="1577">
        <f t="shared" si="4"/>
        <v>1</v>
      </c>
      <c r="AC9" s="1577">
        <f t="shared" si="5"/>
        <v>1</v>
      </c>
    </row>
    <row r="10" spans="1:29" s="1341" customFormat="1" ht="27">
      <c r="A10" s="2955"/>
      <c r="B10" s="2960" t="s">
        <v>2772</v>
      </c>
      <c r="C10" s="864" t="s">
        <v>3205</v>
      </c>
      <c r="D10" s="255">
        <v>100</v>
      </c>
      <c r="E10" s="864" t="s">
        <v>3205</v>
      </c>
      <c r="F10" s="866">
        <f>SUMIF(65:65,E10,66:66)-SUMIF(65:65,C10,66:66)+100</f>
        <v>100</v>
      </c>
      <c r="G10" s="864" t="s">
        <v>3205</v>
      </c>
      <c r="H10" s="255">
        <f>SUMIF(65:65,G10,66:66)-SUMIF(65:65,C10,66:66)+100</f>
        <v>100</v>
      </c>
      <c r="I10" s="864" t="s">
        <v>3205</v>
      </c>
      <c r="J10" s="255">
        <f>SUMIF(65:65,I10,66:66)-SUMIF(65:65,C10,66:66)+100</f>
        <v>100</v>
      </c>
      <c r="K10" s="867"/>
      <c r="L10" s="2149"/>
      <c r="M10" s="2189"/>
      <c r="N10" s="2189"/>
      <c r="O10" s="2150"/>
      <c r="P10" s="3363"/>
      <c r="Q10" s="1154" t="str">
        <f t="shared" si="6"/>
        <v>土地使用年限（年）</v>
      </c>
      <c r="R10" s="1574" t="s">
        <v>8</v>
      </c>
      <c r="S10" s="1575">
        <f t="shared" si="0"/>
        <v>100</v>
      </c>
      <c r="T10" s="1574" t="s">
        <v>8</v>
      </c>
      <c r="U10" s="1575">
        <f t="shared" si="1"/>
        <v>100</v>
      </c>
      <c r="V10" s="1574" t="s">
        <v>8</v>
      </c>
      <c r="W10" s="1575">
        <f t="shared" si="2"/>
        <v>100</v>
      </c>
      <c r="X10" s="1576"/>
      <c r="Y10" s="3320"/>
      <c r="Z10" s="1153" t="str">
        <f t="shared" si="7"/>
        <v>土地使用年限（年）</v>
      </c>
      <c r="AA10" s="1577">
        <f t="shared" si="3"/>
        <v>1</v>
      </c>
      <c r="AB10" s="1577">
        <f t="shared" si="4"/>
        <v>1</v>
      </c>
      <c r="AC10" s="1577">
        <f t="shared" si="5"/>
        <v>1</v>
      </c>
    </row>
    <row r="11" spans="1:29" ht="15">
      <c r="A11" s="2956"/>
      <c r="B11" s="2960" t="s">
        <v>2773</v>
      </c>
      <c r="C11" s="536">
        <f>'数据-汇总表'!I6</f>
        <v>2.5</v>
      </c>
      <c r="D11" s="255">
        <v>100</v>
      </c>
      <c r="E11" s="537">
        <v>1.64</v>
      </c>
      <c r="F11" s="866">
        <f>LOOKUP(E11,68:68,69:69)-LOOKUP(C11,68:68,69:69)+100</f>
        <v>101</v>
      </c>
      <c r="G11" s="536">
        <v>4.57</v>
      </c>
      <c r="H11" s="255">
        <f>LOOKUP(G11,68:68,69:69)-LOOKUP(C11,68:68,69:69)+100</f>
        <v>98</v>
      </c>
      <c r="I11" s="536">
        <v>2</v>
      </c>
      <c r="J11" s="255">
        <f>LOOKUP(I11,68:68,69:69)-LOOKUP(C11,68:68,69:69)+100</f>
        <v>100</v>
      </c>
      <c r="K11" s="867">
        <v>1</v>
      </c>
      <c r="L11" s="2151"/>
      <c r="M11" s="2145"/>
      <c r="N11" s="2145"/>
      <c r="O11" s="2152"/>
      <c r="P11" s="3363"/>
      <c r="Q11" s="1154" t="str">
        <f t="shared" si="6"/>
        <v>容积率</v>
      </c>
      <c r="R11" s="1574" t="s">
        <v>11</v>
      </c>
      <c r="S11" s="1575">
        <f t="shared" si="0"/>
        <v>101</v>
      </c>
      <c r="T11" s="1574" t="s">
        <v>11</v>
      </c>
      <c r="U11" s="1575">
        <f t="shared" si="1"/>
        <v>98</v>
      </c>
      <c r="V11" s="1574" t="s">
        <v>11</v>
      </c>
      <c r="W11" s="1575">
        <f t="shared" si="2"/>
        <v>100</v>
      </c>
      <c r="X11" s="1576"/>
      <c r="Y11" s="3320"/>
      <c r="Z11" s="1153" t="str">
        <f t="shared" si="7"/>
        <v>容积率</v>
      </c>
      <c r="AA11" s="1577">
        <f t="shared" si="3"/>
        <v>0.99009900990099009</v>
      </c>
      <c r="AB11" s="1577">
        <f t="shared" si="4"/>
        <v>1.0204081632653061</v>
      </c>
      <c r="AC11" s="1577">
        <f t="shared" si="5"/>
        <v>1</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63"/>
      <c r="Q12" s="1154">
        <f t="shared" si="6"/>
        <v>111</v>
      </c>
      <c r="R12" s="1574" t="s">
        <v>11</v>
      </c>
      <c r="S12" s="1575">
        <f t="shared" si="0"/>
        <v>100</v>
      </c>
      <c r="T12" s="1574" t="s">
        <v>11</v>
      </c>
      <c r="U12" s="1575">
        <f t="shared" si="1"/>
        <v>100</v>
      </c>
      <c r="V12" s="1574" t="s">
        <v>11</v>
      </c>
      <c r="W12" s="1575">
        <f t="shared" si="2"/>
        <v>100</v>
      </c>
      <c r="X12" s="1576"/>
      <c r="Y12" s="3320"/>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63"/>
      <c r="Q13" s="1154">
        <f t="shared" si="6"/>
        <v>111</v>
      </c>
      <c r="R13" s="1574" t="s">
        <v>11</v>
      </c>
      <c r="S13" s="1575">
        <f t="shared" si="0"/>
        <v>100</v>
      </c>
      <c r="T13" s="1574" t="s">
        <v>11</v>
      </c>
      <c r="U13" s="1575">
        <f t="shared" si="1"/>
        <v>100</v>
      </c>
      <c r="V13" s="1574" t="s">
        <v>11</v>
      </c>
      <c r="W13" s="1575">
        <f t="shared" si="2"/>
        <v>100</v>
      </c>
      <c r="X13" s="1576"/>
      <c r="Y13" s="3320"/>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63"/>
      <c r="Q14" s="1154">
        <f t="shared" si="6"/>
        <v>111</v>
      </c>
      <c r="R14" s="1574" t="s">
        <v>11</v>
      </c>
      <c r="S14" s="1575">
        <f t="shared" si="0"/>
        <v>100</v>
      </c>
      <c r="T14" s="1574" t="s">
        <v>11</v>
      </c>
      <c r="U14" s="1575">
        <f t="shared" si="1"/>
        <v>100</v>
      </c>
      <c r="V14" s="1574" t="s">
        <v>11</v>
      </c>
      <c r="W14" s="1575">
        <f t="shared" si="2"/>
        <v>100</v>
      </c>
      <c r="X14" s="1576"/>
      <c r="Y14" s="3320"/>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估价对象周边居住用地比例、居住小区规模和社区发展完善程度，综合评价居住社区成熟度较好</v>
      </c>
      <c r="D15" s="552">
        <v>100</v>
      </c>
      <c r="E15" s="553"/>
      <c r="F15" s="554">
        <f>SUMIF(76:76,E16,77:77)-SUMIF(76:76,C16,77:77)+100</f>
        <v>98</v>
      </c>
      <c r="G15" s="555"/>
      <c r="H15" s="552">
        <f>SUMIF(76:76,G16,77:77)-SUMIF(76:76,C16,77:77)+100</f>
        <v>100</v>
      </c>
      <c r="I15" s="553"/>
      <c r="J15" s="552">
        <f>SUMIF(76:76,I16,77:77)-SUMIF(76:76,C16,77:77)+100</f>
        <v>100</v>
      </c>
      <c r="K15" s="871">
        <v>2</v>
      </c>
      <c r="L15" s="2153"/>
      <c r="M15" s="2145"/>
      <c r="N15" s="2145"/>
      <c r="O15" s="2152"/>
      <c r="P15" s="3365" t="s">
        <v>541</v>
      </c>
      <c r="Q15" s="1578" t="str">
        <f t="shared" si="6"/>
        <v>居住社区成熟度</v>
      </c>
      <c r="R15" s="1579" t="s">
        <v>11</v>
      </c>
      <c r="S15" s="1580">
        <f t="shared" si="0"/>
        <v>98</v>
      </c>
      <c r="T15" s="1579" t="s">
        <v>11</v>
      </c>
      <c r="U15" s="1580">
        <f t="shared" si="1"/>
        <v>100</v>
      </c>
      <c r="V15" s="1579" t="s">
        <v>11</v>
      </c>
      <c r="W15" s="1580">
        <f t="shared" si="2"/>
        <v>100</v>
      </c>
      <c r="X15" s="1573"/>
      <c r="Y15" s="3365" t="s">
        <v>541</v>
      </c>
      <c r="Z15" s="1581" t="str">
        <f t="shared" si="7"/>
        <v>居住社区成熟度</v>
      </c>
      <c r="AA15" s="1582">
        <f t="shared" si="3"/>
        <v>1.0204081632653061</v>
      </c>
      <c r="AB15" s="1582">
        <f t="shared" si="4"/>
        <v>1</v>
      </c>
      <c r="AC15" s="1582">
        <f t="shared" si="5"/>
        <v>1</v>
      </c>
    </row>
    <row r="16" spans="1:29" ht="15">
      <c r="A16" s="535"/>
      <c r="B16" s="872"/>
      <c r="C16" s="579" t="s">
        <v>3172</v>
      </c>
      <c r="D16" s="558"/>
      <c r="E16" s="559" t="s">
        <v>3192</v>
      </c>
      <c r="F16" s="560"/>
      <c r="G16" s="561" t="s">
        <v>3172</v>
      </c>
      <c r="H16" s="562"/>
      <c r="I16" s="559" t="s">
        <v>3172</v>
      </c>
      <c r="J16" s="558"/>
      <c r="K16" s="873"/>
      <c r="L16" s="2153"/>
      <c r="M16" s="2145"/>
      <c r="N16" s="2145"/>
      <c r="O16" s="2152"/>
      <c r="P16" s="3366"/>
      <c r="Q16" s="1578"/>
      <c r="R16" s="1579"/>
      <c r="S16" s="1580"/>
      <c r="T16" s="1579"/>
      <c r="U16" s="1580"/>
      <c r="V16" s="1579"/>
      <c r="W16" s="1580"/>
      <c r="X16" s="1573"/>
      <c r="Y16" s="3366"/>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100</v>
      </c>
      <c r="K17" s="871">
        <v>3</v>
      </c>
      <c r="L17" s="2153"/>
      <c r="M17" s="2145"/>
      <c r="N17" s="2145"/>
      <c r="O17" s="2152"/>
      <c r="P17" s="3366"/>
      <c r="Q17" s="1578" t="str">
        <f>B17</f>
        <v>交通便捷度</v>
      </c>
      <c r="R17" s="1579" t="s">
        <v>11</v>
      </c>
      <c r="S17" s="1580">
        <f>F17</f>
        <v>97</v>
      </c>
      <c r="T17" s="1579" t="s">
        <v>11</v>
      </c>
      <c r="U17" s="1580">
        <f>H17</f>
        <v>100</v>
      </c>
      <c r="V17" s="1579" t="s">
        <v>11</v>
      </c>
      <c r="W17" s="1580">
        <f>J17</f>
        <v>100</v>
      </c>
      <c r="X17" s="1573"/>
      <c r="Y17" s="3366"/>
      <c r="Z17" s="1581" t="str">
        <f>Q17</f>
        <v>交通便捷度</v>
      </c>
      <c r="AA17" s="1582">
        <f t="shared" si="3"/>
        <v>1.0309278350515463</v>
      </c>
      <c r="AB17" s="1582">
        <f t="shared" si="4"/>
        <v>1</v>
      </c>
      <c r="AC17" s="1582">
        <f t="shared" si="5"/>
        <v>1</v>
      </c>
    </row>
    <row r="18" spans="1:29" ht="15">
      <c r="A18" s="535"/>
      <c r="B18" s="598"/>
      <c r="C18" s="876" t="s">
        <v>3172</v>
      </c>
      <c r="D18" s="562"/>
      <c r="E18" s="571" t="s">
        <v>3192</v>
      </c>
      <c r="F18" s="566"/>
      <c r="G18" s="572" t="s">
        <v>3172</v>
      </c>
      <c r="H18" s="558"/>
      <c r="I18" s="571" t="s">
        <v>3172</v>
      </c>
      <c r="J18" s="558"/>
      <c r="K18" s="873"/>
      <c r="L18" s="2153"/>
      <c r="M18" s="2145"/>
      <c r="N18" s="2145"/>
      <c r="O18" s="2152"/>
      <c r="P18" s="3366"/>
      <c r="Q18" s="1578"/>
      <c r="R18" s="1579"/>
      <c r="S18" s="1580"/>
      <c r="T18" s="1579"/>
      <c r="U18" s="1580"/>
      <c r="V18" s="1579"/>
      <c r="W18" s="1580"/>
      <c r="X18" s="1573"/>
      <c r="Y18" s="3366"/>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53"/>
      <c r="M19" s="2145"/>
      <c r="N19" s="2145"/>
      <c r="O19" s="2152"/>
      <c r="P19" s="3366"/>
      <c r="Q19" s="1578" t="str">
        <f>B19</f>
        <v>公共配套设施</v>
      </c>
      <c r="R19" s="1579" t="s">
        <v>11</v>
      </c>
      <c r="S19" s="1580">
        <f>F19</f>
        <v>100</v>
      </c>
      <c r="T19" s="1579" t="s">
        <v>11</v>
      </c>
      <c r="U19" s="1580">
        <f>H19</f>
        <v>100</v>
      </c>
      <c r="V19" s="1579" t="s">
        <v>11</v>
      </c>
      <c r="W19" s="1580">
        <f>J19</f>
        <v>100</v>
      </c>
      <c r="X19" s="1573"/>
      <c r="Y19" s="3366"/>
      <c r="Z19" s="1581" t="str">
        <f>Q19</f>
        <v>公共配套设施</v>
      </c>
      <c r="AA19" s="1582">
        <f t="shared" si="3"/>
        <v>1</v>
      </c>
      <c r="AB19" s="1582">
        <f t="shared" si="4"/>
        <v>1</v>
      </c>
      <c r="AC19" s="1582">
        <f t="shared" si="5"/>
        <v>1</v>
      </c>
    </row>
    <row r="20" spans="1:29" ht="15">
      <c r="A20" s="535"/>
      <c r="B20" s="598"/>
      <c r="C20" s="579" t="s">
        <v>3172</v>
      </c>
      <c r="D20" s="558"/>
      <c r="E20" s="559" t="s">
        <v>3172</v>
      </c>
      <c r="F20" s="560"/>
      <c r="G20" s="561" t="s">
        <v>3172</v>
      </c>
      <c r="H20" s="558"/>
      <c r="I20" s="559" t="s">
        <v>3172</v>
      </c>
      <c r="J20" s="558"/>
      <c r="K20" s="873"/>
      <c r="L20" s="2153"/>
      <c r="M20" s="2145"/>
      <c r="N20" s="2145"/>
      <c r="O20" s="2152"/>
      <c r="P20" s="3366"/>
      <c r="Q20" s="1578"/>
      <c r="R20" s="1579"/>
      <c r="S20" s="1580"/>
      <c r="T20" s="1579"/>
      <c r="U20" s="1580"/>
      <c r="V20" s="1579"/>
      <c r="W20" s="1580"/>
      <c r="X20" s="1573"/>
      <c r="Y20" s="3366"/>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3"/>
      <c r="M21" s="2145"/>
      <c r="N21" s="2145"/>
      <c r="O21" s="2152"/>
      <c r="P21" s="3366"/>
      <c r="Q21" s="2615" t="str">
        <f>B21</f>
        <v>基础设施水平</v>
      </c>
      <c r="R21" s="1579" t="s">
        <v>11</v>
      </c>
      <c r="S21" s="1580">
        <f>F21</f>
        <v>100</v>
      </c>
      <c r="T21" s="1579" t="s">
        <v>11</v>
      </c>
      <c r="U21" s="1580">
        <f>H21</f>
        <v>100</v>
      </c>
      <c r="V21" s="1579" t="s">
        <v>11</v>
      </c>
      <c r="W21" s="1580">
        <f>J21</f>
        <v>100</v>
      </c>
      <c r="X21" s="2617"/>
      <c r="Y21" s="3366"/>
      <c r="Z21" s="2616" t="str">
        <f>Q21</f>
        <v>基础设施水平</v>
      </c>
      <c r="AA21" s="1582">
        <f t="shared" ref="AA21" si="8">D21/F21</f>
        <v>1</v>
      </c>
      <c r="AB21" s="1582">
        <f t="shared" ref="AB21" si="9">D21/H21</f>
        <v>1</v>
      </c>
      <c r="AC21" s="1582">
        <f t="shared" ref="AC21" si="10">D21/J21</f>
        <v>1</v>
      </c>
    </row>
    <row r="22" spans="1:29" ht="15">
      <c r="A22" s="535"/>
      <c r="B22" s="925"/>
      <c r="C22" s="876" t="s">
        <v>3176</v>
      </c>
      <c r="D22" s="558"/>
      <c r="E22" s="579" t="s">
        <v>3176</v>
      </c>
      <c r="F22" s="560"/>
      <c r="G22" s="579" t="s">
        <v>3176</v>
      </c>
      <c r="H22" s="558"/>
      <c r="I22" s="579" t="s">
        <v>3176</v>
      </c>
      <c r="J22" s="558"/>
      <c r="K22" s="2635"/>
      <c r="L22" s="2153"/>
      <c r="M22" s="2145"/>
      <c r="N22" s="2145"/>
      <c r="O22" s="2152"/>
      <c r="P22" s="3366"/>
      <c r="Q22" s="2615"/>
      <c r="R22" s="1579"/>
      <c r="S22" s="1580"/>
      <c r="T22" s="1579"/>
      <c r="U22" s="1580"/>
      <c r="V22" s="1579"/>
      <c r="W22" s="1580"/>
      <c r="X22" s="2617"/>
      <c r="Y22" s="3366"/>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98</v>
      </c>
      <c r="G23" s="567"/>
      <c r="H23" s="562">
        <f>SUMIF(84:84,G24,85:85)-SUMIF(84:84,C24,85:85)+100</f>
        <v>98</v>
      </c>
      <c r="I23" s="565"/>
      <c r="J23" s="562">
        <f>SUMIF(84:84,I24,85:85)-SUMIF(84:84,C24,85:85)+100</f>
        <v>100</v>
      </c>
      <c r="K23" s="871">
        <v>2</v>
      </c>
      <c r="L23" s="2153"/>
      <c r="M23" s="2145"/>
      <c r="N23" s="2145"/>
      <c r="O23" s="2152"/>
      <c r="P23" s="3366"/>
      <c r="Q23" s="1578" t="str">
        <f>B23</f>
        <v>自然及人文环境</v>
      </c>
      <c r="R23" s="1579" t="s">
        <v>11</v>
      </c>
      <c r="S23" s="1580">
        <f>F23</f>
        <v>98</v>
      </c>
      <c r="T23" s="1579" t="s">
        <v>11</v>
      </c>
      <c r="U23" s="1580">
        <f>H23</f>
        <v>98</v>
      </c>
      <c r="V23" s="1579" t="s">
        <v>11</v>
      </c>
      <c r="W23" s="1580">
        <f>J23</f>
        <v>100</v>
      </c>
      <c r="X23" s="1573"/>
      <c r="Y23" s="3366"/>
      <c r="Z23" s="1581" t="str">
        <f>Q23</f>
        <v>自然及人文环境</v>
      </c>
      <c r="AA23" s="1582">
        <f t="shared" si="3"/>
        <v>1.0204081632653061</v>
      </c>
      <c r="AB23" s="1582">
        <f t="shared" si="4"/>
        <v>1.0204081632653061</v>
      </c>
      <c r="AC23" s="1582">
        <f t="shared" si="5"/>
        <v>1</v>
      </c>
    </row>
    <row r="24" spans="1:29" ht="15">
      <c r="A24" s="535"/>
      <c r="B24" s="598"/>
      <c r="C24" s="579" t="s">
        <v>3172</v>
      </c>
      <c r="D24" s="558"/>
      <c r="E24" s="559" t="s">
        <v>3192</v>
      </c>
      <c r="F24" s="560"/>
      <c r="G24" s="561" t="s">
        <v>3192</v>
      </c>
      <c r="H24" s="558"/>
      <c r="I24" s="559" t="s">
        <v>3172</v>
      </c>
      <c r="J24" s="558"/>
      <c r="K24" s="873"/>
      <c r="L24" s="2153"/>
      <c r="M24" s="2145"/>
      <c r="N24" s="2145"/>
      <c r="O24" s="2152"/>
      <c r="P24" s="3366"/>
      <c r="Q24" s="1578"/>
      <c r="R24" s="1579"/>
      <c r="S24" s="1580"/>
      <c r="T24" s="1579"/>
      <c r="U24" s="1580"/>
      <c r="V24" s="1579"/>
      <c r="W24" s="1580"/>
      <c r="X24" s="1573"/>
      <c r="Y24" s="3366"/>
      <c r="Z24" s="1581"/>
      <c r="AA24" s="1582">
        <v>1</v>
      </c>
      <c r="AB24" s="1582">
        <v>1</v>
      </c>
      <c r="AC24" s="1582">
        <v>1</v>
      </c>
    </row>
    <row r="25" spans="1:29" ht="15">
      <c r="A25" s="535"/>
      <c r="B25" s="1902" t="s">
        <v>2264</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66"/>
      <c r="Q25" s="1578" t="str">
        <f t="shared" ref="Q25:Q46" si="11">B25</f>
        <v>楼层-1</v>
      </c>
      <c r="R25" s="1579" t="s">
        <v>11</v>
      </c>
      <c r="S25" s="1580">
        <f>F25</f>
        <v>100</v>
      </c>
      <c r="T25" s="1579" t="s">
        <v>11</v>
      </c>
      <c r="U25" s="1580">
        <f>H25</f>
        <v>100</v>
      </c>
      <c r="V25" s="1579" t="s">
        <v>11</v>
      </c>
      <c r="W25" s="1580">
        <f>J25</f>
        <v>100</v>
      </c>
      <c r="X25" s="1573"/>
      <c r="Y25" s="3366"/>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66"/>
      <c r="Q26" s="1578" t="str">
        <f t="shared" si="11"/>
        <v>朝向</v>
      </c>
      <c r="R26" s="1579" t="s">
        <v>11</v>
      </c>
      <c r="S26" s="1580">
        <f>F26</f>
        <v>100</v>
      </c>
      <c r="T26" s="1579" t="s">
        <v>11</v>
      </c>
      <c r="U26" s="1580">
        <f>H26</f>
        <v>100</v>
      </c>
      <c r="V26" s="1579" t="s">
        <v>11</v>
      </c>
      <c r="W26" s="1580">
        <f>J26</f>
        <v>100</v>
      </c>
      <c r="X26" s="1573"/>
      <c r="Y26" s="3366"/>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66"/>
      <c r="Q27" s="1154" t="str">
        <f t="shared" si="11"/>
        <v>道路级别</v>
      </c>
      <c r="R27" s="1574" t="s">
        <v>11</v>
      </c>
      <c r="S27" s="1575">
        <f>F27</f>
        <v>100</v>
      </c>
      <c r="T27" s="1574" t="s">
        <v>11</v>
      </c>
      <c r="U27" s="1575">
        <f>H27</f>
        <v>100</v>
      </c>
      <c r="V27" s="1574" t="s">
        <v>11</v>
      </c>
      <c r="W27" s="1575">
        <f>J27</f>
        <v>100</v>
      </c>
      <c r="X27" s="1576"/>
      <c r="Y27" s="3366"/>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66"/>
      <c r="Q28" s="1578">
        <f t="shared" si="11"/>
        <v>111</v>
      </c>
      <c r="R28" s="1579" t="s">
        <v>11</v>
      </c>
      <c r="S28" s="1580">
        <f t="shared" ref="S28:S46" si="12">F28</f>
        <v>100</v>
      </c>
      <c r="T28" s="1579" t="s">
        <v>11</v>
      </c>
      <c r="U28" s="1580">
        <f t="shared" ref="U28:U46" si="13">H28</f>
        <v>100</v>
      </c>
      <c r="V28" s="1579" t="s">
        <v>11</v>
      </c>
      <c r="W28" s="1580">
        <f t="shared" ref="W28:W46" si="14">J28</f>
        <v>100</v>
      </c>
      <c r="X28" s="1573"/>
      <c r="Y28" s="3366"/>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66"/>
      <c r="Q29" s="1578">
        <f t="shared" si="11"/>
        <v>111</v>
      </c>
      <c r="R29" s="1579" t="s">
        <v>11</v>
      </c>
      <c r="S29" s="1580">
        <f t="shared" si="12"/>
        <v>100</v>
      </c>
      <c r="T29" s="1579" t="s">
        <v>11</v>
      </c>
      <c r="U29" s="1580">
        <f t="shared" si="13"/>
        <v>100</v>
      </c>
      <c r="V29" s="1579" t="s">
        <v>11</v>
      </c>
      <c r="W29" s="1580">
        <f t="shared" si="14"/>
        <v>100</v>
      </c>
      <c r="X29" s="1573"/>
      <c r="Y29" s="3366"/>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66"/>
      <c r="Q30" s="1578">
        <f t="shared" si="11"/>
        <v>111</v>
      </c>
      <c r="R30" s="1579" t="s">
        <v>11</v>
      </c>
      <c r="S30" s="1580">
        <f t="shared" si="12"/>
        <v>100</v>
      </c>
      <c r="T30" s="1579" t="s">
        <v>11</v>
      </c>
      <c r="U30" s="1580">
        <f t="shared" si="13"/>
        <v>100</v>
      </c>
      <c r="V30" s="1579" t="s">
        <v>11</v>
      </c>
      <c r="W30" s="1580">
        <f t="shared" si="14"/>
        <v>100</v>
      </c>
      <c r="X30" s="1573"/>
      <c r="Y30" s="3366"/>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66"/>
      <c r="Q31" s="1578">
        <f t="shared" si="11"/>
        <v>111</v>
      </c>
      <c r="R31" s="1579" t="s">
        <v>11</v>
      </c>
      <c r="S31" s="1580">
        <f t="shared" si="12"/>
        <v>100</v>
      </c>
      <c r="T31" s="1579" t="s">
        <v>11</v>
      </c>
      <c r="U31" s="1580">
        <f t="shared" si="13"/>
        <v>100</v>
      </c>
      <c r="V31" s="1579" t="s">
        <v>11</v>
      </c>
      <c r="W31" s="1580">
        <f t="shared" si="14"/>
        <v>100</v>
      </c>
      <c r="X31" s="1573"/>
      <c r="Y31" s="3366"/>
      <c r="Z31" s="1581">
        <f t="shared" si="15"/>
        <v>111</v>
      </c>
      <c r="AA31" s="1582">
        <f t="shared" si="3"/>
        <v>1</v>
      </c>
      <c r="AB31" s="1582">
        <f t="shared" si="4"/>
        <v>1</v>
      </c>
      <c r="AC31" s="1582">
        <f t="shared" si="5"/>
        <v>1</v>
      </c>
    </row>
    <row r="32" spans="1:29" ht="15">
      <c r="A32" s="2947" t="s">
        <v>2770</v>
      </c>
      <c r="B32" s="172" t="s">
        <v>728</v>
      </c>
      <c r="C32" s="881" t="s">
        <v>3209</v>
      </c>
      <c r="D32" s="600">
        <v>100</v>
      </c>
      <c r="E32" s="882" t="s">
        <v>3209</v>
      </c>
      <c r="F32" s="578">
        <f>SUMIF(100:100,E32,101:101)-SUMIF(100:100,C32,101:101)+100</f>
        <v>100</v>
      </c>
      <c r="G32" s="881" t="s">
        <v>3209</v>
      </c>
      <c r="H32" s="600">
        <f>SUMIF(100:100,G32,101:101)-SUMIF(100:100,C32,101:101)+100</f>
        <v>100</v>
      </c>
      <c r="I32" s="882" t="s">
        <v>3209</v>
      </c>
      <c r="J32" s="543">
        <f>SUMIF(100:100,I32,101:101)-SUMIF(100:100,C32,101:101)+100</f>
        <v>100</v>
      </c>
      <c r="K32" s="867">
        <v>1</v>
      </c>
      <c r="L32" s="2153"/>
      <c r="M32" s="2145"/>
      <c r="N32" s="2145"/>
      <c r="O32" s="2152"/>
      <c r="P32" s="3367" t="s">
        <v>551</v>
      </c>
      <c r="Q32" s="1578" t="str">
        <f t="shared" si="11"/>
        <v>建筑类型</v>
      </c>
      <c r="R32" s="1579" t="s">
        <v>11</v>
      </c>
      <c r="S32" s="1580">
        <f t="shared" si="12"/>
        <v>100</v>
      </c>
      <c r="T32" s="1579" t="s">
        <v>11</v>
      </c>
      <c r="U32" s="1580">
        <f t="shared" si="13"/>
        <v>100</v>
      </c>
      <c r="V32" s="1579" t="s">
        <v>11</v>
      </c>
      <c r="W32" s="1580">
        <f t="shared" si="14"/>
        <v>100</v>
      </c>
      <c r="X32" s="1573"/>
      <c r="Y32" s="3368" t="s">
        <v>551</v>
      </c>
      <c r="Z32" s="1581" t="str">
        <f t="shared" si="15"/>
        <v>建筑类型</v>
      </c>
      <c r="AA32" s="1582">
        <f t="shared" si="3"/>
        <v>1</v>
      </c>
      <c r="AB32" s="1582">
        <f t="shared" si="4"/>
        <v>1</v>
      </c>
      <c r="AC32" s="1582">
        <f t="shared" si="5"/>
        <v>1</v>
      </c>
    </row>
    <row r="33" spans="1:29" s="1342" customFormat="1" ht="15">
      <c r="A33" s="606"/>
      <c r="B33" s="530" t="s">
        <v>729</v>
      </c>
      <c r="C33" s="883">
        <v>442000</v>
      </c>
      <c r="D33" s="255">
        <v>100</v>
      </c>
      <c r="E33" s="537">
        <v>140000</v>
      </c>
      <c r="F33" s="866">
        <f>LOOKUP(E33,103:103,104:104)-LOOKUP(C33,103:103,104:104)+100</f>
        <v>96</v>
      </c>
      <c r="G33" s="536">
        <v>204250</v>
      </c>
      <c r="H33" s="255">
        <f>LOOKUP(G33,103:103,104:104)-LOOKUP(C33,103:103,104:104)+100</f>
        <v>98</v>
      </c>
      <c r="I33" s="537">
        <v>121360</v>
      </c>
      <c r="J33" s="255">
        <f>LOOKUP(I33,103:103,104:104)-LOOKUP(C33,103:103,104:104)+100</f>
        <v>96</v>
      </c>
      <c r="K33" s="868"/>
      <c r="L33" s="2151"/>
      <c r="M33" s="2182"/>
      <c r="N33" s="2182"/>
      <c r="O33" s="2154"/>
      <c r="P33" s="3368"/>
      <c r="Q33" s="1611" t="str">
        <f t="shared" si="11"/>
        <v>项目建筑规模</v>
      </c>
      <c r="R33" s="1583" t="s">
        <v>11</v>
      </c>
      <c r="S33" s="1584">
        <f t="shared" si="12"/>
        <v>96</v>
      </c>
      <c r="T33" s="1583" t="s">
        <v>11</v>
      </c>
      <c r="U33" s="1584">
        <f t="shared" si="13"/>
        <v>98</v>
      </c>
      <c r="V33" s="1583" t="s">
        <v>11</v>
      </c>
      <c r="W33" s="1584">
        <f t="shared" si="14"/>
        <v>96</v>
      </c>
      <c r="X33" s="1585"/>
      <c r="Y33" s="3368"/>
      <c r="Z33" s="1586" t="str">
        <f t="shared" si="15"/>
        <v>项目建筑规模</v>
      </c>
      <c r="AA33" s="1582">
        <f t="shared" si="3"/>
        <v>1.0416666666666667</v>
      </c>
      <c r="AB33" s="1582">
        <f t="shared" si="4"/>
        <v>1.0204081632653061</v>
      </c>
      <c r="AC33" s="1582">
        <f t="shared" si="5"/>
        <v>1.0416666666666667</v>
      </c>
    </row>
    <row r="34" spans="1:29" ht="15">
      <c r="A34" s="597"/>
      <c r="B34" s="530" t="s">
        <v>730</v>
      </c>
      <c r="C34" s="884" t="s">
        <v>3027</v>
      </c>
      <c r="D34" s="543">
        <v>100</v>
      </c>
      <c r="E34" s="885" t="s">
        <v>3027</v>
      </c>
      <c r="F34" s="578">
        <f>SUMIF(105:105,E34,106:106)-SUMIF(105:105,C34,106:106)+100</f>
        <v>100</v>
      </c>
      <c r="G34" s="884" t="s">
        <v>3027</v>
      </c>
      <c r="H34" s="543">
        <f>SUMIF(105:105,G34,106:106)-SUMIF(105:105,C34,106:106)+100</f>
        <v>100</v>
      </c>
      <c r="I34" s="884" t="s">
        <v>3027</v>
      </c>
      <c r="J34" s="543">
        <f>SUMIF(105:105,I34,106:106)-SUMIF(105:105,C34,106:106)+100</f>
        <v>100</v>
      </c>
      <c r="K34" s="867"/>
      <c r="L34" s="2153"/>
      <c r="M34" s="2145"/>
      <c r="N34" s="2145"/>
      <c r="O34" s="2152"/>
      <c r="P34" s="3368"/>
      <c r="Q34" s="1578" t="str">
        <f t="shared" si="11"/>
        <v>建筑结构</v>
      </c>
      <c r="R34" s="1579" t="s">
        <v>11</v>
      </c>
      <c r="S34" s="1580">
        <f t="shared" si="12"/>
        <v>100</v>
      </c>
      <c r="T34" s="1579" t="s">
        <v>11</v>
      </c>
      <c r="U34" s="1580">
        <f t="shared" si="13"/>
        <v>100</v>
      </c>
      <c r="V34" s="1579" t="s">
        <v>11</v>
      </c>
      <c r="W34" s="1580">
        <f t="shared" si="14"/>
        <v>100</v>
      </c>
      <c r="X34" s="1573"/>
      <c r="Y34" s="3368"/>
      <c r="Z34" s="1581" t="str">
        <f t="shared" si="15"/>
        <v>建筑结构</v>
      </c>
      <c r="AA34" s="1582">
        <f t="shared" si="3"/>
        <v>1</v>
      </c>
      <c r="AB34" s="1582">
        <f t="shared" si="4"/>
        <v>1</v>
      </c>
      <c r="AC34" s="1582">
        <f t="shared" si="5"/>
        <v>1</v>
      </c>
    </row>
    <row r="35" spans="1:29" ht="15">
      <c r="A35" s="597"/>
      <c r="B35" s="530" t="s">
        <v>731</v>
      </c>
      <c r="C35" s="602" t="s">
        <v>3213</v>
      </c>
      <c r="D35" s="543">
        <v>100</v>
      </c>
      <c r="E35" s="877" t="s">
        <v>3213</v>
      </c>
      <c r="F35" s="578">
        <f>SUMIF(107:107,E35,108:108)-SUMIF(107:107,C35,108:108)+100</f>
        <v>100</v>
      </c>
      <c r="G35" s="877" t="s">
        <v>3213</v>
      </c>
      <c r="H35" s="543">
        <f>SUMIF(107:107,G35,108:108)-SUMIF(107:107,C35,108:108)+100</f>
        <v>100</v>
      </c>
      <c r="I35" s="877" t="s">
        <v>3213</v>
      </c>
      <c r="J35" s="543">
        <f>SUMIF(107:107,I35,108:108)-SUMIF(107:107,C35,108:108)+100</f>
        <v>100</v>
      </c>
      <c r="K35" s="867"/>
      <c r="L35" s="2153"/>
      <c r="M35" s="2145"/>
      <c r="N35" s="2145"/>
      <c r="O35" s="2152"/>
      <c r="P35" s="3368"/>
      <c r="Q35" s="1578" t="str">
        <f t="shared" si="11"/>
        <v>建筑品质</v>
      </c>
      <c r="R35" s="1579" t="s">
        <v>11</v>
      </c>
      <c r="S35" s="1580">
        <f t="shared" si="12"/>
        <v>100</v>
      </c>
      <c r="T35" s="1579" t="s">
        <v>11</v>
      </c>
      <c r="U35" s="1580">
        <f t="shared" si="13"/>
        <v>100</v>
      </c>
      <c r="V35" s="1579" t="s">
        <v>11</v>
      </c>
      <c r="W35" s="1580">
        <f t="shared" si="14"/>
        <v>100</v>
      </c>
      <c r="X35" s="1573"/>
      <c r="Y35" s="3368"/>
      <c r="Z35" s="1581" t="str">
        <f t="shared" si="15"/>
        <v>建筑品质</v>
      </c>
      <c r="AA35" s="1582">
        <f t="shared" si="3"/>
        <v>1</v>
      </c>
      <c r="AB35" s="1582">
        <f t="shared" si="4"/>
        <v>1</v>
      </c>
      <c r="AC35" s="1582">
        <f t="shared" si="5"/>
        <v>1</v>
      </c>
    </row>
    <row r="36" spans="1:29" ht="15">
      <c r="A36" s="597"/>
      <c r="B36" s="530" t="s">
        <v>732</v>
      </c>
      <c r="C36" s="602" t="s">
        <v>3216</v>
      </c>
      <c r="D36" s="543">
        <v>100</v>
      </c>
      <c r="E36" s="877" t="s">
        <v>3216</v>
      </c>
      <c r="F36" s="578">
        <f>SUMIF(109:109,E36,110:110)-SUMIF(109:109,C36,110:110)+100</f>
        <v>100</v>
      </c>
      <c r="G36" s="877" t="s">
        <v>3216</v>
      </c>
      <c r="H36" s="543">
        <f>SUMIF(109:109,G36,110:110)-SUMIF(109:109,C36,110:110)+100</f>
        <v>100</v>
      </c>
      <c r="I36" s="877" t="s">
        <v>3216</v>
      </c>
      <c r="J36" s="543">
        <f>SUMIF(109:109,I36,110:110)-SUMIF(109:109,C36,110:110)+100</f>
        <v>100</v>
      </c>
      <c r="K36" s="867"/>
      <c r="L36" s="2153"/>
      <c r="M36" s="2145"/>
      <c r="N36" s="2145"/>
      <c r="O36" s="2152"/>
      <c r="P36" s="3368"/>
      <c r="Q36" s="1578" t="str">
        <f t="shared" si="11"/>
        <v>公共部分装修</v>
      </c>
      <c r="R36" s="1579" t="s">
        <v>11</v>
      </c>
      <c r="S36" s="1580">
        <f t="shared" si="12"/>
        <v>100</v>
      </c>
      <c r="T36" s="1579" t="s">
        <v>11</v>
      </c>
      <c r="U36" s="1580">
        <f t="shared" si="13"/>
        <v>100</v>
      </c>
      <c r="V36" s="1579" t="s">
        <v>11</v>
      </c>
      <c r="W36" s="1580">
        <f t="shared" si="14"/>
        <v>100</v>
      </c>
      <c r="X36" s="1573"/>
      <c r="Y36" s="3368"/>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1</v>
      </c>
      <c r="F37" s="866">
        <f>LOOKUP(E37,112:112,113:113)-LOOKUP(C37,112:112,113:113)+100</f>
        <v>100</v>
      </c>
      <c r="G37" s="887">
        <v>1</v>
      </c>
      <c r="H37" s="255">
        <f>LOOKUP(G37,112:112,113:113)-LOOKUP(C37,112:112,113:113)+100</f>
        <v>100</v>
      </c>
      <c r="I37" s="887">
        <v>1</v>
      </c>
      <c r="J37" s="255">
        <f>LOOKUP(I37,112:112,113:113)-LOOKUP(C37,112:112,113:113)+100</f>
        <v>100</v>
      </c>
      <c r="K37" s="867"/>
      <c r="L37" s="2146"/>
      <c r="M37" s="2147"/>
      <c r="N37" s="2147"/>
      <c r="O37" s="2148"/>
      <c r="P37" s="3368"/>
      <c r="Q37" s="1154" t="str">
        <f t="shared" si="11"/>
        <v>成新度</v>
      </c>
      <c r="R37" s="1574" t="s">
        <v>11</v>
      </c>
      <c r="S37" s="1575">
        <f t="shared" si="12"/>
        <v>100</v>
      </c>
      <c r="T37" s="1574" t="s">
        <v>11</v>
      </c>
      <c r="U37" s="1575">
        <f t="shared" si="13"/>
        <v>100</v>
      </c>
      <c r="V37" s="1574" t="s">
        <v>11</v>
      </c>
      <c r="W37" s="1575">
        <f t="shared" si="14"/>
        <v>100</v>
      </c>
      <c r="X37" s="1576"/>
      <c r="Y37" s="3368"/>
      <c r="Z37" s="1153" t="str">
        <f t="shared" si="15"/>
        <v>成新度</v>
      </c>
      <c r="AA37" s="1577">
        <f t="shared" si="3"/>
        <v>1</v>
      </c>
      <c r="AB37" s="1577">
        <f t="shared" si="4"/>
        <v>1</v>
      </c>
      <c r="AC37" s="1577">
        <f t="shared" si="5"/>
        <v>1</v>
      </c>
    </row>
    <row r="38" spans="1:29" ht="15">
      <c r="A38" s="597"/>
      <c r="B38" s="530" t="s">
        <v>734</v>
      </c>
      <c r="C38" s="602" t="s">
        <v>3218</v>
      </c>
      <c r="D38" s="543">
        <v>100</v>
      </c>
      <c r="E38" s="877" t="s">
        <v>3218</v>
      </c>
      <c r="F38" s="578">
        <f>SUMIF(114:114,E38,115:115)-SUMIF(114:114,C38,115:115)+100</f>
        <v>100</v>
      </c>
      <c r="G38" s="877" t="s">
        <v>3218</v>
      </c>
      <c r="H38" s="543">
        <f>SUMIF(114:114,G38,115:115)-SUMIF(114:114,C38,115:115)+100</f>
        <v>100</v>
      </c>
      <c r="I38" s="877" t="s">
        <v>3218</v>
      </c>
      <c r="J38" s="543">
        <f>SUMIF(114:114,I38,115:115)-SUMIF(114:114,C38,115:115)+100</f>
        <v>100</v>
      </c>
      <c r="K38" s="867"/>
      <c r="L38" s="2153"/>
      <c r="M38" s="2145"/>
      <c r="N38" s="2145"/>
      <c r="O38" s="2152"/>
      <c r="P38" s="3368" t="s">
        <v>551</v>
      </c>
      <c r="Q38" s="1578" t="str">
        <f t="shared" si="11"/>
        <v>物业管理</v>
      </c>
      <c r="R38" s="1579" t="s">
        <v>11</v>
      </c>
      <c r="S38" s="1580">
        <f t="shared" si="12"/>
        <v>100</v>
      </c>
      <c r="T38" s="1579" t="s">
        <v>11</v>
      </c>
      <c r="U38" s="1580">
        <f t="shared" si="13"/>
        <v>100</v>
      </c>
      <c r="V38" s="1579" t="s">
        <v>11</v>
      </c>
      <c r="W38" s="1580">
        <f t="shared" si="14"/>
        <v>100</v>
      </c>
      <c r="X38" s="1573"/>
      <c r="Y38" s="3368" t="s">
        <v>551</v>
      </c>
      <c r="Z38" s="1581" t="str">
        <f t="shared" si="15"/>
        <v>物业管理</v>
      </c>
      <c r="AA38" s="1582">
        <f t="shared" si="3"/>
        <v>1</v>
      </c>
      <c r="AB38" s="1582">
        <f t="shared" si="4"/>
        <v>1</v>
      </c>
      <c r="AC38" s="1582">
        <f t="shared" si="5"/>
        <v>1</v>
      </c>
    </row>
    <row r="39" spans="1:29" ht="15">
      <c r="A39" s="597"/>
      <c r="B39" s="1902" t="s">
        <v>2576</v>
      </c>
      <c r="C39" s="602" t="s">
        <v>3176</v>
      </c>
      <c r="D39" s="543">
        <v>100</v>
      </c>
      <c r="E39" s="877" t="s">
        <v>3176</v>
      </c>
      <c r="F39" s="578">
        <f>SUMIF(116:116,E39,117:117)-SUMIF(116:116,C39,117:117)+100</f>
        <v>100</v>
      </c>
      <c r="G39" s="877" t="s">
        <v>3176</v>
      </c>
      <c r="H39" s="543">
        <f>SUMIF(116:116,G39,117:117)-SUMIF(116:116,C39,117:117)+100</f>
        <v>100</v>
      </c>
      <c r="I39" s="877" t="s">
        <v>3176</v>
      </c>
      <c r="J39" s="543">
        <f>SUMIF(116:116,I39,117:117)-SUMIF(116:116,C39,117:117)+100</f>
        <v>100</v>
      </c>
      <c r="K39" s="867"/>
      <c r="L39" s="2153"/>
      <c r="M39" s="2145"/>
      <c r="N39" s="2145"/>
      <c r="O39" s="2152"/>
      <c r="P39" s="3368"/>
      <c r="Q39" s="1578" t="str">
        <f t="shared" si="11"/>
        <v>市政基础设施</v>
      </c>
      <c r="R39" s="1579" t="s">
        <v>11</v>
      </c>
      <c r="S39" s="1580">
        <f t="shared" si="12"/>
        <v>100</v>
      </c>
      <c r="T39" s="1579" t="s">
        <v>11</v>
      </c>
      <c r="U39" s="1580">
        <f t="shared" si="13"/>
        <v>100</v>
      </c>
      <c r="V39" s="1579" t="s">
        <v>11</v>
      </c>
      <c r="W39" s="1580">
        <f t="shared" si="14"/>
        <v>100</v>
      </c>
      <c r="X39" s="1573"/>
      <c r="Y39" s="3368"/>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877"/>
      <c r="H40" s="543">
        <f>SUMIF(118:118,G40,119:119)-SUMIF(118:118,C40,119:119)+100</f>
        <v>100</v>
      </c>
      <c r="I40" s="877"/>
      <c r="J40" s="543">
        <f>SUMIF(118:118,I40,119:119)-SUMIF(118:118,C40,119:119)+100</f>
        <v>100</v>
      </c>
      <c r="K40" s="867"/>
      <c r="L40" s="2153"/>
      <c r="M40" s="2145"/>
      <c r="N40" s="2145"/>
      <c r="O40" s="2152"/>
      <c r="P40" s="3368"/>
      <c r="Q40" s="1578" t="str">
        <f t="shared" si="11"/>
        <v>房型</v>
      </c>
      <c r="R40" s="1579" t="s">
        <v>11</v>
      </c>
      <c r="S40" s="1580">
        <f t="shared" si="12"/>
        <v>100</v>
      </c>
      <c r="T40" s="1579" t="s">
        <v>11</v>
      </c>
      <c r="U40" s="1580">
        <f t="shared" si="13"/>
        <v>100</v>
      </c>
      <c r="V40" s="1579" t="s">
        <v>11</v>
      </c>
      <c r="W40" s="1580">
        <f t="shared" si="14"/>
        <v>100</v>
      </c>
      <c r="X40" s="1573"/>
      <c r="Y40" s="3368"/>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7"/>
      <c r="H41" s="255">
        <f>SUMIF(120:120,G41,121:121)-SUMIF(120:120,C41,121:121)+100</f>
        <v>100</v>
      </c>
      <c r="I41" s="537"/>
      <c r="J41" s="543">
        <f>SUMIF(120:120,I41,121:121)-SUMIF(120:120,C41,121:121)+100</f>
        <v>100</v>
      </c>
      <c r="K41" s="868"/>
      <c r="L41" s="2151"/>
      <c r="M41" s="2182"/>
      <c r="N41" s="2182"/>
      <c r="O41" s="2154"/>
      <c r="P41" s="3368"/>
      <c r="Q41" s="1611" t="str">
        <f t="shared" si="11"/>
        <v>单套/主力户型建筑面积</v>
      </c>
      <c r="R41" s="1583" t="s">
        <v>11</v>
      </c>
      <c r="S41" s="1584">
        <f t="shared" si="12"/>
        <v>100</v>
      </c>
      <c r="T41" s="1583" t="s">
        <v>11</v>
      </c>
      <c r="U41" s="1584">
        <f t="shared" si="13"/>
        <v>100</v>
      </c>
      <c r="V41" s="1583" t="s">
        <v>11</v>
      </c>
      <c r="W41" s="1584">
        <f t="shared" si="14"/>
        <v>100</v>
      </c>
      <c r="X41" s="1585"/>
      <c r="Y41" s="3368"/>
      <c r="Z41" s="1586" t="str">
        <f t="shared" si="15"/>
        <v>单套/主力户型建筑面积</v>
      </c>
      <c r="AA41" s="1582">
        <f t="shared" si="3"/>
        <v>1</v>
      </c>
      <c r="AB41" s="1582">
        <f t="shared" si="4"/>
        <v>1</v>
      </c>
      <c r="AC41" s="1582">
        <f t="shared" si="5"/>
        <v>1</v>
      </c>
    </row>
    <row r="42" spans="1:29" ht="15">
      <c r="A42" s="597"/>
      <c r="B42" s="530" t="s">
        <v>737</v>
      </c>
      <c r="C42" s="602" t="s">
        <v>3225</v>
      </c>
      <c r="D42" s="543">
        <v>100</v>
      </c>
      <c r="E42" s="877" t="s">
        <v>3225</v>
      </c>
      <c r="F42" s="578">
        <f>SUMIF(122:122,E42,123:123)-SUMIF(122:122,C42,123:123)+100</f>
        <v>100</v>
      </c>
      <c r="G42" s="877" t="s">
        <v>3225</v>
      </c>
      <c r="H42" s="543">
        <f>SUMIF(122:122,G42,123:123)-SUMIF(122:122,C42,123:123)+100</f>
        <v>100</v>
      </c>
      <c r="I42" s="877" t="s">
        <v>3225</v>
      </c>
      <c r="J42" s="543">
        <f>SUMIF(122:122,I42,123:123)-SUMIF(122:122,C42,123:123)+100</f>
        <v>100</v>
      </c>
      <c r="K42" s="867">
        <v>2</v>
      </c>
      <c r="L42" s="2153"/>
      <c r="M42" s="2145"/>
      <c r="N42" s="2145"/>
      <c r="O42" s="2152"/>
      <c r="P42" s="3368"/>
      <c r="Q42" s="1578" t="str">
        <f t="shared" si="11"/>
        <v>内部装修</v>
      </c>
      <c r="R42" s="1579" t="s">
        <v>11</v>
      </c>
      <c r="S42" s="1580">
        <f t="shared" si="12"/>
        <v>100</v>
      </c>
      <c r="T42" s="1579" t="s">
        <v>11</v>
      </c>
      <c r="U42" s="1580">
        <f t="shared" si="13"/>
        <v>100</v>
      </c>
      <c r="V42" s="1579" t="s">
        <v>11</v>
      </c>
      <c r="W42" s="1580">
        <f t="shared" si="14"/>
        <v>100</v>
      </c>
      <c r="X42" s="1573"/>
      <c r="Y42" s="3368"/>
      <c r="Z42" s="1581" t="str">
        <f t="shared" si="15"/>
        <v>内部装修</v>
      </c>
      <c r="AA42" s="1582">
        <f t="shared" si="3"/>
        <v>1</v>
      </c>
      <c r="AB42" s="1582">
        <f t="shared" si="4"/>
        <v>1</v>
      </c>
      <c r="AC42" s="1582">
        <f t="shared" si="5"/>
        <v>1</v>
      </c>
    </row>
    <row r="43" spans="1:29" ht="27">
      <c r="A43" s="597"/>
      <c r="B43" s="530" t="s">
        <v>738</v>
      </c>
      <c r="C43" s="602" t="s">
        <v>3172</v>
      </c>
      <c r="D43" s="543">
        <v>100</v>
      </c>
      <c r="E43" s="877" t="s">
        <v>3172</v>
      </c>
      <c r="F43" s="578">
        <f>SUMIF(124:124,E43,125:125)-SUMIF(124:124,C43,125:125)+100</f>
        <v>100</v>
      </c>
      <c r="G43" s="877" t="s">
        <v>3172</v>
      </c>
      <c r="H43" s="543">
        <f>SUMIF(124:124,G43,125:125)-SUMIF(124:124,C43,125:125)+100</f>
        <v>100</v>
      </c>
      <c r="I43" s="877" t="s">
        <v>3172</v>
      </c>
      <c r="J43" s="543">
        <f>SUMIF(124:124,I43,125:125)-SUMIF(124:124,C43,125:125)+100</f>
        <v>100</v>
      </c>
      <c r="K43" s="867"/>
      <c r="L43" s="2153"/>
      <c r="M43" s="2145"/>
      <c r="N43" s="2145"/>
      <c r="O43" s="2152"/>
      <c r="P43" s="3368"/>
      <c r="Q43" s="1578" t="str">
        <f t="shared" si="11"/>
        <v>内部装修维护情况</v>
      </c>
      <c r="R43" s="1579" t="s">
        <v>11</v>
      </c>
      <c r="S43" s="1580">
        <f t="shared" si="12"/>
        <v>100</v>
      </c>
      <c r="T43" s="1579" t="s">
        <v>11</v>
      </c>
      <c r="U43" s="1580">
        <f t="shared" si="13"/>
        <v>100</v>
      </c>
      <c r="V43" s="1579" t="s">
        <v>11</v>
      </c>
      <c r="W43" s="1580">
        <f t="shared" si="14"/>
        <v>100</v>
      </c>
      <c r="X43" s="1573"/>
      <c r="Y43" s="3368"/>
      <c r="Z43" s="1581" t="str">
        <f t="shared" si="15"/>
        <v>内部装修维护情况</v>
      </c>
      <c r="AA43" s="1582">
        <f t="shared" si="3"/>
        <v>1</v>
      </c>
      <c r="AB43" s="1582">
        <f t="shared" si="4"/>
        <v>1</v>
      </c>
      <c r="AC43" s="1582">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68"/>
      <c r="Q44" s="1154">
        <f t="shared" si="11"/>
        <v>0</v>
      </c>
      <c r="R44" s="1574" t="s">
        <v>11</v>
      </c>
      <c r="S44" s="1575">
        <f t="shared" si="12"/>
        <v>100</v>
      </c>
      <c r="T44" s="1574" t="s">
        <v>11</v>
      </c>
      <c r="U44" s="1575">
        <f t="shared" si="13"/>
        <v>100</v>
      </c>
      <c r="V44" s="1574" t="s">
        <v>11</v>
      </c>
      <c r="W44" s="1575">
        <f t="shared" si="14"/>
        <v>100</v>
      </c>
      <c r="X44" s="1576"/>
      <c r="Y44" s="3368"/>
      <c r="Z44" s="1153">
        <f t="shared" si="15"/>
        <v>0</v>
      </c>
      <c r="AA44" s="1577">
        <f t="shared" si="3"/>
        <v>1</v>
      </c>
      <c r="AB44" s="1577">
        <f t="shared" si="4"/>
        <v>1</v>
      </c>
      <c r="AC44" s="1577">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68"/>
      <c r="Q45" s="1578">
        <f t="shared" si="11"/>
        <v>0</v>
      </c>
      <c r="R45" s="1579" t="s">
        <v>11</v>
      </c>
      <c r="S45" s="1580">
        <f t="shared" si="12"/>
        <v>100</v>
      </c>
      <c r="T45" s="1579" t="s">
        <v>11</v>
      </c>
      <c r="U45" s="1580">
        <f t="shared" si="13"/>
        <v>100</v>
      </c>
      <c r="V45" s="1579" t="s">
        <v>11</v>
      </c>
      <c r="W45" s="1580">
        <f t="shared" si="14"/>
        <v>100</v>
      </c>
      <c r="X45" s="1573"/>
      <c r="Y45" s="3368"/>
      <c r="Z45" s="1581">
        <f t="shared" si="15"/>
        <v>0</v>
      </c>
      <c r="AA45" s="1582">
        <f t="shared" si="3"/>
        <v>1</v>
      </c>
      <c r="AB45" s="1582">
        <f t="shared" si="4"/>
        <v>1</v>
      </c>
      <c r="AC45" s="1582">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62"/>
      <c r="Q46" s="1578">
        <f t="shared" si="11"/>
        <v>0</v>
      </c>
      <c r="R46" s="1579" t="s">
        <v>10</v>
      </c>
      <c r="S46" s="1580">
        <f t="shared" si="12"/>
        <v>100</v>
      </c>
      <c r="T46" s="1579" t="s">
        <v>10</v>
      </c>
      <c r="U46" s="1580">
        <f t="shared" si="13"/>
        <v>100</v>
      </c>
      <c r="V46" s="1579" t="s">
        <v>10</v>
      </c>
      <c r="W46" s="1580">
        <f t="shared" si="14"/>
        <v>100</v>
      </c>
      <c r="X46" s="1573"/>
      <c r="Y46" s="3462"/>
      <c r="Z46" s="1581">
        <f t="shared" si="15"/>
        <v>0</v>
      </c>
      <c r="AA46" s="1582">
        <f t="shared" si="3"/>
        <v>1</v>
      </c>
      <c r="AB46" s="1582">
        <f t="shared" si="4"/>
        <v>1</v>
      </c>
      <c r="AC46" s="1582">
        <f t="shared" si="5"/>
        <v>1</v>
      </c>
    </row>
    <row r="47" spans="1:29" ht="15">
      <c r="A47" s="610" t="s">
        <v>739</v>
      </c>
      <c r="B47" s="890"/>
      <c r="C47" s="2663" t="s">
        <v>9</v>
      </c>
      <c r="D47" s="2664"/>
      <c r="E47" s="2665">
        <v>40000</v>
      </c>
      <c r="F47" s="2666"/>
      <c r="G47" s="2667">
        <v>42000</v>
      </c>
      <c r="H47" s="2668"/>
      <c r="I47" s="2665">
        <v>39000</v>
      </c>
      <c r="J47" s="2668"/>
      <c r="K47" s="1612"/>
      <c r="L47" s="2155"/>
      <c r="M47" s="2156"/>
      <c r="N47" s="2145"/>
      <c r="O47" s="2156"/>
      <c r="P47" s="3363" t="str">
        <f>A47</f>
        <v>成交单价（元/平方米）</v>
      </c>
      <c r="Q47" s="3363"/>
      <c r="R47" s="3461">
        <f>E47</f>
        <v>40000</v>
      </c>
      <c r="S47" s="3461"/>
      <c r="T47" s="3461">
        <f>G47</f>
        <v>42000</v>
      </c>
      <c r="U47" s="3461"/>
      <c r="V47" s="3461">
        <f>I47</f>
        <v>39000</v>
      </c>
      <c r="W47" s="3461"/>
      <c r="X47" s="1565"/>
      <c r="Y47" s="1587"/>
      <c r="Z47" s="1565"/>
      <c r="AA47" s="1565"/>
      <c r="AB47" s="1565"/>
      <c r="AC47" s="1565"/>
    </row>
    <row r="48" spans="1:29" ht="15.75" thickBot="1">
      <c r="A48" s="618" t="s">
        <v>2775</v>
      </c>
      <c r="B48" s="891"/>
      <c r="C48" s="2669">
        <f>R49</f>
        <v>43178</v>
      </c>
      <c r="D48" s="2670"/>
      <c r="E48" s="2671">
        <f>R48</f>
        <v>44284</v>
      </c>
      <c r="F48" s="2671"/>
      <c r="G48" s="2669">
        <f>T48</f>
        <v>44624</v>
      </c>
      <c r="H48" s="2670"/>
      <c r="I48" s="2671">
        <f>V48</f>
        <v>40625</v>
      </c>
      <c r="J48" s="2670"/>
      <c r="K48" s="1613"/>
      <c r="L48" s="2155"/>
      <c r="M48" s="2156"/>
      <c r="N48" s="2156"/>
      <c r="O48" s="2156"/>
      <c r="P48" s="3363" t="str">
        <f>A48</f>
        <v>比较价格（元/平方米）</v>
      </c>
      <c r="Q48" s="3363"/>
      <c r="R48" s="3461">
        <f>IF(F1="售价",ROUND(PRODUCT(R47,AA7:AA46),0),ROUND(PRODUCT(R47,AA7:AA46),1))</f>
        <v>44284</v>
      </c>
      <c r="S48" s="3461"/>
      <c r="T48" s="3461">
        <f>IF(F1="售价",ROUND(PRODUCT(T47,AB7:AB46),0),ROUND(PRODUCT(T47,AB7:AB46),1))</f>
        <v>44624</v>
      </c>
      <c r="U48" s="3461"/>
      <c r="V48" s="3461">
        <f>IF(F1="售价",ROUND(PRODUCT(V47,AC7:AC46),0),ROUND(PRODUCT(V47,AC7:AC46),1))</f>
        <v>40625</v>
      </c>
      <c r="W48" s="3461"/>
      <c r="X48" s="1565"/>
      <c r="Y48" s="1565"/>
      <c r="Z48" s="1565"/>
      <c r="AA48" s="1565"/>
      <c r="AB48" s="1565"/>
      <c r="AC48" s="1565"/>
    </row>
    <row r="49" spans="1:29" ht="15.75" thickBot="1">
      <c r="A49" s="624" t="s">
        <v>2947</v>
      </c>
      <c r="B49" s="625"/>
      <c r="C49" s="2672">
        <f>R49</f>
        <v>43178</v>
      </c>
      <c r="D49" s="2672"/>
      <c r="E49" s="2672"/>
      <c r="F49" s="2672"/>
      <c r="G49" s="2672"/>
      <c r="H49" s="2672"/>
      <c r="I49" s="2672"/>
      <c r="J49" s="2672"/>
      <c r="K49" s="1614"/>
      <c r="L49" s="2155"/>
      <c r="M49" s="2156"/>
      <c r="N49" s="2156"/>
      <c r="O49" s="2156"/>
      <c r="P49" s="3385" t="str">
        <f>A49</f>
        <v>估价对象XX用房的比较价格（楼面单价，元/平方米）</v>
      </c>
      <c r="Q49" s="3386"/>
      <c r="R49" s="3460">
        <f>IF(F1="售价",ROUND(AVERAGE(R48:V48),0),ROUND(AVERAGE(R48:V48),1))</f>
        <v>43178</v>
      </c>
      <c r="S49" s="3460"/>
      <c r="T49" s="3460"/>
      <c r="U49" s="3460"/>
      <c r="V49" s="3460"/>
      <c r="W49" s="3460"/>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0.10709999999999997</v>
      </c>
      <c r="F52" s="630" t="str">
        <f>IF(OR(E52&gt;=0.3,E52&lt;=-0.3),"超过30%","")</f>
        <v/>
      </c>
      <c r="G52" s="629">
        <f>IF(G47&lt;G48,G48/G47-1,G47/G48-1)</f>
        <v>6.2476190476190574E-2</v>
      </c>
      <c r="H52" s="630" t="str">
        <f>IF(OR(G52&gt;=0.3,G52&lt;=-0.3),"超过30%","")</f>
        <v/>
      </c>
      <c r="I52" s="629">
        <f>IF(I47&lt;I48,I48/I47-1,I47/I48-1)</f>
        <v>4.1666666666666741E-2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7.6777165567698535E-3</v>
      </c>
      <c r="F53" s="630" t="str">
        <f>IF(OR(E53&gt;=0.2,E53&lt;=-0.2),"超过20%","")</f>
        <v/>
      </c>
      <c r="G53" s="629">
        <f>IF(G48&lt;I48,I48/G48-1,G48/I48-1)</f>
        <v>9.8436923076923089E-2</v>
      </c>
      <c r="H53" s="630" t="str">
        <f>IF(OR(G53&gt;=0.2,G53&lt;=-0.2),"超过20%","")</f>
        <v/>
      </c>
      <c r="I53" s="629">
        <f>IF(I48&lt;E48,E48/I48-1,I48/E48-1)</f>
        <v>9.0067692307692404E-2</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5.0000000000000044E-2</v>
      </c>
      <c r="F54" s="630" t="str">
        <f>IF(OR(E54&gt;=0.3,E54&lt;=-0.3),"超过30%","")</f>
        <v/>
      </c>
      <c r="G54" s="629">
        <f>IF(G47&lt;I47,I47/G47-1,G47/I47-1)</f>
        <v>7.6923076923076872E-2</v>
      </c>
      <c r="H54" s="630" t="str">
        <f>IF(OR(G54&gt;=0.3,G54&lt;=-0.3),"超过30%","")</f>
        <v/>
      </c>
      <c r="I54" s="629">
        <f>IF(I47&lt;E47,E47/I47-1,I47/E47-1)</f>
        <v>2.564102564102555E-2</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2017-10</v>
      </c>
      <c r="D58" s="2844">
        <f>EDATE(C58,-1)</f>
        <v>42979</v>
      </c>
      <c r="E58" s="2844">
        <f t="shared" ref="E58:O58" si="16">EDATE(D58,-1)</f>
        <v>42948</v>
      </c>
      <c r="F58" s="2844">
        <f t="shared" si="16"/>
        <v>42917</v>
      </c>
      <c r="G58" s="2844">
        <f t="shared" si="16"/>
        <v>42887</v>
      </c>
      <c r="H58" s="2844">
        <f t="shared" si="16"/>
        <v>42856</v>
      </c>
      <c r="I58" s="2844">
        <f t="shared" si="16"/>
        <v>42826</v>
      </c>
      <c r="J58" s="2844">
        <f t="shared" si="16"/>
        <v>42795</v>
      </c>
      <c r="K58" s="2844">
        <f t="shared" si="16"/>
        <v>42767</v>
      </c>
      <c r="L58" s="2844">
        <f t="shared" si="16"/>
        <v>42736</v>
      </c>
      <c r="M58" s="2844">
        <f t="shared" si="16"/>
        <v>42705</v>
      </c>
      <c r="N58" s="2844">
        <f t="shared" si="16"/>
        <v>42675</v>
      </c>
      <c r="O58" s="2844">
        <f t="shared" si="16"/>
        <v>42644</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v>100</v>
      </c>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98</v>
      </c>
      <c r="E77" s="682">
        <f>D77-$K15</f>
        <v>96</v>
      </c>
      <c r="F77" s="682">
        <f>E77-$K15</f>
        <v>94</v>
      </c>
      <c r="G77" s="682">
        <f>F77-$K15</f>
        <v>92</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97</v>
      </c>
      <c r="E79" s="682">
        <f>D79-$K17</f>
        <v>94</v>
      </c>
      <c r="F79" s="682">
        <f>E79-$K17</f>
        <v>91</v>
      </c>
      <c r="G79" s="682">
        <f>F79-$K17</f>
        <v>88</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98</v>
      </c>
      <c r="E85" s="682">
        <f>D85-$K23</f>
        <v>96</v>
      </c>
      <c r="F85" s="682">
        <f>E85-$K23</f>
        <v>94</v>
      </c>
      <c r="G85" s="682">
        <f>F85-$K23</f>
        <v>92</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2265</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155" t="s">
        <v>3206</v>
      </c>
      <c r="D100" s="3155" t="s">
        <v>3207</v>
      </c>
      <c r="E100" s="3155" t="s">
        <v>3208</v>
      </c>
      <c r="F100" s="3155" t="s">
        <v>3210</v>
      </c>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99</v>
      </c>
      <c r="E101" s="682">
        <f t="shared" si="22"/>
        <v>98</v>
      </c>
      <c r="F101" s="682">
        <f t="shared" si="22"/>
        <v>97</v>
      </c>
      <c r="G101" s="682">
        <f t="shared" si="22"/>
        <v>96</v>
      </c>
      <c r="H101" s="682">
        <f t="shared" si="22"/>
        <v>95</v>
      </c>
      <c r="I101" s="682">
        <f t="shared" si="22"/>
        <v>94</v>
      </c>
      <c r="J101" s="682">
        <f t="shared" si="22"/>
        <v>93</v>
      </c>
      <c r="K101" s="682">
        <f t="shared" si="22"/>
        <v>92</v>
      </c>
      <c r="L101" s="682">
        <f t="shared" si="22"/>
        <v>91</v>
      </c>
      <c r="M101" s="682">
        <f t="shared" si="22"/>
        <v>90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100000</v>
      </c>
      <c r="E103" s="733">
        <v>200000</v>
      </c>
      <c r="F103" s="733">
        <v>300000</v>
      </c>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102</v>
      </c>
      <c r="E104" s="674">
        <v>104</v>
      </c>
      <c r="F104" s="674">
        <v>106</v>
      </c>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3157" t="s">
        <v>3211</v>
      </c>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3158" t="s">
        <v>3212</v>
      </c>
      <c r="D107" s="3158" t="s">
        <v>3214</v>
      </c>
      <c r="E107" s="3158" t="s">
        <v>3215</v>
      </c>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3157" t="s">
        <v>3217</v>
      </c>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3157" t="s">
        <v>3219</v>
      </c>
      <c r="D114" s="3157" t="s">
        <v>3220</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3157" t="s">
        <v>3221</v>
      </c>
      <c r="D116" s="3157" t="s">
        <v>3222</v>
      </c>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3157" t="s">
        <v>3217</v>
      </c>
      <c r="D122" s="3157" t="s">
        <v>3223</v>
      </c>
      <c r="E122" s="3157" t="s">
        <v>3224</v>
      </c>
      <c r="F122" s="3158" t="s">
        <v>3226</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0</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0</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0</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2266</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2267</v>
      </c>
      <c r="C137" s="1926"/>
      <c r="D137" s="1926"/>
      <c r="E137" s="1926"/>
      <c r="F137" s="1926"/>
      <c r="G137" s="1927"/>
      <c r="H137" s="1928"/>
      <c r="I137" s="1929" t="s">
        <v>2268</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2269</v>
      </c>
      <c r="D138" s="1932" t="s">
        <v>2270</v>
      </c>
      <c r="E138" s="1933" t="s">
        <v>2271</v>
      </c>
      <c r="F138" s="1934" t="s">
        <v>2272</v>
      </c>
      <c r="G138" s="1932" t="s">
        <v>2273</v>
      </c>
      <c r="H138" s="1935" t="s">
        <v>2274</v>
      </c>
      <c r="I138" s="1936"/>
      <c r="J138" s="1932" t="s">
        <v>2275</v>
      </c>
      <c r="K138" s="1935" t="s">
        <v>2276</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2277</v>
      </c>
      <c r="E139" s="1906">
        <v>100</v>
      </c>
      <c r="F139" s="1907">
        <v>102.5</v>
      </c>
      <c r="G139" s="1937" t="s">
        <v>2278</v>
      </c>
      <c r="H139" s="1908">
        <v>105</v>
      </c>
      <c r="I139" s="1938" t="s">
        <v>2279</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2280</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2281</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2282</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2283</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2284</v>
      </c>
      <c r="E144" s="1912">
        <v>102</v>
      </c>
      <c r="F144" s="1918">
        <v>100</v>
      </c>
      <c r="G144" s="1941" t="s">
        <v>2284</v>
      </c>
      <c r="H144" s="1914">
        <v>105</v>
      </c>
      <c r="I144" s="1940" t="s">
        <v>2283</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2285</v>
      </c>
      <c r="C145" s="1919">
        <f>ROUND(MAX(C139:C144)/MIN(C139:C144)-1,3)</f>
        <v>7.2999999999999995E-2</v>
      </c>
      <c r="D145" s="1943"/>
      <c r="E145" s="1943"/>
      <c r="F145" s="1944" t="s">
        <v>2286</v>
      </c>
      <c r="G145" s="1945"/>
      <c r="H145" s="1946"/>
      <c r="I145" s="1947" t="s">
        <v>2283</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2295</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2296</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rintOptions horizontalCentered="1" verticalCentered="1"/>
  <pageMargins left="0.70866141732283472" right="0.70866141732283472" top="1.0629921259842521" bottom="0.94488188976377963" header="0.31496062992125984" footer="0.31496062992125984"/>
  <pageSetup paperSize="9" scale="2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69" t="s">
        <v>523</v>
      </c>
      <c r="D4" s="3370"/>
      <c r="E4" s="3394" t="s">
        <v>524</v>
      </c>
      <c r="F4" s="3395"/>
      <c r="G4" s="3369" t="s">
        <v>525</v>
      </c>
      <c r="H4" s="3370"/>
      <c r="I4" s="3369" t="s">
        <v>526</v>
      </c>
      <c r="J4" s="3370"/>
      <c r="K4" s="517" t="s">
        <v>527</v>
      </c>
      <c r="L4" s="2144"/>
      <c r="M4" s="2145"/>
      <c r="N4" s="2145"/>
      <c r="O4" s="2145"/>
      <c r="P4" s="3371" t="s">
        <v>528</v>
      </c>
      <c r="Q4" s="3372"/>
      <c r="R4" s="3357" t="s">
        <v>524</v>
      </c>
      <c r="S4" s="3358"/>
      <c r="T4" s="3357" t="s">
        <v>525</v>
      </c>
      <c r="U4" s="3358"/>
      <c r="V4" s="3377" t="s">
        <v>526</v>
      </c>
      <c r="W4" s="3377"/>
      <c r="X4" s="1573"/>
      <c r="Y4" s="3357" t="s">
        <v>528</v>
      </c>
      <c r="Z4" s="3358"/>
      <c r="AA4" s="3352" t="s">
        <v>524</v>
      </c>
      <c r="AB4" s="3377" t="s">
        <v>525</v>
      </c>
      <c r="AC4" s="3352" t="s">
        <v>526</v>
      </c>
    </row>
    <row r="5" spans="1:29" ht="15">
      <c r="A5" s="518"/>
      <c r="B5" s="519"/>
      <c r="C5" s="3382" t="s">
        <v>2941</v>
      </c>
      <c r="D5" s="3381"/>
      <c r="E5" s="3396" t="s">
        <v>2942</v>
      </c>
      <c r="F5" s="3397"/>
      <c r="G5" s="3382" t="s">
        <v>2943</v>
      </c>
      <c r="H5" s="3381"/>
      <c r="I5" s="3382" t="s">
        <v>2944</v>
      </c>
      <c r="J5" s="3381"/>
      <c r="K5" s="517"/>
      <c r="L5" s="2144"/>
      <c r="M5" s="2145"/>
      <c r="N5" s="2145"/>
      <c r="O5" s="2145"/>
      <c r="P5" s="3373"/>
      <c r="Q5" s="3374"/>
      <c r="R5" s="3359"/>
      <c r="S5" s="3360"/>
      <c r="T5" s="3359"/>
      <c r="U5" s="3360"/>
      <c r="V5" s="3377"/>
      <c r="W5" s="3377"/>
      <c r="X5" s="1573"/>
      <c r="Y5" s="3359"/>
      <c r="Z5" s="3360"/>
      <c r="AA5" s="3353"/>
      <c r="AB5" s="3377"/>
      <c r="AC5" s="3353"/>
    </row>
    <row r="6" spans="1:29" ht="15.75" thickBot="1">
      <c r="A6" s="520"/>
      <c r="B6" s="521"/>
      <c r="C6" s="3378" t="s">
        <v>2945</v>
      </c>
      <c r="D6" s="3379"/>
      <c r="E6" s="3398" t="s">
        <v>2945</v>
      </c>
      <c r="F6" s="3399"/>
      <c r="G6" s="3378" t="s">
        <v>2945</v>
      </c>
      <c r="H6" s="3379"/>
      <c r="I6" s="3378" t="s">
        <v>2945</v>
      </c>
      <c r="J6" s="3379"/>
      <c r="K6" s="517" t="s">
        <v>529</v>
      </c>
      <c r="L6" s="2144"/>
      <c r="M6" s="2145"/>
      <c r="N6" s="2145"/>
      <c r="O6" s="2145"/>
      <c r="P6" s="3375"/>
      <c r="Q6" s="3376"/>
      <c r="R6" s="3359"/>
      <c r="S6" s="3360"/>
      <c r="T6" s="3361"/>
      <c r="U6" s="3362"/>
      <c r="V6" s="3377"/>
      <c r="W6" s="3377"/>
      <c r="X6" s="1573"/>
      <c r="Y6" s="3361"/>
      <c r="Z6" s="3362"/>
      <c r="AA6" s="3354"/>
      <c r="AB6" s="3377"/>
      <c r="AC6" s="3354"/>
    </row>
    <row r="7" spans="1:29" s="1223" customFormat="1" ht="15.75" thickBot="1">
      <c r="A7" s="2952"/>
      <c r="B7" s="2959" t="s">
        <v>530</v>
      </c>
      <c r="C7" s="522">
        <f>'数据-取费表'!B2</f>
        <v>43038</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55" t="s">
        <v>531</v>
      </c>
      <c r="Q7" s="3364"/>
      <c r="R7" s="1574" t="s">
        <v>8</v>
      </c>
      <c r="S7" s="1575">
        <f t="shared" ref="S7:S15" si="0">F7</f>
        <v>0</v>
      </c>
      <c r="T7" s="1574" t="s">
        <v>8</v>
      </c>
      <c r="U7" s="1575">
        <f t="shared" ref="U7:U15" si="1">H7</f>
        <v>0</v>
      </c>
      <c r="V7" s="1574" t="s">
        <v>8</v>
      </c>
      <c r="W7" s="1575">
        <f t="shared" ref="W7:W15" si="2">J7</f>
        <v>0</v>
      </c>
      <c r="X7" s="1576"/>
      <c r="Y7" s="3355" t="s">
        <v>531</v>
      </c>
      <c r="Z7" s="3356"/>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55" t="s">
        <v>534</v>
      </c>
      <c r="Q8" s="3356"/>
      <c r="R8" s="1574" t="s">
        <v>8</v>
      </c>
      <c r="S8" s="1575">
        <f t="shared" si="0"/>
        <v>0</v>
      </c>
      <c r="T8" s="1574" t="s">
        <v>8</v>
      </c>
      <c r="U8" s="1575">
        <f t="shared" si="1"/>
        <v>0</v>
      </c>
      <c r="V8" s="1574" t="s">
        <v>8</v>
      </c>
      <c r="W8" s="1575">
        <f t="shared" si="2"/>
        <v>0</v>
      </c>
      <c r="X8" s="1576"/>
      <c r="Y8" s="3355" t="s">
        <v>534</v>
      </c>
      <c r="Z8" s="3356"/>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63" t="s">
        <v>536</v>
      </c>
      <c r="Q9" s="1154" t="str">
        <f t="shared" ref="Q9:Q15" si="6">B9</f>
        <v>用途</v>
      </c>
      <c r="R9" s="1574" t="s">
        <v>8</v>
      </c>
      <c r="S9" s="1575">
        <f t="shared" si="0"/>
        <v>100</v>
      </c>
      <c r="T9" s="1574" t="s">
        <v>8</v>
      </c>
      <c r="U9" s="1575">
        <f t="shared" si="1"/>
        <v>100</v>
      </c>
      <c r="V9" s="1574" t="s">
        <v>8</v>
      </c>
      <c r="W9" s="1575">
        <f t="shared" si="2"/>
        <v>100</v>
      </c>
      <c r="X9" s="1576"/>
      <c r="Y9" s="3320"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63"/>
      <c r="Q10" s="1154" t="str">
        <f t="shared" si="6"/>
        <v>土地使用年限（年）</v>
      </c>
      <c r="R10" s="1574" t="s">
        <v>8</v>
      </c>
      <c r="S10" s="1575">
        <f t="shared" si="0"/>
        <v>100</v>
      </c>
      <c r="T10" s="1574" t="s">
        <v>8</v>
      </c>
      <c r="U10" s="1575">
        <f t="shared" si="1"/>
        <v>100</v>
      </c>
      <c r="V10" s="1574" t="s">
        <v>8</v>
      </c>
      <c r="W10" s="1575">
        <f t="shared" si="2"/>
        <v>100</v>
      </c>
      <c r="X10" s="1576"/>
      <c r="Y10" s="3320"/>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63"/>
      <c r="Q11" s="1154" t="str">
        <f t="shared" si="6"/>
        <v>容积率</v>
      </c>
      <c r="R11" s="1574" t="s">
        <v>8</v>
      </c>
      <c r="S11" s="1575" t="e">
        <f t="shared" si="0"/>
        <v>#N/A</v>
      </c>
      <c r="T11" s="1574" t="s">
        <v>8</v>
      </c>
      <c r="U11" s="1575" t="e">
        <f t="shared" si="1"/>
        <v>#N/A</v>
      </c>
      <c r="V11" s="1574" t="s">
        <v>8</v>
      </c>
      <c r="W11" s="1575" t="e">
        <f t="shared" si="2"/>
        <v>#N/A</v>
      </c>
      <c r="X11" s="1576"/>
      <c r="Y11" s="3320"/>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63"/>
      <c r="Q12" s="1154">
        <f t="shared" si="6"/>
        <v>111</v>
      </c>
      <c r="R12" s="1574" t="s">
        <v>8</v>
      </c>
      <c r="S12" s="1575">
        <f t="shared" si="0"/>
        <v>100</v>
      </c>
      <c r="T12" s="1574" t="s">
        <v>8</v>
      </c>
      <c r="U12" s="1575">
        <f t="shared" si="1"/>
        <v>100</v>
      </c>
      <c r="V12" s="1574" t="s">
        <v>8</v>
      </c>
      <c r="W12" s="1575">
        <f t="shared" si="2"/>
        <v>100</v>
      </c>
      <c r="X12" s="1576"/>
      <c r="Y12" s="3320"/>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63"/>
      <c r="Q13" s="1154">
        <f t="shared" si="6"/>
        <v>111</v>
      </c>
      <c r="R13" s="1574" t="s">
        <v>8</v>
      </c>
      <c r="S13" s="1575">
        <f t="shared" si="0"/>
        <v>100</v>
      </c>
      <c r="T13" s="1574" t="s">
        <v>8</v>
      </c>
      <c r="U13" s="1575">
        <f t="shared" si="1"/>
        <v>100</v>
      </c>
      <c r="V13" s="1574" t="s">
        <v>8</v>
      </c>
      <c r="W13" s="1575">
        <f t="shared" si="2"/>
        <v>100</v>
      </c>
      <c r="X13" s="1576"/>
      <c r="Y13" s="3320"/>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63"/>
      <c r="Q14" s="1154">
        <f t="shared" si="6"/>
        <v>111</v>
      </c>
      <c r="R14" s="1574" t="s">
        <v>8</v>
      </c>
      <c r="S14" s="1575">
        <f t="shared" si="0"/>
        <v>100</v>
      </c>
      <c r="T14" s="1574" t="s">
        <v>8</v>
      </c>
      <c r="U14" s="1575">
        <f t="shared" si="1"/>
        <v>100</v>
      </c>
      <c r="V14" s="1574" t="s">
        <v>8</v>
      </c>
      <c r="W14" s="1575">
        <f t="shared" si="2"/>
        <v>100</v>
      </c>
      <c r="X14" s="1576"/>
      <c r="Y14" s="3320"/>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65" t="s">
        <v>541</v>
      </c>
      <c r="Q15" s="1578" t="str">
        <f t="shared" si="6"/>
        <v>商业繁华度</v>
      </c>
      <c r="R15" s="1579" t="s">
        <v>8</v>
      </c>
      <c r="S15" s="1580">
        <f t="shared" si="0"/>
        <v>100</v>
      </c>
      <c r="T15" s="1579" t="s">
        <v>8</v>
      </c>
      <c r="U15" s="1580">
        <f t="shared" si="1"/>
        <v>100</v>
      </c>
      <c r="V15" s="1579" t="s">
        <v>8</v>
      </c>
      <c r="W15" s="1580">
        <f t="shared" si="2"/>
        <v>100</v>
      </c>
      <c r="X15" s="1573"/>
      <c r="Y15" s="3365"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6"/>
      <c r="Q16" s="1578"/>
      <c r="R16" s="1579"/>
      <c r="S16" s="1580"/>
      <c r="T16" s="1579"/>
      <c r="U16" s="1580"/>
      <c r="V16" s="1579"/>
      <c r="W16" s="1580"/>
      <c r="X16" s="1573"/>
      <c r="Y16" s="3366"/>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66"/>
      <c r="Q17" s="1578" t="str">
        <f>B17</f>
        <v>交通便捷度</v>
      </c>
      <c r="R17" s="1579" t="s">
        <v>8</v>
      </c>
      <c r="S17" s="1580">
        <f>F17</f>
        <v>100</v>
      </c>
      <c r="T17" s="1579" t="s">
        <v>8</v>
      </c>
      <c r="U17" s="1580">
        <f>H17</f>
        <v>100</v>
      </c>
      <c r="V17" s="1579" t="s">
        <v>8</v>
      </c>
      <c r="W17" s="1580">
        <f>J17</f>
        <v>100</v>
      </c>
      <c r="X17" s="1573"/>
      <c r="Y17" s="3366"/>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6"/>
      <c r="Q18" s="1578"/>
      <c r="R18" s="1579"/>
      <c r="S18" s="1580"/>
      <c r="T18" s="1579"/>
      <c r="U18" s="1580"/>
      <c r="V18" s="1579"/>
      <c r="W18" s="1580"/>
      <c r="X18" s="1573"/>
      <c r="Y18" s="3366"/>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66"/>
      <c r="Q19" s="1578" t="str">
        <f>B19</f>
        <v>公共配套设施</v>
      </c>
      <c r="R19" s="1579" t="s">
        <v>8</v>
      </c>
      <c r="S19" s="1580">
        <f>F19</f>
        <v>100</v>
      </c>
      <c r="T19" s="1579" t="s">
        <v>8</v>
      </c>
      <c r="U19" s="1580">
        <f>H19</f>
        <v>100</v>
      </c>
      <c r="V19" s="1579" t="s">
        <v>8</v>
      </c>
      <c r="W19" s="1580">
        <f>J19</f>
        <v>100</v>
      </c>
      <c r="X19" s="1573"/>
      <c r="Y19" s="3366"/>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66"/>
      <c r="Q20" s="1578"/>
      <c r="R20" s="1579"/>
      <c r="S20" s="1580"/>
      <c r="T20" s="1579"/>
      <c r="U20" s="1580"/>
      <c r="V20" s="1579"/>
      <c r="W20" s="1580"/>
      <c r="X20" s="1573"/>
      <c r="Y20" s="3366"/>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66"/>
      <c r="Q21" s="2615" t="str">
        <f>B21</f>
        <v>基础设施水平</v>
      </c>
      <c r="R21" s="1579" t="s">
        <v>8</v>
      </c>
      <c r="S21" s="1580">
        <f>F21</f>
        <v>100</v>
      </c>
      <c r="T21" s="1579" t="s">
        <v>8</v>
      </c>
      <c r="U21" s="1580">
        <f>H21</f>
        <v>100</v>
      </c>
      <c r="V21" s="1579" t="s">
        <v>8</v>
      </c>
      <c r="W21" s="1580">
        <f>J21</f>
        <v>100</v>
      </c>
      <c r="X21" s="2617"/>
      <c r="Y21" s="3366"/>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66"/>
      <c r="Q22" s="2615"/>
      <c r="R22" s="1579"/>
      <c r="S22" s="1580"/>
      <c r="T22" s="1579"/>
      <c r="U22" s="1580"/>
      <c r="V22" s="1579"/>
      <c r="W22" s="1580"/>
      <c r="X22" s="2617"/>
      <c r="Y22" s="3366"/>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66"/>
      <c r="Q23" s="1578" t="str">
        <f>B23</f>
        <v>自然及人文环境</v>
      </c>
      <c r="R23" s="1579" t="s">
        <v>8</v>
      </c>
      <c r="S23" s="1580">
        <f>F23</f>
        <v>100</v>
      </c>
      <c r="T23" s="1579" t="s">
        <v>8</v>
      </c>
      <c r="U23" s="1580">
        <f>H23</f>
        <v>100</v>
      </c>
      <c r="V23" s="1579" t="s">
        <v>8</v>
      </c>
      <c r="W23" s="1580">
        <f>J23</f>
        <v>100</v>
      </c>
      <c r="X23" s="1573"/>
      <c r="Y23" s="3366"/>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66"/>
      <c r="Q24" s="1578"/>
      <c r="R24" s="1579"/>
      <c r="S24" s="1580"/>
      <c r="T24" s="1579"/>
      <c r="U24" s="1580"/>
      <c r="V24" s="1579"/>
      <c r="W24" s="1580"/>
      <c r="X24" s="1573"/>
      <c r="Y24" s="3366"/>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66"/>
      <c r="Q25" s="1578" t="str">
        <f t="shared" ref="Q25:Q46" si="11">B25</f>
        <v>临街状况</v>
      </c>
      <c r="R25" s="1579" t="s">
        <v>8</v>
      </c>
      <c r="S25" s="1580">
        <f>F25</f>
        <v>100</v>
      </c>
      <c r="T25" s="1579" t="s">
        <v>8</v>
      </c>
      <c r="U25" s="1580">
        <f>H25</f>
        <v>100</v>
      </c>
      <c r="V25" s="1579" t="s">
        <v>8</v>
      </c>
      <c r="W25" s="1580">
        <f>J25</f>
        <v>100</v>
      </c>
      <c r="X25" s="1573"/>
      <c r="Y25" s="3366"/>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66"/>
      <c r="Q26" s="1578" t="str">
        <f t="shared" si="11"/>
        <v>平面位置/可视性</v>
      </c>
      <c r="R26" s="1579" t="s">
        <v>8</v>
      </c>
      <c r="S26" s="1580">
        <f>F26</f>
        <v>100</v>
      </c>
      <c r="T26" s="1579" t="s">
        <v>8</v>
      </c>
      <c r="U26" s="1580">
        <f>H26</f>
        <v>100</v>
      </c>
      <c r="V26" s="1579" t="s">
        <v>8</v>
      </c>
      <c r="W26" s="1580">
        <f>J26</f>
        <v>100</v>
      </c>
      <c r="X26" s="1573"/>
      <c r="Y26" s="3366"/>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66"/>
      <c r="Q27" s="1154" t="str">
        <f t="shared" si="11"/>
        <v>人流量</v>
      </c>
      <c r="R27" s="1574" t="s">
        <v>8</v>
      </c>
      <c r="S27" s="1575">
        <f>F27</f>
        <v>100</v>
      </c>
      <c r="T27" s="1574" t="s">
        <v>8</v>
      </c>
      <c r="U27" s="1575">
        <f>H27</f>
        <v>100</v>
      </c>
      <c r="V27" s="1574" t="s">
        <v>8</v>
      </c>
      <c r="W27" s="1575">
        <f>J27</f>
        <v>100</v>
      </c>
      <c r="X27" s="1576"/>
      <c r="Y27" s="3366"/>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66"/>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66"/>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66"/>
      <c r="Q29" s="1578">
        <f t="shared" si="11"/>
        <v>111</v>
      </c>
      <c r="R29" s="1579" t="s">
        <v>8</v>
      </c>
      <c r="S29" s="1580">
        <f t="shared" si="12"/>
        <v>100</v>
      </c>
      <c r="T29" s="1579" t="s">
        <v>8</v>
      </c>
      <c r="U29" s="1580">
        <f t="shared" si="13"/>
        <v>100</v>
      </c>
      <c r="V29" s="1579" t="s">
        <v>8</v>
      </c>
      <c r="W29" s="1580">
        <f t="shared" si="14"/>
        <v>100</v>
      </c>
      <c r="X29" s="1573"/>
      <c r="Y29" s="3366"/>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66"/>
      <c r="Q30" s="1578">
        <f t="shared" si="11"/>
        <v>111</v>
      </c>
      <c r="R30" s="1579" t="s">
        <v>8</v>
      </c>
      <c r="S30" s="1580">
        <f t="shared" si="12"/>
        <v>100</v>
      </c>
      <c r="T30" s="1579" t="s">
        <v>8</v>
      </c>
      <c r="U30" s="1580">
        <f t="shared" si="13"/>
        <v>100</v>
      </c>
      <c r="V30" s="1579" t="s">
        <v>8</v>
      </c>
      <c r="W30" s="1580">
        <f t="shared" si="14"/>
        <v>100</v>
      </c>
      <c r="X30" s="1573"/>
      <c r="Y30" s="3366"/>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66"/>
      <c r="Q31" s="1578">
        <f t="shared" si="11"/>
        <v>111</v>
      </c>
      <c r="R31" s="1579" t="s">
        <v>8</v>
      </c>
      <c r="S31" s="1580">
        <f t="shared" si="12"/>
        <v>100</v>
      </c>
      <c r="T31" s="1579" t="s">
        <v>8</v>
      </c>
      <c r="U31" s="1580">
        <f t="shared" si="13"/>
        <v>100</v>
      </c>
      <c r="V31" s="1579" t="s">
        <v>8</v>
      </c>
      <c r="W31" s="1580">
        <f t="shared" si="14"/>
        <v>100</v>
      </c>
      <c r="X31" s="1573"/>
      <c r="Y31" s="3366"/>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67" t="s">
        <v>551</v>
      </c>
      <c r="Q32" s="1578" t="str">
        <f t="shared" si="11"/>
        <v>商业类型</v>
      </c>
      <c r="R32" s="1579" t="s">
        <v>8</v>
      </c>
      <c r="S32" s="1580">
        <f t="shared" si="12"/>
        <v>100</v>
      </c>
      <c r="T32" s="1579" t="s">
        <v>8</v>
      </c>
      <c r="U32" s="1580">
        <f t="shared" si="13"/>
        <v>100</v>
      </c>
      <c r="V32" s="1579" t="s">
        <v>8</v>
      </c>
      <c r="W32" s="1580">
        <f t="shared" si="14"/>
        <v>100</v>
      </c>
      <c r="X32" s="1573"/>
      <c r="Y32" s="3368"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68"/>
      <c r="Q33" s="1611" t="str">
        <f t="shared" si="11"/>
        <v>项目建筑规模</v>
      </c>
      <c r="R33" s="1583" t="s">
        <v>8</v>
      </c>
      <c r="S33" s="1584" t="e">
        <f t="shared" si="12"/>
        <v>#N/A</v>
      </c>
      <c r="T33" s="1583" t="s">
        <v>8</v>
      </c>
      <c r="U33" s="1584" t="e">
        <f t="shared" si="13"/>
        <v>#N/A</v>
      </c>
      <c r="V33" s="1583" t="s">
        <v>8</v>
      </c>
      <c r="W33" s="1584" t="e">
        <f t="shared" si="14"/>
        <v>#N/A</v>
      </c>
      <c r="X33" s="1585"/>
      <c r="Y33" s="3368"/>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68"/>
      <c r="Q34" s="1578" t="str">
        <f t="shared" si="11"/>
        <v>建筑结构</v>
      </c>
      <c r="R34" s="1579" t="s">
        <v>8</v>
      </c>
      <c r="S34" s="1580">
        <f t="shared" si="12"/>
        <v>100</v>
      </c>
      <c r="T34" s="1579" t="s">
        <v>8</v>
      </c>
      <c r="U34" s="1580">
        <f t="shared" si="13"/>
        <v>100</v>
      </c>
      <c r="V34" s="1579" t="s">
        <v>8</v>
      </c>
      <c r="W34" s="1580">
        <f t="shared" si="14"/>
        <v>100</v>
      </c>
      <c r="X34" s="1573"/>
      <c r="Y34" s="3368"/>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68"/>
      <c r="Q35" s="1578" t="str">
        <f t="shared" si="11"/>
        <v>公共部分装修</v>
      </c>
      <c r="R35" s="1579" t="s">
        <v>8</v>
      </c>
      <c r="S35" s="1580">
        <f t="shared" si="12"/>
        <v>100</v>
      </c>
      <c r="T35" s="1579" t="s">
        <v>8</v>
      </c>
      <c r="U35" s="1580">
        <f t="shared" si="13"/>
        <v>100</v>
      </c>
      <c r="V35" s="1579" t="s">
        <v>8</v>
      </c>
      <c r="W35" s="1580">
        <f t="shared" si="14"/>
        <v>100</v>
      </c>
      <c r="X35" s="1573"/>
      <c r="Y35" s="3368"/>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68"/>
      <c r="Q36" s="1578" t="str">
        <f t="shared" si="11"/>
        <v>成新度</v>
      </c>
      <c r="R36" s="1579" t="s">
        <v>8</v>
      </c>
      <c r="S36" s="1580" t="e">
        <f t="shared" si="12"/>
        <v>#N/A</v>
      </c>
      <c r="T36" s="1579" t="s">
        <v>8</v>
      </c>
      <c r="U36" s="1580" t="e">
        <f t="shared" si="13"/>
        <v>#N/A</v>
      </c>
      <c r="V36" s="1579" t="s">
        <v>8</v>
      </c>
      <c r="W36" s="1580" t="e">
        <f t="shared" si="14"/>
        <v>#N/A</v>
      </c>
      <c r="X36" s="1573"/>
      <c r="Y36" s="3368"/>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68"/>
      <c r="Q37" s="1154" t="str">
        <f t="shared" si="11"/>
        <v>市政基础设施</v>
      </c>
      <c r="R37" s="1574" t="s">
        <v>8</v>
      </c>
      <c r="S37" s="1575">
        <f t="shared" si="12"/>
        <v>100</v>
      </c>
      <c r="T37" s="1574" t="s">
        <v>8</v>
      </c>
      <c r="U37" s="1575">
        <f t="shared" si="13"/>
        <v>100</v>
      </c>
      <c r="V37" s="1574" t="s">
        <v>8</v>
      </c>
      <c r="W37" s="1575">
        <f t="shared" si="14"/>
        <v>100</v>
      </c>
      <c r="X37" s="1576"/>
      <c r="Y37" s="3368"/>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68" t="s">
        <v>769</v>
      </c>
      <c r="Q38" s="1578" t="str">
        <f t="shared" si="11"/>
        <v>业态</v>
      </c>
      <c r="R38" s="1579" t="s">
        <v>8</v>
      </c>
      <c r="S38" s="1580">
        <f t="shared" si="12"/>
        <v>100</v>
      </c>
      <c r="T38" s="1579" t="s">
        <v>8</v>
      </c>
      <c r="U38" s="1580">
        <f t="shared" si="13"/>
        <v>100</v>
      </c>
      <c r="V38" s="1579" t="s">
        <v>8</v>
      </c>
      <c r="W38" s="1580">
        <f t="shared" si="14"/>
        <v>100</v>
      </c>
      <c r="X38" s="1573"/>
      <c r="Y38" s="3368"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68"/>
      <c r="Q39" s="1578" t="str">
        <f t="shared" si="11"/>
        <v>层高</v>
      </c>
      <c r="R39" s="1579" t="s">
        <v>8</v>
      </c>
      <c r="S39" s="1580">
        <f t="shared" si="12"/>
        <v>100</v>
      </c>
      <c r="T39" s="1579" t="s">
        <v>8</v>
      </c>
      <c r="U39" s="1580">
        <f t="shared" si="13"/>
        <v>100</v>
      </c>
      <c r="V39" s="1579" t="s">
        <v>8</v>
      </c>
      <c r="W39" s="1580">
        <f t="shared" si="14"/>
        <v>100</v>
      </c>
      <c r="X39" s="1573"/>
      <c r="Y39" s="3368"/>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68"/>
      <c r="Q40" s="1578" t="str">
        <f t="shared" si="11"/>
        <v>单套建筑面积</v>
      </c>
      <c r="R40" s="1579" t="s">
        <v>8</v>
      </c>
      <c r="S40" s="1580">
        <f t="shared" si="12"/>
        <v>100</v>
      </c>
      <c r="T40" s="1579" t="s">
        <v>8</v>
      </c>
      <c r="U40" s="1580">
        <f t="shared" si="13"/>
        <v>100</v>
      </c>
      <c r="V40" s="1579" t="s">
        <v>8</v>
      </c>
      <c r="W40" s="1580">
        <f t="shared" si="14"/>
        <v>100</v>
      </c>
      <c r="X40" s="1573"/>
      <c r="Y40" s="3368"/>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68"/>
      <c r="Q41" s="1611" t="str">
        <f t="shared" si="11"/>
        <v>进深比</v>
      </c>
      <c r="R41" s="1583" t="s">
        <v>8</v>
      </c>
      <c r="S41" s="1584">
        <f t="shared" si="12"/>
        <v>100</v>
      </c>
      <c r="T41" s="1583" t="s">
        <v>8</v>
      </c>
      <c r="U41" s="1584">
        <f t="shared" si="13"/>
        <v>100</v>
      </c>
      <c r="V41" s="1583" t="s">
        <v>8</v>
      </c>
      <c r="W41" s="1584">
        <f t="shared" si="14"/>
        <v>100</v>
      </c>
      <c r="X41" s="1585"/>
      <c r="Y41" s="3368"/>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68"/>
      <c r="Q42" s="1578" t="str">
        <f t="shared" si="11"/>
        <v>内部装修</v>
      </c>
      <c r="R42" s="1579" t="s">
        <v>8</v>
      </c>
      <c r="S42" s="1580">
        <f t="shared" si="12"/>
        <v>100</v>
      </c>
      <c r="T42" s="1579" t="s">
        <v>8</v>
      </c>
      <c r="U42" s="1580">
        <f t="shared" si="13"/>
        <v>100</v>
      </c>
      <c r="V42" s="1579" t="s">
        <v>8</v>
      </c>
      <c r="W42" s="1580">
        <f t="shared" si="14"/>
        <v>100</v>
      </c>
      <c r="X42" s="1573"/>
      <c r="Y42" s="3368"/>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68"/>
      <c r="Q43" s="1578" t="str">
        <f t="shared" si="11"/>
        <v>内部装修维护情况</v>
      </c>
      <c r="R43" s="1579" t="s">
        <v>8</v>
      </c>
      <c r="S43" s="1580">
        <f t="shared" si="12"/>
        <v>100</v>
      </c>
      <c r="T43" s="1579" t="s">
        <v>8</v>
      </c>
      <c r="U43" s="1580">
        <f t="shared" si="13"/>
        <v>100</v>
      </c>
      <c r="V43" s="1579" t="s">
        <v>8</v>
      </c>
      <c r="W43" s="1580">
        <f t="shared" si="14"/>
        <v>100</v>
      </c>
      <c r="X43" s="1573"/>
      <c r="Y43" s="3368"/>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68"/>
      <c r="Q44" s="1154">
        <f t="shared" si="11"/>
        <v>111</v>
      </c>
      <c r="R44" s="1574" t="s">
        <v>8</v>
      </c>
      <c r="S44" s="1575">
        <f t="shared" si="12"/>
        <v>100</v>
      </c>
      <c r="T44" s="1574" t="s">
        <v>8</v>
      </c>
      <c r="U44" s="1575">
        <f t="shared" si="13"/>
        <v>100</v>
      </c>
      <c r="V44" s="1574" t="s">
        <v>8</v>
      </c>
      <c r="W44" s="1575">
        <f t="shared" si="14"/>
        <v>100</v>
      </c>
      <c r="X44" s="1576"/>
      <c r="Y44" s="3368"/>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68"/>
      <c r="Q45" s="1578">
        <f t="shared" si="11"/>
        <v>111</v>
      </c>
      <c r="R45" s="1579" t="s">
        <v>8</v>
      </c>
      <c r="S45" s="1580">
        <f t="shared" si="12"/>
        <v>100</v>
      </c>
      <c r="T45" s="1579" t="s">
        <v>8</v>
      </c>
      <c r="U45" s="1580">
        <f t="shared" si="13"/>
        <v>100</v>
      </c>
      <c r="V45" s="1579" t="s">
        <v>8</v>
      </c>
      <c r="W45" s="1580">
        <f t="shared" si="14"/>
        <v>100</v>
      </c>
      <c r="X45" s="1573"/>
      <c r="Y45" s="3368"/>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62"/>
      <c r="Q46" s="1578">
        <f t="shared" si="11"/>
        <v>111</v>
      </c>
      <c r="R46" s="1579" t="s">
        <v>8</v>
      </c>
      <c r="S46" s="1580">
        <f t="shared" si="12"/>
        <v>100</v>
      </c>
      <c r="T46" s="1579" t="s">
        <v>8</v>
      </c>
      <c r="U46" s="1580">
        <f t="shared" si="13"/>
        <v>100</v>
      </c>
      <c r="V46" s="1579" t="s">
        <v>8</v>
      </c>
      <c r="W46" s="1580">
        <f t="shared" si="14"/>
        <v>100</v>
      </c>
      <c r="X46" s="1573"/>
      <c r="Y46" s="3462"/>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63" t="str">
        <f>A47</f>
        <v>成交单价（元/平方米）</v>
      </c>
      <c r="Q47" s="3363"/>
      <c r="R47" s="3461">
        <f>E47</f>
        <v>0</v>
      </c>
      <c r="S47" s="3461"/>
      <c r="T47" s="3461">
        <f>G47</f>
        <v>0</v>
      </c>
      <c r="U47" s="3461"/>
      <c r="V47" s="3461">
        <f>I47</f>
        <v>0</v>
      </c>
      <c r="W47" s="3461"/>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63" t="str">
        <f>A48</f>
        <v>比较价格（元/平方米）</v>
      </c>
      <c r="Q48" s="3363"/>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5"/>
      <c r="Y48" s="1565"/>
      <c r="Z48" s="1565"/>
      <c r="AA48" s="1565"/>
      <c r="AB48" s="1565"/>
      <c r="AC48" s="1565"/>
    </row>
    <row r="49" spans="1:29" ht="15.75" thickBot="1">
      <c r="A49" s="624" t="s">
        <v>2947</v>
      </c>
      <c r="B49" s="625"/>
      <c r="C49" s="2672" t="e">
        <f>R49</f>
        <v>#DIV/0!</v>
      </c>
      <c r="D49" s="2672"/>
      <c r="E49" s="2672"/>
      <c r="F49" s="2672"/>
      <c r="G49" s="2672"/>
      <c r="H49" s="2672"/>
      <c r="I49" s="2672"/>
      <c r="J49" s="2672"/>
      <c r="K49" s="1619"/>
      <c r="L49" s="2155"/>
      <c r="M49" s="2156"/>
      <c r="N49" s="2145"/>
      <c r="O49" s="2156"/>
      <c r="P49" s="3385" t="str">
        <f>A49</f>
        <v>估价对象XX用房的比较价格（楼面单价，元/平方米）</v>
      </c>
      <c r="Q49" s="3386"/>
      <c r="R49" s="3460" t="e">
        <f>IF(F1="售价",ROUND(AVERAGE(R48:V48),0),ROUND(AVERAGE(R48:V48),1))</f>
        <v>#DIV/0!</v>
      </c>
      <c r="S49" s="3460"/>
      <c r="T49" s="3460"/>
      <c r="U49" s="3460"/>
      <c r="V49" s="3460"/>
      <c r="W49" s="3460"/>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2017-10</v>
      </c>
      <c r="D58" s="2844">
        <f>EDATE(C58,-1)</f>
        <v>42979</v>
      </c>
      <c r="E58" s="2844">
        <f t="shared" ref="E58:O58" si="16">EDATE(D58,-1)</f>
        <v>42948</v>
      </c>
      <c r="F58" s="2844">
        <f t="shared" si="16"/>
        <v>42917</v>
      </c>
      <c r="G58" s="2844">
        <f t="shared" si="16"/>
        <v>42887</v>
      </c>
      <c r="H58" s="2844">
        <f t="shared" si="16"/>
        <v>42856</v>
      </c>
      <c r="I58" s="2844">
        <f t="shared" si="16"/>
        <v>42826</v>
      </c>
      <c r="J58" s="2844">
        <f t="shared" si="16"/>
        <v>42795</v>
      </c>
      <c r="K58" s="2844">
        <f t="shared" si="16"/>
        <v>42767</v>
      </c>
      <c r="L58" s="2844">
        <f t="shared" si="16"/>
        <v>42736</v>
      </c>
      <c r="M58" s="2844">
        <f t="shared" si="16"/>
        <v>42705</v>
      </c>
      <c r="N58" s="2844">
        <f t="shared" si="16"/>
        <v>42675</v>
      </c>
      <c r="O58" s="2844">
        <f t="shared" si="16"/>
        <v>42644</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69" t="s">
        <v>523</v>
      </c>
      <c r="D4" s="3370"/>
      <c r="E4" s="3394" t="s">
        <v>524</v>
      </c>
      <c r="F4" s="3395"/>
      <c r="G4" s="3369" t="s">
        <v>525</v>
      </c>
      <c r="H4" s="3370"/>
      <c r="I4" s="3369" t="s">
        <v>526</v>
      </c>
      <c r="J4" s="3370"/>
      <c r="K4" s="517" t="s">
        <v>527</v>
      </c>
      <c r="L4" s="2144"/>
      <c r="M4" s="2145"/>
      <c r="N4" s="2145"/>
      <c r="O4" s="2145"/>
      <c r="P4" s="3463" t="s">
        <v>528</v>
      </c>
      <c r="Q4" s="3372"/>
      <c r="R4" s="3357" t="s">
        <v>524</v>
      </c>
      <c r="S4" s="3358"/>
      <c r="T4" s="3357" t="s">
        <v>525</v>
      </c>
      <c r="U4" s="3358"/>
      <c r="V4" s="3377" t="s">
        <v>526</v>
      </c>
      <c r="W4" s="3377"/>
      <c r="X4" s="1573"/>
      <c r="Y4" s="3357" t="s">
        <v>528</v>
      </c>
      <c r="Z4" s="3358"/>
      <c r="AA4" s="3352" t="s">
        <v>524</v>
      </c>
      <c r="AB4" s="3352" t="s">
        <v>525</v>
      </c>
      <c r="AC4" s="3352" t="s">
        <v>526</v>
      </c>
    </row>
    <row r="5" spans="1:29" ht="15">
      <c r="A5" s="518"/>
      <c r="B5" s="519"/>
      <c r="C5" s="3382" t="s">
        <v>2941</v>
      </c>
      <c r="D5" s="3381"/>
      <c r="E5" s="3396" t="s">
        <v>2942</v>
      </c>
      <c r="F5" s="3397"/>
      <c r="G5" s="3382" t="s">
        <v>2943</v>
      </c>
      <c r="H5" s="3381"/>
      <c r="I5" s="3382" t="s">
        <v>2944</v>
      </c>
      <c r="J5" s="3381"/>
      <c r="K5" s="517"/>
      <c r="L5" s="2144"/>
      <c r="M5" s="2145"/>
      <c r="N5" s="2145"/>
      <c r="O5" s="2145"/>
      <c r="P5" s="3464"/>
      <c r="Q5" s="3374"/>
      <c r="R5" s="3359"/>
      <c r="S5" s="3360"/>
      <c r="T5" s="3359"/>
      <c r="U5" s="3360"/>
      <c r="V5" s="3377"/>
      <c r="W5" s="3377"/>
      <c r="X5" s="1573"/>
      <c r="Y5" s="3359"/>
      <c r="Z5" s="3360"/>
      <c r="AA5" s="3353"/>
      <c r="AB5" s="3353"/>
      <c r="AC5" s="3353"/>
    </row>
    <row r="6" spans="1:29" ht="15.75" thickBot="1">
      <c r="A6" s="520"/>
      <c r="B6" s="521"/>
      <c r="C6" s="3378" t="s">
        <v>2945</v>
      </c>
      <c r="D6" s="3379"/>
      <c r="E6" s="3398" t="s">
        <v>2945</v>
      </c>
      <c r="F6" s="3399"/>
      <c r="G6" s="3378" t="s">
        <v>2945</v>
      </c>
      <c r="H6" s="3379"/>
      <c r="I6" s="3378" t="s">
        <v>2945</v>
      </c>
      <c r="J6" s="3379"/>
      <c r="K6" s="517" t="s">
        <v>529</v>
      </c>
      <c r="L6" s="2144"/>
      <c r="M6" s="2145"/>
      <c r="N6" s="2145"/>
      <c r="O6" s="2145"/>
      <c r="P6" s="3465"/>
      <c r="Q6" s="3376"/>
      <c r="R6" s="3359"/>
      <c r="S6" s="3360"/>
      <c r="T6" s="3361"/>
      <c r="U6" s="3362"/>
      <c r="V6" s="3377"/>
      <c r="W6" s="3377"/>
      <c r="X6" s="1573"/>
      <c r="Y6" s="3361"/>
      <c r="Z6" s="3362"/>
      <c r="AA6" s="3354"/>
      <c r="AB6" s="3354"/>
      <c r="AC6" s="3354"/>
    </row>
    <row r="7" spans="1:29" s="1223" customFormat="1" ht="15.75" thickBot="1">
      <c r="A7" s="2952"/>
      <c r="B7" s="2959" t="s">
        <v>530</v>
      </c>
      <c r="C7" s="522">
        <f>'数据-取费表'!B2</f>
        <v>43038</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64" t="s">
        <v>531</v>
      </c>
      <c r="Q7" s="3364"/>
      <c r="R7" s="1574" t="s">
        <v>8</v>
      </c>
      <c r="S7" s="1575">
        <f t="shared" ref="S7:S15" si="0">F7</f>
        <v>0</v>
      </c>
      <c r="T7" s="1574" t="s">
        <v>8</v>
      </c>
      <c r="U7" s="1575">
        <f t="shared" ref="U7:U15" si="1">H7</f>
        <v>0</v>
      </c>
      <c r="V7" s="1574" t="s">
        <v>8</v>
      </c>
      <c r="W7" s="1575">
        <f t="shared" ref="W7:W15" si="2">J7</f>
        <v>0</v>
      </c>
      <c r="X7" s="1576"/>
      <c r="Y7" s="3355" t="s">
        <v>531</v>
      </c>
      <c r="Z7" s="3356"/>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64" t="s">
        <v>534</v>
      </c>
      <c r="Q8" s="3356"/>
      <c r="R8" s="1574" t="s">
        <v>8</v>
      </c>
      <c r="S8" s="1575">
        <f t="shared" si="0"/>
        <v>0</v>
      </c>
      <c r="T8" s="1574" t="s">
        <v>8</v>
      </c>
      <c r="U8" s="1575">
        <f t="shared" si="1"/>
        <v>0</v>
      </c>
      <c r="V8" s="1574" t="s">
        <v>8</v>
      </c>
      <c r="W8" s="1575">
        <f t="shared" si="2"/>
        <v>0</v>
      </c>
      <c r="X8" s="1576"/>
      <c r="Y8" s="3355" t="s">
        <v>534</v>
      </c>
      <c r="Z8" s="3356"/>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63" t="s">
        <v>536</v>
      </c>
      <c r="Q9" s="1154" t="str">
        <f t="shared" ref="Q9:Q15" si="6">B9</f>
        <v>用途</v>
      </c>
      <c r="R9" s="1574" t="s">
        <v>8</v>
      </c>
      <c r="S9" s="1575">
        <f t="shared" si="0"/>
        <v>100</v>
      </c>
      <c r="T9" s="1574" t="s">
        <v>8</v>
      </c>
      <c r="U9" s="1575">
        <f t="shared" si="1"/>
        <v>100</v>
      </c>
      <c r="V9" s="1574" t="s">
        <v>8</v>
      </c>
      <c r="W9" s="1575">
        <f t="shared" si="2"/>
        <v>100</v>
      </c>
      <c r="X9" s="1576"/>
      <c r="Y9" s="3320"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63"/>
      <c r="Q10" s="1154" t="str">
        <f t="shared" si="6"/>
        <v>土地使用年限（年）</v>
      </c>
      <c r="R10" s="1574" t="s">
        <v>8</v>
      </c>
      <c r="S10" s="1575">
        <f t="shared" si="0"/>
        <v>100</v>
      </c>
      <c r="T10" s="1574" t="s">
        <v>8</v>
      </c>
      <c r="U10" s="1575">
        <f t="shared" si="1"/>
        <v>100</v>
      </c>
      <c r="V10" s="1574" t="s">
        <v>8</v>
      </c>
      <c r="W10" s="1575">
        <f t="shared" si="2"/>
        <v>100</v>
      </c>
      <c r="X10" s="1576"/>
      <c r="Y10" s="3320"/>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63"/>
      <c r="Q11" s="1154" t="str">
        <f t="shared" si="6"/>
        <v>容积率</v>
      </c>
      <c r="R11" s="1574" t="s">
        <v>8</v>
      </c>
      <c r="S11" s="1575" t="e">
        <f t="shared" si="0"/>
        <v>#N/A</v>
      </c>
      <c r="T11" s="1574" t="s">
        <v>8</v>
      </c>
      <c r="U11" s="1575" t="e">
        <f t="shared" si="1"/>
        <v>#N/A</v>
      </c>
      <c r="V11" s="1574" t="s">
        <v>8</v>
      </c>
      <c r="W11" s="1575" t="e">
        <f t="shared" si="2"/>
        <v>#N/A</v>
      </c>
      <c r="X11" s="1576"/>
      <c r="Y11" s="3320"/>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63"/>
      <c r="Q12" s="1154">
        <f t="shared" si="6"/>
        <v>111</v>
      </c>
      <c r="R12" s="1574" t="s">
        <v>8</v>
      </c>
      <c r="S12" s="1575">
        <f t="shared" si="0"/>
        <v>100</v>
      </c>
      <c r="T12" s="1574" t="s">
        <v>8</v>
      </c>
      <c r="U12" s="1575">
        <f t="shared" si="1"/>
        <v>100</v>
      </c>
      <c r="V12" s="1574" t="s">
        <v>8</v>
      </c>
      <c r="W12" s="1575">
        <f t="shared" si="2"/>
        <v>100</v>
      </c>
      <c r="X12" s="1576"/>
      <c r="Y12" s="3320"/>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63"/>
      <c r="Q13" s="1154">
        <f t="shared" si="6"/>
        <v>111</v>
      </c>
      <c r="R13" s="1574" t="s">
        <v>8</v>
      </c>
      <c r="S13" s="1575">
        <f t="shared" si="0"/>
        <v>100</v>
      </c>
      <c r="T13" s="1574" t="s">
        <v>8</v>
      </c>
      <c r="U13" s="1575">
        <f t="shared" si="1"/>
        <v>100</v>
      </c>
      <c r="V13" s="1574" t="s">
        <v>8</v>
      </c>
      <c r="W13" s="1575">
        <f t="shared" si="2"/>
        <v>100</v>
      </c>
      <c r="X13" s="1576"/>
      <c r="Y13" s="3320"/>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63"/>
      <c r="Q14" s="1154">
        <f t="shared" si="6"/>
        <v>111</v>
      </c>
      <c r="R14" s="1574" t="s">
        <v>8</v>
      </c>
      <c r="S14" s="1575">
        <f t="shared" si="0"/>
        <v>100</v>
      </c>
      <c r="T14" s="1574" t="s">
        <v>8</v>
      </c>
      <c r="U14" s="1575">
        <f t="shared" si="1"/>
        <v>100</v>
      </c>
      <c r="V14" s="1574" t="s">
        <v>8</v>
      </c>
      <c r="W14" s="1575">
        <f t="shared" si="2"/>
        <v>100</v>
      </c>
      <c r="X14" s="1576"/>
      <c r="Y14" s="3320"/>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65" t="s">
        <v>541</v>
      </c>
      <c r="Q15" s="1578" t="str">
        <f t="shared" si="6"/>
        <v>办公集聚程度</v>
      </c>
      <c r="R15" s="1579" t="s">
        <v>8</v>
      </c>
      <c r="S15" s="1580">
        <f t="shared" si="0"/>
        <v>100</v>
      </c>
      <c r="T15" s="1579" t="s">
        <v>8</v>
      </c>
      <c r="U15" s="1580">
        <f t="shared" si="1"/>
        <v>100</v>
      </c>
      <c r="V15" s="1579" t="s">
        <v>8</v>
      </c>
      <c r="W15" s="1580">
        <f t="shared" si="2"/>
        <v>100</v>
      </c>
      <c r="X15" s="1573"/>
      <c r="Y15" s="3365"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66"/>
      <c r="Q16" s="1578"/>
      <c r="R16" s="1579"/>
      <c r="S16" s="1580"/>
      <c r="T16" s="1579"/>
      <c r="U16" s="1580"/>
      <c r="V16" s="1579"/>
      <c r="W16" s="1580"/>
      <c r="X16" s="1573"/>
      <c r="Y16" s="3366"/>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66"/>
      <c r="Q17" s="1578" t="str">
        <f>B17</f>
        <v>交通便捷度</v>
      </c>
      <c r="R17" s="1579" t="s">
        <v>8</v>
      </c>
      <c r="S17" s="1580">
        <f>F17</f>
        <v>100</v>
      </c>
      <c r="T17" s="1579" t="s">
        <v>8</v>
      </c>
      <c r="U17" s="1580">
        <f>H17</f>
        <v>100</v>
      </c>
      <c r="V17" s="1579" t="s">
        <v>8</v>
      </c>
      <c r="W17" s="1580">
        <f>J17</f>
        <v>100</v>
      </c>
      <c r="X17" s="1573"/>
      <c r="Y17" s="3366"/>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66"/>
      <c r="Q18" s="1578"/>
      <c r="R18" s="1579"/>
      <c r="S18" s="1580"/>
      <c r="T18" s="1579"/>
      <c r="U18" s="1580"/>
      <c r="V18" s="1579"/>
      <c r="W18" s="1580"/>
      <c r="X18" s="1573"/>
      <c r="Y18" s="3366"/>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66"/>
      <c r="Q19" s="1578" t="str">
        <f>B19</f>
        <v>公共配套设施</v>
      </c>
      <c r="R19" s="1579" t="s">
        <v>8</v>
      </c>
      <c r="S19" s="1580">
        <f>F19</f>
        <v>100</v>
      </c>
      <c r="T19" s="1579" t="s">
        <v>8</v>
      </c>
      <c r="U19" s="1580">
        <f>H19</f>
        <v>100</v>
      </c>
      <c r="V19" s="1579" t="s">
        <v>8</v>
      </c>
      <c r="W19" s="1580">
        <f>J19</f>
        <v>100</v>
      </c>
      <c r="X19" s="1573"/>
      <c r="Y19" s="3366"/>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66"/>
      <c r="Q20" s="1578"/>
      <c r="R20" s="1579"/>
      <c r="S20" s="1580"/>
      <c r="T20" s="1579"/>
      <c r="U20" s="1580"/>
      <c r="V20" s="1579"/>
      <c r="W20" s="1580"/>
      <c r="X20" s="1573"/>
      <c r="Y20" s="3366"/>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66"/>
      <c r="Q21" s="2615" t="str">
        <f>B21</f>
        <v>基础设施水平</v>
      </c>
      <c r="R21" s="1579" t="s">
        <v>8</v>
      </c>
      <c r="S21" s="1580">
        <f>F21</f>
        <v>100</v>
      </c>
      <c r="T21" s="1579" t="s">
        <v>8</v>
      </c>
      <c r="U21" s="1580">
        <f>H21</f>
        <v>100</v>
      </c>
      <c r="V21" s="1579" t="s">
        <v>8</v>
      </c>
      <c r="W21" s="1580">
        <f>J21</f>
        <v>100</v>
      </c>
      <c r="X21" s="2617"/>
      <c r="Y21" s="3366"/>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66"/>
      <c r="Q22" s="2615"/>
      <c r="R22" s="1579"/>
      <c r="S22" s="1580"/>
      <c r="T22" s="1579"/>
      <c r="U22" s="1580"/>
      <c r="V22" s="1579"/>
      <c r="W22" s="1580"/>
      <c r="X22" s="2617"/>
      <c r="Y22" s="3366"/>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66"/>
      <c r="Q23" s="1578" t="str">
        <f>B23</f>
        <v>环境质量</v>
      </c>
      <c r="R23" s="1579" t="s">
        <v>8</v>
      </c>
      <c r="S23" s="1580">
        <f>F23</f>
        <v>100</v>
      </c>
      <c r="T23" s="1579" t="s">
        <v>8</v>
      </c>
      <c r="U23" s="1580">
        <f>H23</f>
        <v>100</v>
      </c>
      <c r="V23" s="1579" t="s">
        <v>8</v>
      </c>
      <c r="W23" s="1580">
        <f>J23</f>
        <v>100</v>
      </c>
      <c r="X23" s="1573"/>
      <c r="Y23" s="3366"/>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66"/>
      <c r="Q24" s="1578"/>
      <c r="R24" s="1579"/>
      <c r="S24" s="1580"/>
      <c r="T24" s="1579"/>
      <c r="U24" s="1580"/>
      <c r="V24" s="1579"/>
      <c r="W24" s="1580"/>
      <c r="X24" s="1573"/>
      <c r="Y24" s="3366"/>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66"/>
      <c r="Q25" s="1578" t="str">
        <f>B25</f>
        <v>毗邻道路的类型与等级</v>
      </c>
      <c r="R25" s="1579" t="s">
        <v>8</v>
      </c>
      <c r="S25" s="1580">
        <f>F25</f>
        <v>100</v>
      </c>
      <c r="T25" s="1579" t="s">
        <v>8</v>
      </c>
      <c r="U25" s="1580">
        <f>H25</f>
        <v>100</v>
      </c>
      <c r="V25" s="1579" t="s">
        <v>8</v>
      </c>
      <c r="W25" s="1580">
        <f>J25</f>
        <v>100</v>
      </c>
      <c r="X25" s="1573"/>
      <c r="Y25" s="3366"/>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66"/>
      <c r="Q26" s="1578"/>
      <c r="R26" s="1579"/>
      <c r="S26" s="1580"/>
      <c r="T26" s="1579"/>
      <c r="U26" s="1580"/>
      <c r="V26" s="1579"/>
      <c r="W26" s="1580"/>
      <c r="X26" s="1573"/>
      <c r="Y26" s="3366"/>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66"/>
      <c r="Q27" s="1578" t="str">
        <f t="shared" ref="Q27:Q47" si="11">B27</f>
        <v>楼层</v>
      </c>
      <c r="R27" s="1579" t="s">
        <v>8</v>
      </c>
      <c r="S27" s="1580">
        <f>F27</f>
        <v>100</v>
      </c>
      <c r="T27" s="1579" t="s">
        <v>8</v>
      </c>
      <c r="U27" s="1580">
        <f>H27</f>
        <v>100</v>
      </c>
      <c r="V27" s="1579" t="s">
        <v>8</v>
      </c>
      <c r="W27" s="1580">
        <f>J27</f>
        <v>100</v>
      </c>
      <c r="X27" s="1573"/>
      <c r="Y27" s="3366"/>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66"/>
      <c r="Q28" s="1154" t="str">
        <f t="shared" si="11"/>
        <v>朝向</v>
      </c>
      <c r="R28" s="1574" t="s">
        <v>8</v>
      </c>
      <c r="S28" s="1575">
        <f>F28</f>
        <v>100</v>
      </c>
      <c r="T28" s="1574" t="s">
        <v>8</v>
      </c>
      <c r="U28" s="1575">
        <f>H28</f>
        <v>100</v>
      </c>
      <c r="V28" s="1574" t="s">
        <v>8</v>
      </c>
      <c r="W28" s="1575">
        <f>J28</f>
        <v>100</v>
      </c>
      <c r="X28" s="1576"/>
      <c r="Y28" s="3366"/>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66"/>
      <c r="Q29" s="1578">
        <f t="shared" si="11"/>
        <v>111</v>
      </c>
      <c r="R29" s="1579" t="s">
        <v>8</v>
      </c>
      <c r="S29" s="1580">
        <f t="shared" ref="S29:S47" si="12">F29</f>
        <v>100</v>
      </c>
      <c r="T29" s="1579" t="s">
        <v>8</v>
      </c>
      <c r="U29" s="1580">
        <f t="shared" ref="U29:U47" si="13">H29</f>
        <v>100</v>
      </c>
      <c r="V29" s="1579" t="s">
        <v>8</v>
      </c>
      <c r="W29" s="1580">
        <f t="shared" ref="W29:W47" si="14">J29</f>
        <v>100</v>
      </c>
      <c r="X29" s="1573"/>
      <c r="Y29" s="3366"/>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66"/>
      <c r="Q30" s="1578">
        <f t="shared" si="11"/>
        <v>111</v>
      </c>
      <c r="R30" s="1579" t="s">
        <v>8</v>
      </c>
      <c r="S30" s="1580">
        <f t="shared" si="12"/>
        <v>100</v>
      </c>
      <c r="T30" s="1579" t="s">
        <v>8</v>
      </c>
      <c r="U30" s="1580">
        <f t="shared" si="13"/>
        <v>100</v>
      </c>
      <c r="V30" s="1579" t="s">
        <v>8</v>
      </c>
      <c r="W30" s="1580">
        <f t="shared" si="14"/>
        <v>100</v>
      </c>
      <c r="X30" s="1573"/>
      <c r="Y30" s="3366"/>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66"/>
      <c r="Q31" s="1578">
        <f t="shared" si="11"/>
        <v>111</v>
      </c>
      <c r="R31" s="1579" t="s">
        <v>8</v>
      </c>
      <c r="S31" s="1580">
        <f t="shared" si="12"/>
        <v>100</v>
      </c>
      <c r="T31" s="1579" t="s">
        <v>8</v>
      </c>
      <c r="U31" s="1580">
        <f t="shared" si="13"/>
        <v>100</v>
      </c>
      <c r="V31" s="1579" t="s">
        <v>8</v>
      </c>
      <c r="W31" s="1580">
        <f t="shared" si="14"/>
        <v>100</v>
      </c>
      <c r="X31" s="1573"/>
      <c r="Y31" s="3366"/>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66"/>
      <c r="Q32" s="1578">
        <f t="shared" si="11"/>
        <v>111</v>
      </c>
      <c r="R32" s="1579" t="s">
        <v>8</v>
      </c>
      <c r="S32" s="1580">
        <f t="shared" si="12"/>
        <v>100</v>
      </c>
      <c r="T32" s="1579" t="s">
        <v>8</v>
      </c>
      <c r="U32" s="1580">
        <f t="shared" si="13"/>
        <v>100</v>
      </c>
      <c r="V32" s="1579" t="s">
        <v>8</v>
      </c>
      <c r="W32" s="1580">
        <f t="shared" si="14"/>
        <v>100</v>
      </c>
      <c r="X32" s="1573"/>
      <c r="Y32" s="3366"/>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67" t="s">
        <v>551</v>
      </c>
      <c r="Q33" s="1578" t="str">
        <f t="shared" si="11"/>
        <v>建筑类型</v>
      </c>
      <c r="R33" s="1579" t="s">
        <v>8</v>
      </c>
      <c r="S33" s="1580">
        <f t="shared" si="12"/>
        <v>100</v>
      </c>
      <c r="T33" s="1579" t="s">
        <v>8</v>
      </c>
      <c r="U33" s="1580">
        <f t="shared" si="13"/>
        <v>100</v>
      </c>
      <c r="V33" s="1579" t="s">
        <v>8</v>
      </c>
      <c r="W33" s="1580">
        <f t="shared" si="14"/>
        <v>100</v>
      </c>
      <c r="X33" s="1573"/>
      <c r="Y33" s="3368"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68"/>
      <c r="Q34" s="1611" t="str">
        <f t="shared" si="11"/>
        <v>项目建筑规模</v>
      </c>
      <c r="R34" s="1583" t="s">
        <v>8</v>
      </c>
      <c r="S34" s="1584" t="e">
        <f t="shared" si="12"/>
        <v>#N/A</v>
      </c>
      <c r="T34" s="1583" t="s">
        <v>8</v>
      </c>
      <c r="U34" s="1584" t="e">
        <f t="shared" si="13"/>
        <v>#N/A</v>
      </c>
      <c r="V34" s="1583" t="s">
        <v>8</v>
      </c>
      <c r="W34" s="1584" t="e">
        <f t="shared" si="14"/>
        <v>#N/A</v>
      </c>
      <c r="X34" s="1585"/>
      <c r="Y34" s="3368"/>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68"/>
      <c r="Q35" s="1578" t="str">
        <f t="shared" si="11"/>
        <v>建筑结构</v>
      </c>
      <c r="R35" s="1579" t="s">
        <v>8</v>
      </c>
      <c r="S35" s="1580">
        <f t="shared" si="12"/>
        <v>100</v>
      </c>
      <c r="T35" s="1579" t="s">
        <v>8</v>
      </c>
      <c r="U35" s="1580">
        <f t="shared" si="13"/>
        <v>100</v>
      </c>
      <c r="V35" s="1579" t="s">
        <v>8</v>
      </c>
      <c r="W35" s="1580">
        <f t="shared" si="14"/>
        <v>100</v>
      </c>
      <c r="X35" s="1573"/>
      <c r="Y35" s="3368"/>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68"/>
      <c r="Q36" s="1578" t="str">
        <f t="shared" si="11"/>
        <v>公共部分装修</v>
      </c>
      <c r="R36" s="1579" t="s">
        <v>8</v>
      </c>
      <c r="S36" s="1580">
        <f t="shared" si="12"/>
        <v>100</v>
      </c>
      <c r="T36" s="1579" t="s">
        <v>8</v>
      </c>
      <c r="U36" s="1580">
        <f t="shared" si="13"/>
        <v>100</v>
      </c>
      <c r="V36" s="1579" t="s">
        <v>8</v>
      </c>
      <c r="W36" s="1580">
        <f t="shared" si="14"/>
        <v>100</v>
      </c>
      <c r="X36" s="1573"/>
      <c r="Y36" s="3368"/>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68"/>
      <c r="Q37" s="1578" t="str">
        <f t="shared" si="11"/>
        <v>成新度</v>
      </c>
      <c r="R37" s="1579" t="s">
        <v>8</v>
      </c>
      <c r="S37" s="1580" t="e">
        <f t="shared" si="12"/>
        <v>#N/A</v>
      </c>
      <c r="T37" s="1579" t="s">
        <v>8</v>
      </c>
      <c r="U37" s="1580" t="e">
        <f t="shared" si="13"/>
        <v>#N/A</v>
      </c>
      <c r="V37" s="1579" t="s">
        <v>8</v>
      </c>
      <c r="W37" s="1580" t="e">
        <f t="shared" si="14"/>
        <v>#N/A</v>
      </c>
      <c r="X37" s="1573"/>
      <c r="Y37" s="3368"/>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68"/>
      <c r="Q38" s="1154" t="str">
        <f t="shared" si="11"/>
        <v>写字楼等级</v>
      </c>
      <c r="R38" s="1574" t="s">
        <v>8</v>
      </c>
      <c r="S38" s="1575">
        <f t="shared" si="12"/>
        <v>100</v>
      </c>
      <c r="T38" s="1574" t="s">
        <v>8</v>
      </c>
      <c r="U38" s="1575">
        <f t="shared" si="13"/>
        <v>100</v>
      </c>
      <c r="V38" s="1574" t="s">
        <v>8</v>
      </c>
      <c r="W38" s="1575">
        <f t="shared" si="14"/>
        <v>100</v>
      </c>
      <c r="X38" s="1576"/>
      <c r="Y38" s="3368"/>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68" t="s">
        <v>551</v>
      </c>
      <c r="Q39" s="1578" t="str">
        <f t="shared" si="11"/>
        <v>物业管理</v>
      </c>
      <c r="R39" s="1579" t="s">
        <v>8</v>
      </c>
      <c r="S39" s="1580">
        <f t="shared" si="12"/>
        <v>100</v>
      </c>
      <c r="T39" s="1579" t="s">
        <v>8</v>
      </c>
      <c r="U39" s="1580">
        <f t="shared" si="13"/>
        <v>100</v>
      </c>
      <c r="V39" s="1579" t="s">
        <v>8</v>
      </c>
      <c r="W39" s="1580">
        <f t="shared" si="14"/>
        <v>100</v>
      </c>
      <c r="X39" s="1573"/>
      <c r="Y39" s="3368"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68"/>
      <c r="Q40" s="1578" t="str">
        <f t="shared" si="11"/>
        <v>市政基础设施</v>
      </c>
      <c r="R40" s="1579" t="s">
        <v>8</v>
      </c>
      <c r="S40" s="1580">
        <f t="shared" si="12"/>
        <v>100</v>
      </c>
      <c r="T40" s="1579" t="s">
        <v>8</v>
      </c>
      <c r="U40" s="1580">
        <f t="shared" si="13"/>
        <v>100</v>
      </c>
      <c r="V40" s="1579" t="s">
        <v>8</v>
      </c>
      <c r="W40" s="1580">
        <f t="shared" si="14"/>
        <v>100</v>
      </c>
      <c r="X40" s="1573"/>
      <c r="Y40" s="3368"/>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68"/>
      <c r="Q41" s="1578" t="str">
        <f t="shared" si="11"/>
        <v>层高</v>
      </c>
      <c r="R41" s="1579" t="s">
        <v>8</v>
      </c>
      <c r="S41" s="1580">
        <f t="shared" si="12"/>
        <v>100</v>
      </c>
      <c r="T41" s="1579" t="s">
        <v>8</v>
      </c>
      <c r="U41" s="1580">
        <f t="shared" si="13"/>
        <v>100</v>
      </c>
      <c r="V41" s="1579" t="s">
        <v>8</v>
      </c>
      <c r="W41" s="1580">
        <f t="shared" si="14"/>
        <v>100</v>
      </c>
      <c r="X41" s="1573"/>
      <c r="Y41" s="3368"/>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68"/>
      <c r="Q42" s="1611" t="str">
        <f t="shared" si="11"/>
        <v>单套建筑面积</v>
      </c>
      <c r="R42" s="1583" t="s">
        <v>8</v>
      </c>
      <c r="S42" s="1584">
        <f t="shared" si="12"/>
        <v>100</v>
      </c>
      <c r="T42" s="1583" t="s">
        <v>8</v>
      </c>
      <c r="U42" s="1584">
        <f t="shared" si="13"/>
        <v>100</v>
      </c>
      <c r="V42" s="1583" t="s">
        <v>8</v>
      </c>
      <c r="W42" s="1584">
        <f t="shared" si="14"/>
        <v>100</v>
      </c>
      <c r="X42" s="1585"/>
      <c r="Y42" s="3368"/>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68"/>
      <c r="Q43" s="1578" t="str">
        <f t="shared" si="11"/>
        <v>内部装修</v>
      </c>
      <c r="R43" s="1579" t="s">
        <v>8</v>
      </c>
      <c r="S43" s="1580">
        <f t="shared" si="12"/>
        <v>100</v>
      </c>
      <c r="T43" s="1579" t="s">
        <v>8</v>
      </c>
      <c r="U43" s="1580">
        <f t="shared" si="13"/>
        <v>100</v>
      </c>
      <c r="V43" s="1579" t="s">
        <v>8</v>
      </c>
      <c r="W43" s="1580">
        <f t="shared" si="14"/>
        <v>100</v>
      </c>
      <c r="X43" s="1573"/>
      <c r="Y43" s="3368"/>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68"/>
      <c r="Q44" s="1578" t="str">
        <f t="shared" si="11"/>
        <v>内部装修维护情况</v>
      </c>
      <c r="R44" s="1579" t="s">
        <v>8</v>
      </c>
      <c r="S44" s="1580">
        <f t="shared" si="12"/>
        <v>100</v>
      </c>
      <c r="T44" s="1579" t="s">
        <v>8</v>
      </c>
      <c r="U44" s="1580">
        <f t="shared" si="13"/>
        <v>100</v>
      </c>
      <c r="V44" s="1579" t="s">
        <v>8</v>
      </c>
      <c r="W44" s="1580">
        <f t="shared" si="14"/>
        <v>100</v>
      </c>
      <c r="X44" s="1573"/>
      <c r="Y44" s="3368"/>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68"/>
      <c r="Q45" s="1154">
        <f t="shared" si="11"/>
        <v>111</v>
      </c>
      <c r="R45" s="1574" t="s">
        <v>8</v>
      </c>
      <c r="S45" s="1575">
        <f t="shared" si="12"/>
        <v>100</v>
      </c>
      <c r="T45" s="1574" t="s">
        <v>8</v>
      </c>
      <c r="U45" s="1575">
        <f t="shared" si="13"/>
        <v>100</v>
      </c>
      <c r="V45" s="1574" t="s">
        <v>8</v>
      </c>
      <c r="W45" s="1575">
        <f t="shared" si="14"/>
        <v>100</v>
      </c>
      <c r="X45" s="1576"/>
      <c r="Y45" s="3368"/>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68"/>
      <c r="Q46" s="1578">
        <f t="shared" si="11"/>
        <v>111</v>
      </c>
      <c r="R46" s="1579" t="s">
        <v>8</v>
      </c>
      <c r="S46" s="1580">
        <f t="shared" si="12"/>
        <v>100</v>
      </c>
      <c r="T46" s="1579" t="s">
        <v>8</v>
      </c>
      <c r="U46" s="1580">
        <f t="shared" si="13"/>
        <v>100</v>
      </c>
      <c r="V46" s="1579" t="s">
        <v>8</v>
      </c>
      <c r="W46" s="1580">
        <f t="shared" si="14"/>
        <v>100</v>
      </c>
      <c r="X46" s="1573"/>
      <c r="Y46" s="3368"/>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62"/>
      <c r="Q47" s="1578">
        <f t="shared" si="11"/>
        <v>111</v>
      </c>
      <c r="R47" s="1579" t="s">
        <v>8</v>
      </c>
      <c r="S47" s="1580">
        <f t="shared" si="12"/>
        <v>100</v>
      </c>
      <c r="T47" s="1579" t="s">
        <v>8</v>
      </c>
      <c r="U47" s="1580">
        <f t="shared" si="13"/>
        <v>100</v>
      </c>
      <c r="V47" s="1579" t="s">
        <v>8</v>
      </c>
      <c r="W47" s="1580">
        <f t="shared" si="14"/>
        <v>100</v>
      </c>
      <c r="X47" s="1573"/>
      <c r="Y47" s="3462"/>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86" t="str">
        <f>A48</f>
        <v>成交单价（元/平方米）</v>
      </c>
      <c r="Q48" s="3363"/>
      <c r="R48" s="3461">
        <f>E48</f>
        <v>0</v>
      </c>
      <c r="S48" s="3461"/>
      <c r="T48" s="3461">
        <f>G48</f>
        <v>0</v>
      </c>
      <c r="U48" s="3461"/>
      <c r="V48" s="3461">
        <f>I48</f>
        <v>0</v>
      </c>
      <c r="W48" s="3461"/>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86" t="str">
        <f>A49</f>
        <v>比较价格（元/平方米）</v>
      </c>
      <c r="Q49" s="3363"/>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65"/>
      <c r="Y49" s="1565"/>
      <c r="Z49" s="1565"/>
      <c r="AA49" s="1565"/>
      <c r="AB49" s="1565"/>
      <c r="AC49" s="1565"/>
    </row>
    <row r="50" spans="1:29" ht="15.75" thickBot="1">
      <c r="A50" s="624" t="s">
        <v>2947</v>
      </c>
      <c r="B50" s="625"/>
      <c r="C50" s="2672" t="e">
        <f>R50</f>
        <v>#DIV/0!</v>
      </c>
      <c r="D50" s="2672"/>
      <c r="E50" s="2672"/>
      <c r="F50" s="2672"/>
      <c r="G50" s="2672"/>
      <c r="H50" s="2672"/>
      <c r="I50" s="2672"/>
      <c r="J50" s="2672"/>
      <c r="K50" s="1619"/>
      <c r="L50" s="2155"/>
      <c r="M50" s="2145"/>
      <c r="N50" s="2145"/>
      <c r="O50" s="2145"/>
      <c r="P50" s="3466" t="str">
        <f>A50</f>
        <v>估价对象XX用房的比较价格（楼面单价，元/平方米）</v>
      </c>
      <c r="Q50" s="3386"/>
      <c r="R50" s="3460" t="e">
        <f>IF(F1="售价",ROUND(AVERAGE(R49:V49),0),ROUND(AVERAGE(R49:V49),1))</f>
        <v>#DIV/0!</v>
      </c>
      <c r="S50" s="3460"/>
      <c r="T50" s="3460"/>
      <c r="U50" s="3460"/>
      <c r="V50" s="3460"/>
      <c r="W50" s="3460"/>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2017-10</v>
      </c>
      <c r="D59" s="2844">
        <f>EDATE(C59,-1)</f>
        <v>42979</v>
      </c>
      <c r="E59" s="2844">
        <f t="shared" ref="E59:O59" si="16">EDATE(D59,-1)</f>
        <v>42948</v>
      </c>
      <c r="F59" s="2844">
        <f t="shared" si="16"/>
        <v>42917</v>
      </c>
      <c r="G59" s="2844">
        <f t="shared" si="16"/>
        <v>42887</v>
      </c>
      <c r="H59" s="2844">
        <f t="shared" si="16"/>
        <v>42856</v>
      </c>
      <c r="I59" s="2844">
        <f t="shared" si="16"/>
        <v>42826</v>
      </c>
      <c r="J59" s="2844">
        <f t="shared" si="16"/>
        <v>42795</v>
      </c>
      <c r="K59" s="2844">
        <f t="shared" si="16"/>
        <v>42767</v>
      </c>
      <c r="L59" s="2844">
        <f t="shared" si="16"/>
        <v>42736</v>
      </c>
      <c r="M59" s="2844">
        <f t="shared" si="16"/>
        <v>42705</v>
      </c>
      <c r="N59" s="2844">
        <f t="shared" si="16"/>
        <v>42675</v>
      </c>
      <c r="O59" s="2844">
        <f t="shared" si="16"/>
        <v>42644</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69" t="s">
        <v>523</v>
      </c>
      <c r="D4" s="3370"/>
      <c r="E4" s="3394" t="s">
        <v>524</v>
      </c>
      <c r="F4" s="3395"/>
      <c r="G4" s="3369" t="s">
        <v>525</v>
      </c>
      <c r="H4" s="3370"/>
      <c r="I4" s="3369" t="s">
        <v>526</v>
      </c>
      <c r="J4" s="3370"/>
      <c r="K4" s="517" t="s">
        <v>527</v>
      </c>
      <c r="L4" s="2144"/>
      <c r="M4" s="2145"/>
      <c r="N4" s="2145"/>
      <c r="O4" s="2145"/>
      <c r="P4" s="3371" t="s">
        <v>528</v>
      </c>
      <c r="Q4" s="3372"/>
      <c r="R4" s="3357" t="s">
        <v>524</v>
      </c>
      <c r="S4" s="3358"/>
      <c r="T4" s="3357" t="s">
        <v>525</v>
      </c>
      <c r="U4" s="3358"/>
      <c r="V4" s="3377" t="s">
        <v>526</v>
      </c>
      <c r="W4" s="3377"/>
      <c r="X4" s="1573"/>
      <c r="Y4" s="3357" t="s">
        <v>528</v>
      </c>
      <c r="Z4" s="3358"/>
      <c r="AA4" s="3352" t="s">
        <v>524</v>
      </c>
      <c r="AB4" s="3353" t="s">
        <v>525</v>
      </c>
      <c r="AC4" s="3352" t="s">
        <v>526</v>
      </c>
    </row>
    <row r="5" spans="1:29" ht="15">
      <c r="A5" s="518"/>
      <c r="B5" s="519"/>
      <c r="C5" s="3382" t="s">
        <v>2941</v>
      </c>
      <c r="D5" s="3381"/>
      <c r="E5" s="3396" t="s">
        <v>2942</v>
      </c>
      <c r="F5" s="3397"/>
      <c r="G5" s="3382" t="s">
        <v>2943</v>
      </c>
      <c r="H5" s="3381"/>
      <c r="I5" s="3382" t="s">
        <v>2944</v>
      </c>
      <c r="J5" s="3381"/>
      <c r="K5" s="517"/>
      <c r="L5" s="2144"/>
      <c r="M5" s="2145"/>
      <c r="N5" s="2145"/>
      <c r="O5" s="2145"/>
      <c r="P5" s="3373"/>
      <c r="Q5" s="3374"/>
      <c r="R5" s="3359"/>
      <c r="S5" s="3360"/>
      <c r="T5" s="3359"/>
      <c r="U5" s="3360"/>
      <c r="V5" s="3377"/>
      <c r="W5" s="3377"/>
      <c r="X5" s="1573"/>
      <c r="Y5" s="3359"/>
      <c r="Z5" s="3360"/>
      <c r="AA5" s="3353"/>
      <c r="AB5" s="3353"/>
      <c r="AC5" s="3353"/>
    </row>
    <row r="6" spans="1:29" ht="15.75" thickBot="1">
      <c r="A6" s="520"/>
      <c r="B6" s="521"/>
      <c r="C6" s="3378" t="s">
        <v>2945</v>
      </c>
      <c r="D6" s="3379"/>
      <c r="E6" s="3398" t="s">
        <v>2945</v>
      </c>
      <c r="F6" s="3399"/>
      <c r="G6" s="3378" t="s">
        <v>2945</v>
      </c>
      <c r="H6" s="3379"/>
      <c r="I6" s="3378" t="s">
        <v>2945</v>
      </c>
      <c r="J6" s="3379"/>
      <c r="K6" s="517" t="s">
        <v>529</v>
      </c>
      <c r="L6" s="2144"/>
      <c r="M6" s="2145"/>
      <c r="N6" s="2145"/>
      <c r="O6" s="2145"/>
      <c r="P6" s="3375"/>
      <c r="Q6" s="3376"/>
      <c r="R6" s="3359"/>
      <c r="S6" s="3360"/>
      <c r="T6" s="3361"/>
      <c r="U6" s="3362"/>
      <c r="V6" s="3377"/>
      <c r="W6" s="3377"/>
      <c r="X6" s="1573"/>
      <c r="Y6" s="3361"/>
      <c r="Z6" s="3362"/>
      <c r="AA6" s="3354"/>
      <c r="AB6" s="3354"/>
      <c r="AC6" s="3354"/>
    </row>
    <row r="7" spans="1:29" s="1223" customFormat="1" ht="15.75" thickBot="1">
      <c r="A7" s="2952"/>
      <c r="B7" s="2959" t="s">
        <v>530</v>
      </c>
      <c r="C7" s="522">
        <f>'数据-取费表'!B2</f>
        <v>43038</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55" t="s">
        <v>531</v>
      </c>
      <c r="Q7" s="3364"/>
      <c r="R7" s="1574" t="s">
        <v>8</v>
      </c>
      <c r="S7" s="1575">
        <f t="shared" ref="S7:S15" si="0">F7</f>
        <v>0</v>
      </c>
      <c r="T7" s="1574" t="s">
        <v>8</v>
      </c>
      <c r="U7" s="1575">
        <f t="shared" ref="U7:U15" si="1">H7</f>
        <v>0</v>
      </c>
      <c r="V7" s="1574" t="s">
        <v>8</v>
      </c>
      <c r="W7" s="1575">
        <f t="shared" ref="W7:W15" si="2">J7</f>
        <v>0</v>
      </c>
      <c r="X7" s="1576"/>
      <c r="Y7" s="3355" t="s">
        <v>531</v>
      </c>
      <c r="Z7" s="3356"/>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55" t="s">
        <v>534</v>
      </c>
      <c r="Q8" s="3356"/>
      <c r="R8" s="1574" t="s">
        <v>8</v>
      </c>
      <c r="S8" s="1575">
        <f t="shared" si="0"/>
        <v>0</v>
      </c>
      <c r="T8" s="1574" t="s">
        <v>8</v>
      </c>
      <c r="U8" s="1575">
        <f t="shared" si="1"/>
        <v>0</v>
      </c>
      <c r="V8" s="1574" t="s">
        <v>8</v>
      </c>
      <c r="W8" s="1575">
        <f t="shared" si="2"/>
        <v>0</v>
      </c>
      <c r="X8" s="1576"/>
      <c r="Y8" s="3355" t="s">
        <v>534</v>
      </c>
      <c r="Z8" s="3356"/>
      <c r="AA8" s="1577" t="e">
        <f t="shared" ref="AA8:AA40" si="3">D8/F8</f>
        <v>#DIV/0!</v>
      </c>
      <c r="AB8" s="1577" t="e">
        <f t="shared" ref="AB8:AB40" si="4">D8/H8</f>
        <v>#DIV/0!</v>
      </c>
      <c r="AC8" s="1577" t="e">
        <f t="shared" ref="AC8:AC40" si="5">D8/J8</f>
        <v>#DIV/0!</v>
      </c>
    </row>
    <row r="9" spans="1:29" s="1223" customFormat="1" ht="15">
      <c r="A9" s="2954"/>
      <c r="B9" s="2961" t="s">
        <v>2771</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63" t="s">
        <v>536</v>
      </c>
      <c r="Q9" s="1154" t="str">
        <f t="shared" ref="Q9:Q15" si="6">B9</f>
        <v>用途</v>
      </c>
      <c r="R9" s="1574" t="s">
        <v>8</v>
      </c>
      <c r="S9" s="1575">
        <f t="shared" si="0"/>
        <v>100</v>
      </c>
      <c r="T9" s="1574" t="s">
        <v>8</v>
      </c>
      <c r="U9" s="1575">
        <f t="shared" si="1"/>
        <v>100</v>
      </c>
      <c r="V9" s="1574" t="s">
        <v>8</v>
      </c>
      <c r="W9" s="1575">
        <f t="shared" si="2"/>
        <v>100</v>
      </c>
      <c r="X9" s="1576"/>
      <c r="Y9" s="3320"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63"/>
      <c r="Q10" s="1154" t="str">
        <f t="shared" si="6"/>
        <v>土地使用年限（年）</v>
      </c>
      <c r="R10" s="1574" t="s">
        <v>8</v>
      </c>
      <c r="S10" s="1575">
        <f t="shared" si="0"/>
        <v>100</v>
      </c>
      <c r="T10" s="1574" t="s">
        <v>8</v>
      </c>
      <c r="U10" s="1575">
        <f t="shared" si="1"/>
        <v>100</v>
      </c>
      <c r="V10" s="1574" t="s">
        <v>8</v>
      </c>
      <c r="W10" s="1575">
        <f t="shared" si="2"/>
        <v>100</v>
      </c>
      <c r="X10" s="1576"/>
      <c r="Y10" s="3320"/>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63"/>
      <c r="Q11" s="1154" t="str">
        <f t="shared" si="6"/>
        <v>容积率</v>
      </c>
      <c r="R11" s="1574" t="s">
        <v>8</v>
      </c>
      <c r="S11" s="1575" t="e">
        <f t="shared" si="0"/>
        <v>#N/A</v>
      </c>
      <c r="T11" s="1574" t="s">
        <v>8</v>
      </c>
      <c r="U11" s="1575" t="e">
        <f t="shared" si="1"/>
        <v>#N/A</v>
      </c>
      <c r="V11" s="1574" t="s">
        <v>8</v>
      </c>
      <c r="W11" s="1575" t="e">
        <f t="shared" si="2"/>
        <v>#N/A</v>
      </c>
      <c r="X11" s="1576"/>
      <c r="Y11" s="3320"/>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63"/>
      <c r="Q12" s="1154">
        <f t="shared" si="6"/>
        <v>111</v>
      </c>
      <c r="R12" s="1574" t="s">
        <v>8</v>
      </c>
      <c r="S12" s="1575">
        <f t="shared" si="0"/>
        <v>100</v>
      </c>
      <c r="T12" s="1574" t="s">
        <v>8</v>
      </c>
      <c r="U12" s="1575">
        <f t="shared" si="1"/>
        <v>100</v>
      </c>
      <c r="V12" s="1574" t="s">
        <v>8</v>
      </c>
      <c r="W12" s="1575">
        <f t="shared" si="2"/>
        <v>100</v>
      </c>
      <c r="X12" s="1576"/>
      <c r="Y12" s="3320"/>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63"/>
      <c r="Q13" s="1154">
        <f t="shared" si="6"/>
        <v>111</v>
      </c>
      <c r="R13" s="1574" t="s">
        <v>8</v>
      </c>
      <c r="S13" s="1575">
        <f t="shared" si="0"/>
        <v>100</v>
      </c>
      <c r="T13" s="1574" t="s">
        <v>8</v>
      </c>
      <c r="U13" s="1575">
        <f t="shared" si="1"/>
        <v>100</v>
      </c>
      <c r="V13" s="1574" t="s">
        <v>8</v>
      </c>
      <c r="W13" s="1575">
        <f t="shared" si="2"/>
        <v>100</v>
      </c>
      <c r="X13" s="1576"/>
      <c r="Y13" s="3320"/>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63"/>
      <c r="Q14" s="1154">
        <f t="shared" si="6"/>
        <v>111</v>
      </c>
      <c r="R14" s="1574" t="s">
        <v>8</v>
      </c>
      <c r="S14" s="1575">
        <f t="shared" si="0"/>
        <v>100</v>
      </c>
      <c r="T14" s="1574" t="s">
        <v>8</v>
      </c>
      <c r="U14" s="1575">
        <f t="shared" si="1"/>
        <v>100</v>
      </c>
      <c r="V14" s="1574" t="s">
        <v>8</v>
      </c>
      <c r="W14" s="1575">
        <f t="shared" si="2"/>
        <v>100</v>
      </c>
      <c r="X14" s="1576"/>
      <c r="Y14" s="3320"/>
      <c r="Z14" s="1153">
        <f t="shared" si="7"/>
        <v>111</v>
      </c>
      <c r="AA14" s="1577">
        <f t="shared" si="3"/>
        <v>1</v>
      </c>
      <c r="AB14" s="1577">
        <f t="shared" si="4"/>
        <v>1</v>
      </c>
      <c r="AC14" s="1577">
        <f t="shared" si="5"/>
        <v>1</v>
      </c>
    </row>
    <row r="15" spans="1:29" ht="57">
      <c r="A15" s="2950" t="s">
        <v>2769</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65" t="s">
        <v>541</v>
      </c>
      <c r="Q15" s="1578" t="str">
        <f t="shared" si="6"/>
        <v>产业集聚程度</v>
      </c>
      <c r="R15" s="1579" t="s">
        <v>8</v>
      </c>
      <c r="S15" s="1580">
        <f t="shared" si="0"/>
        <v>100</v>
      </c>
      <c r="T15" s="1579" t="s">
        <v>8</v>
      </c>
      <c r="U15" s="1580">
        <f t="shared" si="1"/>
        <v>100</v>
      </c>
      <c r="V15" s="1579" t="s">
        <v>8</v>
      </c>
      <c r="W15" s="1580">
        <f t="shared" si="2"/>
        <v>100</v>
      </c>
      <c r="X15" s="1573"/>
      <c r="Y15" s="3365"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66"/>
      <c r="Q16" s="1578"/>
      <c r="R16" s="1579"/>
      <c r="S16" s="1580"/>
      <c r="T16" s="1579"/>
      <c r="U16" s="1580"/>
      <c r="V16" s="1579"/>
      <c r="W16" s="1580"/>
      <c r="X16" s="1573"/>
      <c r="Y16" s="3366"/>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66"/>
      <c r="Q17" s="1578" t="str">
        <f>B17</f>
        <v>交通便捷度</v>
      </c>
      <c r="R17" s="1579" t="s">
        <v>8</v>
      </c>
      <c r="S17" s="1580">
        <f>F17</f>
        <v>100</v>
      </c>
      <c r="T17" s="1579" t="s">
        <v>8</v>
      </c>
      <c r="U17" s="1580">
        <f>H17</f>
        <v>100</v>
      </c>
      <c r="V17" s="1579" t="s">
        <v>8</v>
      </c>
      <c r="W17" s="1580">
        <f>J17</f>
        <v>100</v>
      </c>
      <c r="X17" s="1573"/>
      <c r="Y17" s="3366"/>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66"/>
      <c r="Q18" s="1578"/>
      <c r="R18" s="1579"/>
      <c r="S18" s="1580"/>
      <c r="T18" s="1579"/>
      <c r="U18" s="1580"/>
      <c r="V18" s="1579"/>
      <c r="W18" s="1580"/>
      <c r="X18" s="1573"/>
      <c r="Y18" s="3366"/>
      <c r="Z18" s="1581"/>
      <c r="AA18" s="1582">
        <v>1</v>
      </c>
      <c r="AB18" s="1582">
        <v>1</v>
      </c>
      <c r="AC18" s="1582">
        <v>1</v>
      </c>
    </row>
    <row r="19" spans="1:29" ht="42.75">
      <c r="A19" s="535"/>
      <c r="B19" s="2639" t="s">
        <v>2558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66"/>
      <c r="Q19" s="1578" t="str">
        <f>B19</f>
        <v>公共配套设施</v>
      </c>
      <c r="R19" s="1579" t="s">
        <v>8</v>
      </c>
      <c r="S19" s="1580">
        <f>F19</f>
        <v>100</v>
      </c>
      <c r="T19" s="1579" t="s">
        <v>8</v>
      </c>
      <c r="U19" s="1580">
        <f>H19</f>
        <v>100</v>
      </c>
      <c r="V19" s="1579" t="s">
        <v>8</v>
      </c>
      <c r="W19" s="1580">
        <f>J19</f>
        <v>100</v>
      </c>
      <c r="X19" s="1573"/>
      <c r="Y19" s="3366"/>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66"/>
      <c r="Q20" s="1578"/>
      <c r="R20" s="1579"/>
      <c r="S20" s="1580"/>
      <c r="T20" s="1579"/>
      <c r="U20" s="1580"/>
      <c r="V20" s="1579"/>
      <c r="W20" s="1580"/>
      <c r="X20" s="1573"/>
      <c r="Y20" s="3366"/>
      <c r="Z20" s="1581"/>
      <c r="AA20" s="1582">
        <v>1</v>
      </c>
      <c r="AB20" s="1582">
        <v>1</v>
      </c>
      <c r="AC20" s="1582">
        <v>1</v>
      </c>
    </row>
    <row r="21" spans="1:29" ht="28.5">
      <c r="A21" s="535"/>
      <c r="B21" s="2627" t="s">
        <v>2570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66"/>
      <c r="Q21" s="2615" t="str">
        <f>B21</f>
        <v>基础设施水平</v>
      </c>
      <c r="R21" s="1579" t="s">
        <v>8</v>
      </c>
      <c r="S21" s="1580">
        <f>F21</f>
        <v>100</v>
      </c>
      <c r="T21" s="1579" t="s">
        <v>8</v>
      </c>
      <c r="U21" s="1580">
        <f>H21</f>
        <v>100</v>
      </c>
      <c r="V21" s="1579" t="s">
        <v>8</v>
      </c>
      <c r="W21" s="1580">
        <f>J21</f>
        <v>100</v>
      </c>
      <c r="X21" s="2617"/>
      <c r="Y21" s="3366"/>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66"/>
      <c r="Q22" s="2615"/>
      <c r="R22" s="1579"/>
      <c r="S22" s="1580"/>
      <c r="T22" s="1579"/>
      <c r="U22" s="1580"/>
      <c r="V22" s="1579"/>
      <c r="W22" s="1580"/>
      <c r="X22" s="2617"/>
      <c r="Y22" s="3366"/>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66"/>
      <c r="Q23" s="1578" t="str">
        <f>B23</f>
        <v>环境质量</v>
      </c>
      <c r="R23" s="1579" t="s">
        <v>8</v>
      </c>
      <c r="S23" s="1580">
        <f>F23</f>
        <v>100</v>
      </c>
      <c r="T23" s="1579" t="s">
        <v>8</v>
      </c>
      <c r="U23" s="1580">
        <f>H23</f>
        <v>100</v>
      </c>
      <c r="V23" s="1579" t="s">
        <v>8</v>
      </c>
      <c r="W23" s="1580">
        <f>J23</f>
        <v>100</v>
      </c>
      <c r="X23" s="1573"/>
      <c r="Y23" s="3366"/>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66"/>
      <c r="Q24" s="1578"/>
      <c r="R24" s="1579"/>
      <c r="S24" s="1580"/>
      <c r="T24" s="1579"/>
      <c r="U24" s="1580"/>
      <c r="V24" s="1579"/>
      <c r="W24" s="1580"/>
      <c r="X24" s="1573"/>
      <c r="Y24" s="3366"/>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66"/>
      <c r="Q25" s="1578">
        <f>B25</f>
        <v>111</v>
      </c>
      <c r="R25" s="1579" t="s">
        <v>8</v>
      </c>
      <c r="S25" s="1580">
        <f>F25</f>
        <v>100</v>
      </c>
      <c r="T25" s="1579" t="s">
        <v>8</v>
      </c>
      <c r="U25" s="1580">
        <f>H25</f>
        <v>100</v>
      </c>
      <c r="V25" s="1579" t="s">
        <v>8</v>
      </c>
      <c r="W25" s="1580">
        <f>J25</f>
        <v>100</v>
      </c>
      <c r="X25" s="1573"/>
      <c r="Y25" s="3366"/>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66"/>
      <c r="Q26" s="1578">
        <f t="shared" ref="Q26:Q40" si="11">B26</f>
        <v>111</v>
      </c>
      <c r="R26" s="1579" t="s">
        <v>8</v>
      </c>
      <c r="S26" s="1580">
        <f>F26</f>
        <v>100</v>
      </c>
      <c r="T26" s="1579" t="s">
        <v>8</v>
      </c>
      <c r="U26" s="1580">
        <f>H26</f>
        <v>100</v>
      </c>
      <c r="V26" s="1579" t="s">
        <v>8</v>
      </c>
      <c r="W26" s="1580">
        <f>J26</f>
        <v>100</v>
      </c>
      <c r="X26" s="1573"/>
      <c r="Y26" s="3366"/>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66"/>
      <c r="Q27" s="1154">
        <f t="shared" si="11"/>
        <v>111</v>
      </c>
      <c r="R27" s="1574" t="s">
        <v>8</v>
      </c>
      <c r="S27" s="1575">
        <f>F27</f>
        <v>100</v>
      </c>
      <c r="T27" s="1574" t="s">
        <v>8</v>
      </c>
      <c r="U27" s="1575">
        <f>H27</f>
        <v>100</v>
      </c>
      <c r="V27" s="1574" t="s">
        <v>8</v>
      </c>
      <c r="W27" s="1575">
        <f>J27</f>
        <v>100</v>
      </c>
      <c r="X27" s="1576"/>
      <c r="Y27" s="3366"/>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66"/>
      <c r="Q28" s="1578">
        <f t="shared" si="11"/>
        <v>111</v>
      </c>
      <c r="R28" s="1579" t="s">
        <v>8</v>
      </c>
      <c r="S28" s="1580">
        <f t="shared" ref="S28:S40" si="12">F28</f>
        <v>100</v>
      </c>
      <c r="T28" s="1579" t="s">
        <v>8</v>
      </c>
      <c r="U28" s="1580">
        <f t="shared" ref="U28:U40" si="13">H28</f>
        <v>100</v>
      </c>
      <c r="V28" s="1579" t="s">
        <v>8</v>
      </c>
      <c r="W28" s="1580">
        <f t="shared" ref="W28:W40" si="14">J28</f>
        <v>100</v>
      </c>
      <c r="X28" s="1573"/>
      <c r="Y28" s="3366"/>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67" t="s">
        <v>551</v>
      </c>
      <c r="Q29" s="1578" t="str">
        <f t="shared" si="11"/>
        <v>建筑类型</v>
      </c>
      <c r="R29" s="1579" t="s">
        <v>8</v>
      </c>
      <c r="S29" s="1580">
        <f t="shared" si="12"/>
        <v>100</v>
      </c>
      <c r="T29" s="1579" t="s">
        <v>8</v>
      </c>
      <c r="U29" s="1580">
        <f t="shared" si="13"/>
        <v>100</v>
      </c>
      <c r="V29" s="1579" t="s">
        <v>8</v>
      </c>
      <c r="W29" s="1580">
        <f t="shared" si="14"/>
        <v>100</v>
      </c>
      <c r="X29" s="1573"/>
      <c r="Y29" s="3368"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68"/>
      <c r="Q30" s="1611" t="str">
        <f t="shared" si="11"/>
        <v>项目建筑规模</v>
      </c>
      <c r="R30" s="1583" t="s">
        <v>8</v>
      </c>
      <c r="S30" s="1584" t="e">
        <f t="shared" si="12"/>
        <v>#N/A</v>
      </c>
      <c r="T30" s="1583" t="s">
        <v>8</v>
      </c>
      <c r="U30" s="1584" t="e">
        <f t="shared" si="13"/>
        <v>#N/A</v>
      </c>
      <c r="V30" s="1583" t="s">
        <v>8</v>
      </c>
      <c r="W30" s="1584" t="e">
        <f t="shared" si="14"/>
        <v>#N/A</v>
      </c>
      <c r="X30" s="1585"/>
      <c r="Y30" s="3368"/>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68"/>
      <c r="Q31" s="1578" t="str">
        <f t="shared" si="11"/>
        <v>建筑结构</v>
      </c>
      <c r="R31" s="1579" t="s">
        <v>8</v>
      </c>
      <c r="S31" s="1580">
        <f t="shared" si="12"/>
        <v>100</v>
      </c>
      <c r="T31" s="1579" t="s">
        <v>8</v>
      </c>
      <c r="U31" s="1580">
        <f t="shared" si="13"/>
        <v>100</v>
      </c>
      <c r="V31" s="1579" t="s">
        <v>8</v>
      </c>
      <c r="W31" s="1580">
        <f t="shared" si="14"/>
        <v>100</v>
      </c>
      <c r="X31" s="1573"/>
      <c r="Y31" s="3368"/>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68"/>
      <c r="Q32" s="1578" t="str">
        <f t="shared" si="11"/>
        <v>公共部分装修</v>
      </c>
      <c r="R32" s="1579" t="s">
        <v>8</v>
      </c>
      <c r="S32" s="1580">
        <f t="shared" si="12"/>
        <v>100</v>
      </c>
      <c r="T32" s="1579" t="s">
        <v>8</v>
      </c>
      <c r="U32" s="1580">
        <f t="shared" si="13"/>
        <v>100</v>
      </c>
      <c r="V32" s="1579" t="s">
        <v>8</v>
      </c>
      <c r="W32" s="1580">
        <f t="shared" si="14"/>
        <v>100</v>
      </c>
      <c r="X32" s="1573"/>
      <c r="Y32" s="3368"/>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68"/>
      <c r="Q33" s="1578" t="str">
        <f t="shared" si="11"/>
        <v>成新度</v>
      </c>
      <c r="R33" s="1579" t="s">
        <v>8</v>
      </c>
      <c r="S33" s="1580" t="e">
        <f t="shared" si="12"/>
        <v>#N/A</v>
      </c>
      <c r="T33" s="1579" t="s">
        <v>8</v>
      </c>
      <c r="U33" s="1580" t="e">
        <f t="shared" si="13"/>
        <v>#N/A</v>
      </c>
      <c r="V33" s="1579" t="s">
        <v>8</v>
      </c>
      <c r="W33" s="1580" t="e">
        <f t="shared" si="14"/>
        <v>#N/A</v>
      </c>
      <c r="X33" s="1573"/>
      <c r="Y33" s="3368"/>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68"/>
      <c r="Q34" s="1154" t="str">
        <f t="shared" si="11"/>
        <v>物业管理</v>
      </c>
      <c r="R34" s="1574" t="s">
        <v>8</v>
      </c>
      <c r="S34" s="1575">
        <f t="shared" si="12"/>
        <v>100</v>
      </c>
      <c r="T34" s="1574" t="s">
        <v>8</v>
      </c>
      <c r="U34" s="1575">
        <f t="shared" si="13"/>
        <v>100</v>
      </c>
      <c r="V34" s="1574" t="s">
        <v>8</v>
      </c>
      <c r="W34" s="1575">
        <f t="shared" si="14"/>
        <v>100</v>
      </c>
      <c r="X34" s="1576"/>
      <c r="Y34" s="3368"/>
      <c r="Z34" s="1153" t="str">
        <f t="shared" si="15"/>
        <v>物业管理</v>
      </c>
      <c r="AA34" s="1577">
        <f t="shared" si="3"/>
        <v>1</v>
      </c>
      <c r="AB34" s="1577">
        <f t="shared" si="4"/>
        <v>1</v>
      </c>
      <c r="AC34" s="1577">
        <f t="shared" si="5"/>
        <v>1</v>
      </c>
    </row>
    <row r="35" spans="1:29" ht="15">
      <c r="A35" s="597"/>
      <c r="B35" s="1902" t="s">
        <v>2577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68" t="s">
        <v>551</v>
      </c>
      <c r="Q35" s="1578" t="str">
        <f t="shared" si="11"/>
        <v>市政基础设施</v>
      </c>
      <c r="R35" s="1579" t="s">
        <v>8</v>
      </c>
      <c r="S35" s="1580">
        <f t="shared" si="12"/>
        <v>100</v>
      </c>
      <c r="T35" s="1579" t="s">
        <v>8</v>
      </c>
      <c r="U35" s="1580">
        <f t="shared" si="13"/>
        <v>100</v>
      </c>
      <c r="V35" s="1579" t="s">
        <v>8</v>
      </c>
      <c r="W35" s="1580">
        <f t="shared" si="14"/>
        <v>100</v>
      </c>
      <c r="X35" s="1573"/>
      <c r="Y35" s="3368"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68"/>
      <c r="Q36" s="1578" t="str">
        <f t="shared" si="11"/>
        <v>内部装修</v>
      </c>
      <c r="R36" s="1579" t="s">
        <v>8</v>
      </c>
      <c r="S36" s="1580">
        <f t="shared" si="12"/>
        <v>100</v>
      </c>
      <c r="T36" s="1579" t="s">
        <v>8</v>
      </c>
      <c r="U36" s="1580">
        <f t="shared" si="13"/>
        <v>100</v>
      </c>
      <c r="V36" s="1579" t="s">
        <v>8</v>
      </c>
      <c r="W36" s="1580">
        <f t="shared" si="14"/>
        <v>100</v>
      </c>
      <c r="X36" s="1573"/>
      <c r="Y36" s="3368"/>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68"/>
      <c r="Q37" s="1578" t="str">
        <f t="shared" si="11"/>
        <v>内部装修状况</v>
      </c>
      <c r="R37" s="1579" t="s">
        <v>8</v>
      </c>
      <c r="S37" s="1580">
        <f t="shared" si="12"/>
        <v>100</v>
      </c>
      <c r="T37" s="1579" t="s">
        <v>8</v>
      </c>
      <c r="U37" s="1580">
        <f t="shared" si="13"/>
        <v>100</v>
      </c>
      <c r="V37" s="1579" t="s">
        <v>8</v>
      </c>
      <c r="W37" s="1580">
        <f t="shared" si="14"/>
        <v>100</v>
      </c>
      <c r="X37" s="1573"/>
      <c r="Y37" s="3368"/>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68"/>
      <c r="Q38" s="1611">
        <f t="shared" si="11"/>
        <v>111</v>
      </c>
      <c r="R38" s="1583" t="s">
        <v>8</v>
      </c>
      <c r="S38" s="1584">
        <f t="shared" si="12"/>
        <v>100</v>
      </c>
      <c r="T38" s="1583" t="s">
        <v>8</v>
      </c>
      <c r="U38" s="1584">
        <f t="shared" si="13"/>
        <v>100</v>
      </c>
      <c r="V38" s="1583" t="s">
        <v>8</v>
      </c>
      <c r="W38" s="1584">
        <f t="shared" si="14"/>
        <v>100</v>
      </c>
      <c r="X38" s="1585"/>
      <c r="Y38" s="3368"/>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68"/>
      <c r="Q39" s="1578">
        <f t="shared" si="11"/>
        <v>111</v>
      </c>
      <c r="R39" s="1579" t="s">
        <v>8</v>
      </c>
      <c r="S39" s="1580">
        <f t="shared" si="12"/>
        <v>100</v>
      </c>
      <c r="T39" s="1579" t="s">
        <v>8</v>
      </c>
      <c r="U39" s="1580">
        <f t="shared" si="13"/>
        <v>100</v>
      </c>
      <c r="V39" s="1579" t="s">
        <v>8</v>
      </c>
      <c r="W39" s="1580">
        <f t="shared" si="14"/>
        <v>100</v>
      </c>
      <c r="X39" s="1573"/>
      <c r="Y39" s="3368"/>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62"/>
      <c r="Q40" s="1578">
        <f t="shared" si="11"/>
        <v>111</v>
      </c>
      <c r="R40" s="1579" t="s">
        <v>8</v>
      </c>
      <c r="S40" s="1580">
        <f t="shared" si="12"/>
        <v>100</v>
      </c>
      <c r="T40" s="1579" t="s">
        <v>8</v>
      </c>
      <c r="U40" s="1580">
        <f t="shared" si="13"/>
        <v>100</v>
      </c>
      <c r="V40" s="1579" t="s">
        <v>8</v>
      </c>
      <c r="W40" s="1580">
        <f t="shared" si="14"/>
        <v>100</v>
      </c>
      <c r="X40" s="1573"/>
      <c r="Y40" s="3462"/>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63" t="str">
        <f>A41</f>
        <v>成交单价（元/平方米）</v>
      </c>
      <c r="Q41" s="3363"/>
      <c r="R41" s="3461">
        <f>E41</f>
        <v>0</v>
      </c>
      <c r="S41" s="3461"/>
      <c r="T41" s="3461">
        <f>G41</f>
        <v>0</v>
      </c>
      <c r="U41" s="3461"/>
      <c r="V41" s="3461">
        <f>I41</f>
        <v>0</v>
      </c>
      <c r="W41" s="3461"/>
      <c r="X41" s="1565"/>
      <c r="Y41" s="1587"/>
      <c r="Z41" s="1565"/>
      <c r="AA41" s="1565"/>
      <c r="AB41" s="1565"/>
      <c r="AC41" s="1565"/>
    </row>
    <row r="42" spans="1:29" ht="15.75" thickBot="1">
      <c r="A42" s="618" t="s">
        <v>2775</v>
      </c>
      <c r="B42" s="891"/>
      <c r="C42" s="2669" t="e">
        <f>R43</f>
        <v>#DIV/0!</v>
      </c>
      <c r="D42" s="2670"/>
      <c r="E42" s="2671" t="e">
        <f>R42</f>
        <v>#DIV/0!</v>
      </c>
      <c r="F42" s="2671"/>
      <c r="G42" s="2669" t="e">
        <f>T42</f>
        <v>#DIV/0!</v>
      </c>
      <c r="H42" s="2670"/>
      <c r="I42" s="2671" t="e">
        <f>V42</f>
        <v>#DIV/0!</v>
      </c>
      <c r="J42" s="2670"/>
      <c r="K42" s="1618"/>
      <c r="L42" s="2155"/>
      <c r="M42" s="2156"/>
      <c r="N42" s="2145"/>
      <c r="O42" s="2156"/>
      <c r="P42" s="3363" t="str">
        <f>A42</f>
        <v>比较价格（元/平方米）</v>
      </c>
      <c r="Q42" s="3363"/>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65"/>
      <c r="Y42" s="1565"/>
      <c r="Z42" s="1565"/>
      <c r="AA42" s="1565"/>
      <c r="AB42" s="1565"/>
      <c r="AC42" s="1565"/>
    </row>
    <row r="43" spans="1:29" ht="15.75" thickBot="1">
      <c r="A43" s="624" t="s">
        <v>2947</v>
      </c>
      <c r="B43" s="625"/>
      <c r="C43" s="2672" t="e">
        <f>R43</f>
        <v>#DIV/0!</v>
      </c>
      <c r="D43" s="2672"/>
      <c r="E43" s="2672"/>
      <c r="F43" s="2672"/>
      <c r="G43" s="2672"/>
      <c r="H43" s="2672"/>
      <c r="I43" s="2672"/>
      <c r="J43" s="2672"/>
      <c r="K43" s="1619"/>
      <c r="L43" s="2155"/>
      <c r="M43" s="2156"/>
      <c r="N43" s="2156"/>
      <c r="O43" s="2156"/>
      <c r="P43" s="3385" t="str">
        <f>A43</f>
        <v>估价对象XX用房的比较价格（楼面单价，元/平方米）</v>
      </c>
      <c r="Q43" s="3386"/>
      <c r="R43" s="3460" t="e">
        <f>IF(F1="售价",ROUND(AVERAGE(R42:V42),0),ROUND(AVERAGE(R42:V42),1))</f>
        <v>#DIV/0!</v>
      </c>
      <c r="S43" s="3460"/>
      <c r="T43" s="3460"/>
      <c r="U43" s="3460"/>
      <c r="V43" s="3460"/>
      <c r="W43" s="3460"/>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2017-10</v>
      </c>
      <c r="D52" s="2844">
        <f>EDATE(C52,-1)</f>
        <v>42979</v>
      </c>
      <c r="E52" s="2844">
        <f t="shared" ref="E52:O52" si="16">EDATE(D52,-1)</f>
        <v>42948</v>
      </c>
      <c r="F52" s="2844">
        <f t="shared" si="16"/>
        <v>42917</v>
      </c>
      <c r="G52" s="2844">
        <f t="shared" si="16"/>
        <v>42887</v>
      </c>
      <c r="H52" s="2844">
        <f t="shared" si="16"/>
        <v>42856</v>
      </c>
      <c r="I52" s="2844">
        <f t="shared" si="16"/>
        <v>42826</v>
      </c>
      <c r="J52" s="2844">
        <f t="shared" si="16"/>
        <v>42795</v>
      </c>
      <c r="K52" s="2844">
        <f t="shared" si="16"/>
        <v>42767</v>
      </c>
      <c r="L52" s="2844">
        <f t="shared" si="16"/>
        <v>42736</v>
      </c>
      <c r="M52" s="2844">
        <f t="shared" si="16"/>
        <v>42705</v>
      </c>
      <c r="N52" s="2844">
        <f t="shared" si="16"/>
        <v>42675</v>
      </c>
      <c r="O52" s="2844">
        <f t="shared" si="16"/>
        <v>42644</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2084</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69" t="s">
        <v>801</v>
      </c>
      <c r="D4" s="3370"/>
      <c r="E4" s="3369" t="s">
        <v>802</v>
      </c>
      <c r="F4" s="3370"/>
      <c r="G4" s="3369" t="s">
        <v>803</v>
      </c>
      <c r="H4" s="3370"/>
      <c r="I4" s="3369" t="s">
        <v>804</v>
      </c>
      <c r="J4" s="3370"/>
      <c r="K4" s="517" t="s">
        <v>805</v>
      </c>
      <c r="L4" s="2144"/>
      <c r="M4" s="2145"/>
      <c r="N4" s="2145"/>
      <c r="O4" s="2145"/>
      <c r="P4" s="3371" t="s">
        <v>806</v>
      </c>
      <c r="Q4" s="3372"/>
      <c r="R4" s="3357" t="s">
        <v>802</v>
      </c>
      <c r="S4" s="3358"/>
      <c r="T4" s="3357" t="s">
        <v>803</v>
      </c>
      <c r="U4" s="3358"/>
      <c r="V4" s="3377" t="s">
        <v>804</v>
      </c>
      <c r="W4" s="3377"/>
      <c r="X4" s="1573"/>
      <c r="Y4" s="3357" t="s">
        <v>806</v>
      </c>
      <c r="Z4" s="3358"/>
      <c r="AA4" s="3352" t="s">
        <v>802</v>
      </c>
      <c r="AB4" s="3353" t="s">
        <v>803</v>
      </c>
      <c r="AC4" s="3352" t="s">
        <v>804</v>
      </c>
    </row>
    <row r="5" spans="1:29" ht="15">
      <c r="A5" s="518"/>
      <c r="B5" s="519"/>
      <c r="C5" s="3382" t="s">
        <v>2941</v>
      </c>
      <c r="D5" s="3381"/>
      <c r="E5" s="3382" t="s">
        <v>2942</v>
      </c>
      <c r="F5" s="3381"/>
      <c r="G5" s="3382" t="s">
        <v>2943</v>
      </c>
      <c r="H5" s="3381"/>
      <c r="I5" s="3382" t="s">
        <v>2944</v>
      </c>
      <c r="J5" s="3381"/>
      <c r="K5" s="517"/>
      <c r="L5" s="2144"/>
      <c r="M5" s="2145"/>
      <c r="N5" s="2145"/>
      <c r="O5" s="2145"/>
      <c r="P5" s="3373"/>
      <c r="Q5" s="3374"/>
      <c r="R5" s="3359"/>
      <c r="S5" s="3360"/>
      <c r="T5" s="3359"/>
      <c r="U5" s="3360"/>
      <c r="V5" s="3377"/>
      <c r="W5" s="3377"/>
      <c r="X5" s="1573"/>
      <c r="Y5" s="3359"/>
      <c r="Z5" s="3360"/>
      <c r="AA5" s="3353"/>
      <c r="AB5" s="3353"/>
      <c r="AC5" s="3353"/>
    </row>
    <row r="6" spans="1:29" ht="15.75" thickBot="1">
      <c r="A6" s="520"/>
      <c r="B6" s="521"/>
      <c r="C6" s="3378" t="s">
        <v>2945</v>
      </c>
      <c r="D6" s="3379"/>
      <c r="E6" s="3383" t="s">
        <v>2945</v>
      </c>
      <c r="F6" s="3384"/>
      <c r="G6" s="3378" t="s">
        <v>2945</v>
      </c>
      <c r="H6" s="3379"/>
      <c r="I6" s="3378" t="s">
        <v>2945</v>
      </c>
      <c r="J6" s="3379"/>
      <c r="K6" s="517" t="s">
        <v>529</v>
      </c>
      <c r="L6" s="2144"/>
      <c r="M6" s="2145"/>
      <c r="N6" s="2145"/>
      <c r="O6" s="2145"/>
      <c r="P6" s="3375"/>
      <c r="Q6" s="3376"/>
      <c r="R6" s="3359"/>
      <c r="S6" s="3360"/>
      <c r="T6" s="3361"/>
      <c r="U6" s="3362"/>
      <c r="V6" s="3377"/>
      <c r="W6" s="3377"/>
      <c r="X6" s="1573"/>
      <c r="Y6" s="3361"/>
      <c r="Z6" s="3362"/>
      <c r="AA6" s="3354"/>
      <c r="AB6" s="3354"/>
      <c r="AC6" s="3354"/>
    </row>
    <row r="7" spans="1:29" s="1223" customFormat="1" ht="15.75" thickBot="1">
      <c r="A7" s="2952"/>
      <c r="B7" s="2959" t="s">
        <v>530</v>
      </c>
      <c r="C7" s="522">
        <f>'数据-取费表'!B2</f>
        <v>43038</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55" t="s">
        <v>531</v>
      </c>
      <c r="Q7" s="3364"/>
      <c r="R7" s="1574" t="s">
        <v>8</v>
      </c>
      <c r="S7" s="1575">
        <f t="shared" ref="S7:S14" si="0">F7</f>
        <v>0</v>
      </c>
      <c r="T7" s="1574" t="s">
        <v>8</v>
      </c>
      <c r="U7" s="1575">
        <f t="shared" ref="U7:U14" si="1">H7</f>
        <v>0</v>
      </c>
      <c r="V7" s="1574" t="s">
        <v>8</v>
      </c>
      <c r="W7" s="1575">
        <f t="shared" ref="W7:W14" si="2">J7</f>
        <v>0</v>
      </c>
      <c r="X7" s="1576"/>
      <c r="Y7" s="3355" t="s">
        <v>531</v>
      </c>
      <c r="Z7" s="3356"/>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55" t="s">
        <v>534</v>
      </c>
      <c r="Q8" s="3356"/>
      <c r="R8" s="1574" t="s">
        <v>8</v>
      </c>
      <c r="S8" s="1575">
        <f t="shared" si="0"/>
        <v>0</v>
      </c>
      <c r="T8" s="1574" t="s">
        <v>8</v>
      </c>
      <c r="U8" s="1575">
        <f t="shared" si="1"/>
        <v>0</v>
      </c>
      <c r="V8" s="1574" t="s">
        <v>8</v>
      </c>
      <c r="W8" s="1575">
        <f t="shared" si="2"/>
        <v>0</v>
      </c>
      <c r="X8" s="1576"/>
      <c r="Y8" s="3355" t="s">
        <v>534</v>
      </c>
      <c r="Z8" s="3356"/>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63" t="s">
        <v>536</v>
      </c>
      <c r="Q9" s="1154" t="str">
        <f t="shared" ref="Q9:Q14" si="6">B9</f>
        <v>用途</v>
      </c>
      <c r="R9" s="1574" t="s">
        <v>8</v>
      </c>
      <c r="S9" s="1575">
        <f t="shared" si="0"/>
        <v>100</v>
      </c>
      <c r="T9" s="1574" t="s">
        <v>8</v>
      </c>
      <c r="U9" s="1575">
        <f t="shared" si="1"/>
        <v>100</v>
      </c>
      <c r="V9" s="1574" t="s">
        <v>8</v>
      </c>
      <c r="W9" s="1575">
        <f t="shared" si="2"/>
        <v>100</v>
      </c>
      <c r="X9" s="1576"/>
      <c r="Y9" s="3320"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63"/>
      <c r="Q10" s="1154" t="str">
        <f t="shared" si="6"/>
        <v>土地使用年限（年）</v>
      </c>
      <c r="R10" s="1574" t="s">
        <v>8</v>
      </c>
      <c r="S10" s="1575">
        <f t="shared" si="0"/>
        <v>100</v>
      </c>
      <c r="T10" s="1574" t="s">
        <v>8</v>
      </c>
      <c r="U10" s="1575">
        <f t="shared" si="1"/>
        <v>100</v>
      </c>
      <c r="V10" s="1574" t="s">
        <v>8</v>
      </c>
      <c r="W10" s="1575">
        <f t="shared" si="2"/>
        <v>100</v>
      </c>
      <c r="X10" s="1576"/>
      <c r="Y10" s="3320"/>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63"/>
      <c r="Q11" s="1154">
        <f t="shared" si="6"/>
        <v>111</v>
      </c>
      <c r="R11" s="1574" t="s">
        <v>8</v>
      </c>
      <c r="S11" s="1575">
        <f t="shared" si="0"/>
        <v>100</v>
      </c>
      <c r="T11" s="1574" t="s">
        <v>8</v>
      </c>
      <c r="U11" s="1575">
        <f t="shared" si="1"/>
        <v>100</v>
      </c>
      <c r="V11" s="1574" t="s">
        <v>8</v>
      </c>
      <c r="W11" s="1575">
        <f t="shared" si="2"/>
        <v>100</v>
      </c>
      <c r="X11" s="1576"/>
      <c r="Y11" s="3320"/>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63"/>
      <c r="Q12" s="1154">
        <f t="shared" si="6"/>
        <v>111</v>
      </c>
      <c r="R12" s="1574" t="s">
        <v>8</v>
      </c>
      <c r="S12" s="1575">
        <f t="shared" si="0"/>
        <v>100</v>
      </c>
      <c r="T12" s="1574" t="s">
        <v>8</v>
      </c>
      <c r="U12" s="1575">
        <f t="shared" si="1"/>
        <v>100</v>
      </c>
      <c r="V12" s="1574" t="s">
        <v>8</v>
      </c>
      <c r="W12" s="1575">
        <f t="shared" si="2"/>
        <v>100</v>
      </c>
      <c r="X12" s="1576"/>
      <c r="Y12" s="3320"/>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63"/>
      <c r="Q13" s="1154">
        <f t="shared" si="6"/>
        <v>111</v>
      </c>
      <c r="R13" s="1574" t="s">
        <v>8</v>
      </c>
      <c r="S13" s="1575">
        <f t="shared" si="0"/>
        <v>100</v>
      </c>
      <c r="T13" s="1574" t="s">
        <v>8</v>
      </c>
      <c r="U13" s="1575">
        <f t="shared" si="1"/>
        <v>100</v>
      </c>
      <c r="V13" s="1574" t="s">
        <v>8</v>
      </c>
      <c r="W13" s="1575">
        <f t="shared" si="2"/>
        <v>100</v>
      </c>
      <c r="X13" s="1576"/>
      <c r="Y13" s="3320"/>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65" t="s">
        <v>541</v>
      </c>
      <c r="Q14" s="1578" t="str">
        <f t="shared" si="6"/>
        <v>交通便捷度</v>
      </c>
      <c r="R14" s="1579" t="s">
        <v>8</v>
      </c>
      <c r="S14" s="1580">
        <f t="shared" si="0"/>
        <v>100</v>
      </c>
      <c r="T14" s="1579" t="s">
        <v>8</v>
      </c>
      <c r="U14" s="1580">
        <f t="shared" si="1"/>
        <v>100</v>
      </c>
      <c r="V14" s="1579" t="s">
        <v>8</v>
      </c>
      <c r="W14" s="1580">
        <f t="shared" si="2"/>
        <v>100</v>
      </c>
      <c r="X14" s="1573"/>
      <c r="Y14" s="3365"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66"/>
      <c r="Q15" s="1578"/>
      <c r="R15" s="1579"/>
      <c r="S15" s="1580"/>
      <c r="T15" s="1579"/>
      <c r="U15" s="1580"/>
      <c r="V15" s="1579"/>
      <c r="W15" s="1580"/>
      <c r="X15" s="1573"/>
      <c r="Y15" s="3366"/>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66"/>
      <c r="Q16" s="1578" t="str">
        <f>B16</f>
        <v>公共配套设施</v>
      </c>
      <c r="R16" s="1579" t="s">
        <v>8</v>
      </c>
      <c r="S16" s="1580">
        <f>F16</f>
        <v>100</v>
      </c>
      <c r="T16" s="1579" t="s">
        <v>8</v>
      </c>
      <c r="U16" s="1580">
        <f>H16</f>
        <v>100</v>
      </c>
      <c r="V16" s="1579" t="s">
        <v>8</v>
      </c>
      <c r="W16" s="1580">
        <f>J16</f>
        <v>100</v>
      </c>
      <c r="X16" s="1573"/>
      <c r="Y16" s="3366"/>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66"/>
      <c r="Q17" s="1578"/>
      <c r="R17" s="1579"/>
      <c r="S17" s="1580"/>
      <c r="T17" s="1579"/>
      <c r="U17" s="1580"/>
      <c r="V17" s="1579"/>
      <c r="W17" s="1580"/>
      <c r="X17" s="1573"/>
      <c r="Y17" s="3366"/>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66"/>
      <c r="Q18" s="2615" t="str">
        <f>B18</f>
        <v>基础设施水平</v>
      </c>
      <c r="R18" s="1579" t="s">
        <v>8</v>
      </c>
      <c r="S18" s="1580">
        <f>F18</f>
        <v>100</v>
      </c>
      <c r="T18" s="1579" t="s">
        <v>8</v>
      </c>
      <c r="U18" s="1580">
        <f>H18</f>
        <v>100</v>
      </c>
      <c r="V18" s="1579" t="s">
        <v>8</v>
      </c>
      <c r="W18" s="1580">
        <f>J18</f>
        <v>100</v>
      </c>
      <c r="X18" s="2617"/>
      <c r="Y18" s="3366"/>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66"/>
      <c r="Q19" s="2615"/>
      <c r="R19" s="1579"/>
      <c r="S19" s="1580"/>
      <c r="T19" s="1579"/>
      <c r="U19" s="1580"/>
      <c r="V19" s="1579"/>
      <c r="W19" s="1580"/>
      <c r="X19" s="2617"/>
      <c r="Y19" s="3366"/>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66"/>
      <c r="Q20" s="1578" t="str">
        <f>B20</f>
        <v>自然及人文环境</v>
      </c>
      <c r="R20" s="1579" t="s">
        <v>8</v>
      </c>
      <c r="S20" s="1580">
        <f>F20</f>
        <v>100</v>
      </c>
      <c r="T20" s="1579" t="s">
        <v>8</v>
      </c>
      <c r="U20" s="1580">
        <f>H20</f>
        <v>100</v>
      </c>
      <c r="V20" s="1579" t="s">
        <v>8</v>
      </c>
      <c r="W20" s="1580">
        <f>J20</f>
        <v>100</v>
      </c>
      <c r="X20" s="1573"/>
      <c r="Y20" s="3366"/>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66"/>
      <c r="Q21" s="1578"/>
      <c r="R21" s="1579"/>
      <c r="S21" s="1580"/>
      <c r="T21" s="1579"/>
      <c r="U21" s="1580"/>
      <c r="V21" s="1579"/>
      <c r="W21" s="1580"/>
      <c r="X21" s="1573"/>
      <c r="Y21" s="3366"/>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66"/>
      <c r="Q22" s="1578" t="str">
        <f>B22</f>
        <v>楼层</v>
      </c>
      <c r="R22" s="1579" t="s">
        <v>8</v>
      </c>
      <c r="S22" s="1580">
        <f>F22</f>
        <v>100</v>
      </c>
      <c r="T22" s="1579" t="s">
        <v>8</v>
      </c>
      <c r="U22" s="1580">
        <f>H22</f>
        <v>100</v>
      </c>
      <c r="V22" s="1579" t="s">
        <v>8</v>
      </c>
      <c r="W22" s="1580">
        <f>J22</f>
        <v>100</v>
      </c>
      <c r="X22" s="1573"/>
      <c r="Y22" s="3366"/>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66"/>
      <c r="Q23" s="1578">
        <f>B23</f>
        <v>111</v>
      </c>
      <c r="R23" s="1579" t="s">
        <v>8</v>
      </c>
      <c r="S23" s="1580">
        <f>F23</f>
        <v>100</v>
      </c>
      <c r="T23" s="1579" t="s">
        <v>8</v>
      </c>
      <c r="U23" s="1580">
        <f>H23</f>
        <v>100</v>
      </c>
      <c r="V23" s="1579" t="s">
        <v>8</v>
      </c>
      <c r="W23" s="1580">
        <f>J23</f>
        <v>100</v>
      </c>
      <c r="X23" s="1573"/>
      <c r="Y23" s="3366"/>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66"/>
      <c r="Q24" s="1578">
        <f t="shared" ref="Q24:Q36" si="11">B24</f>
        <v>111</v>
      </c>
      <c r="R24" s="1579" t="s">
        <v>8</v>
      </c>
      <c r="S24" s="1580">
        <f>F24</f>
        <v>100</v>
      </c>
      <c r="T24" s="1579" t="s">
        <v>8</v>
      </c>
      <c r="U24" s="1580">
        <f>H24</f>
        <v>100</v>
      </c>
      <c r="V24" s="1579" t="s">
        <v>8</v>
      </c>
      <c r="W24" s="1580">
        <f>J24</f>
        <v>100</v>
      </c>
      <c r="X24" s="1573"/>
      <c r="Y24" s="3366"/>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66"/>
      <c r="Q25" s="1154">
        <f t="shared" si="11"/>
        <v>111</v>
      </c>
      <c r="R25" s="1574" t="s">
        <v>8</v>
      </c>
      <c r="S25" s="1575">
        <f>F25</f>
        <v>100</v>
      </c>
      <c r="T25" s="1574" t="s">
        <v>8</v>
      </c>
      <c r="U25" s="1575">
        <f>H25</f>
        <v>100</v>
      </c>
      <c r="V25" s="1574" t="s">
        <v>8</v>
      </c>
      <c r="W25" s="1575">
        <f>J25</f>
        <v>100</v>
      </c>
      <c r="X25" s="1576"/>
      <c r="Y25" s="3366"/>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67"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68"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68"/>
      <c r="Q27" s="1611" t="str">
        <f t="shared" si="11"/>
        <v>项目停车位配比</v>
      </c>
      <c r="R27" s="1583" t="s">
        <v>8</v>
      </c>
      <c r="S27" s="1584">
        <f t="shared" si="12"/>
        <v>100</v>
      </c>
      <c r="T27" s="1583" t="s">
        <v>8</v>
      </c>
      <c r="U27" s="1584">
        <f t="shared" si="13"/>
        <v>100</v>
      </c>
      <c r="V27" s="1583" t="s">
        <v>8</v>
      </c>
      <c r="W27" s="1584">
        <f t="shared" si="14"/>
        <v>100</v>
      </c>
      <c r="X27" s="1585"/>
      <c r="Y27" s="3368"/>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68"/>
      <c r="Q28" s="1578" t="str">
        <f t="shared" si="11"/>
        <v>公共部分装修</v>
      </c>
      <c r="R28" s="1579" t="s">
        <v>8</v>
      </c>
      <c r="S28" s="1580">
        <f t="shared" si="12"/>
        <v>100</v>
      </c>
      <c r="T28" s="1579" t="s">
        <v>8</v>
      </c>
      <c r="U28" s="1580">
        <f t="shared" si="13"/>
        <v>100</v>
      </c>
      <c r="V28" s="1579" t="s">
        <v>8</v>
      </c>
      <c r="W28" s="1580">
        <f t="shared" si="14"/>
        <v>100</v>
      </c>
      <c r="X28" s="1573"/>
      <c r="Y28" s="3368"/>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68"/>
      <c r="Q29" s="1578" t="str">
        <f t="shared" si="11"/>
        <v>成新率</v>
      </c>
      <c r="R29" s="1579" t="s">
        <v>8</v>
      </c>
      <c r="S29" s="1580" t="e">
        <f t="shared" si="12"/>
        <v>#N/A</v>
      </c>
      <c r="T29" s="1579" t="s">
        <v>8</v>
      </c>
      <c r="U29" s="1580" t="e">
        <f t="shared" si="13"/>
        <v>#N/A</v>
      </c>
      <c r="V29" s="1579" t="s">
        <v>8</v>
      </c>
      <c r="W29" s="1580" t="e">
        <f t="shared" si="14"/>
        <v>#N/A</v>
      </c>
      <c r="X29" s="1573"/>
      <c r="Y29" s="3368"/>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68"/>
      <c r="Q30" s="1578" t="str">
        <f t="shared" si="11"/>
        <v>物业等级</v>
      </c>
      <c r="R30" s="1579" t="s">
        <v>8</v>
      </c>
      <c r="S30" s="1580">
        <f t="shared" si="12"/>
        <v>100</v>
      </c>
      <c r="T30" s="1579" t="s">
        <v>8</v>
      </c>
      <c r="U30" s="1580">
        <f t="shared" si="13"/>
        <v>100</v>
      </c>
      <c r="V30" s="1579" t="s">
        <v>8</v>
      </c>
      <c r="W30" s="1580">
        <f t="shared" si="14"/>
        <v>100</v>
      </c>
      <c r="X30" s="1573"/>
      <c r="Y30" s="3368"/>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68"/>
      <c r="Q31" s="1154" t="str">
        <f t="shared" si="11"/>
        <v>停车位面积</v>
      </c>
      <c r="R31" s="1574" t="s">
        <v>8</v>
      </c>
      <c r="S31" s="1575" t="e">
        <f t="shared" si="12"/>
        <v>#N/A</v>
      </c>
      <c r="T31" s="1574" t="s">
        <v>8</v>
      </c>
      <c r="U31" s="1575" t="e">
        <f t="shared" si="13"/>
        <v>#N/A</v>
      </c>
      <c r="V31" s="1574" t="s">
        <v>8</v>
      </c>
      <c r="W31" s="1575" t="e">
        <f t="shared" si="14"/>
        <v>#N/A</v>
      </c>
      <c r="X31" s="1576"/>
      <c r="Y31" s="3368"/>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68" t="s">
        <v>551</v>
      </c>
      <c r="Q32" s="1578" t="str">
        <f t="shared" si="11"/>
        <v>车位类型</v>
      </c>
      <c r="R32" s="1579" t="s">
        <v>8</v>
      </c>
      <c r="S32" s="1580">
        <f t="shared" si="12"/>
        <v>100</v>
      </c>
      <c r="T32" s="1579" t="s">
        <v>8</v>
      </c>
      <c r="U32" s="1580">
        <f t="shared" si="13"/>
        <v>100</v>
      </c>
      <c r="V32" s="1579" t="s">
        <v>8</v>
      </c>
      <c r="W32" s="1580">
        <f t="shared" si="14"/>
        <v>100</v>
      </c>
      <c r="X32" s="1573"/>
      <c r="Y32" s="3368"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68"/>
      <c r="Q33" s="1578" t="str">
        <f t="shared" si="11"/>
        <v>是否直接入户</v>
      </c>
      <c r="R33" s="1579" t="s">
        <v>8</v>
      </c>
      <c r="S33" s="1580">
        <f t="shared" si="12"/>
        <v>100</v>
      </c>
      <c r="T33" s="1579" t="s">
        <v>8</v>
      </c>
      <c r="U33" s="1580">
        <f t="shared" si="13"/>
        <v>100</v>
      </c>
      <c r="V33" s="1579" t="s">
        <v>8</v>
      </c>
      <c r="W33" s="1580">
        <f t="shared" si="14"/>
        <v>100</v>
      </c>
      <c r="X33" s="1573"/>
      <c r="Y33" s="3368"/>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68"/>
      <c r="Q34" s="1578">
        <f t="shared" si="11"/>
        <v>111</v>
      </c>
      <c r="R34" s="1579" t="s">
        <v>8</v>
      </c>
      <c r="S34" s="1580">
        <f t="shared" si="12"/>
        <v>100</v>
      </c>
      <c r="T34" s="1579" t="s">
        <v>8</v>
      </c>
      <c r="U34" s="1580">
        <f t="shared" si="13"/>
        <v>100</v>
      </c>
      <c r="V34" s="1579" t="s">
        <v>8</v>
      </c>
      <c r="W34" s="1580">
        <f t="shared" si="14"/>
        <v>100</v>
      </c>
      <c r="X34" s="1573"/>
      <c r="Y34" s="3368"/>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68"/>
      <c r="Q35" s="1611">
        <f t="shared" si="11"/>
        <v>111</v>
      </c>
      <c r="R35" s="1583" t="s">
        <v>8</v>
      </c>
      <c r="S35" s="1584">
        <f t="shared" si="12"/>
        <v>100</v>
      </c>
      <c r="T35" s="1583" t="s">
        <v>8</v>
      </c>
      <c r="U35" s="1584">
        <f t="shared" si="13"/>
        <v>100</v>
      </c>
      <c r="V35" s="1583" t="s">
        <v>8</v>
      </c>
      <c r="W35" s="1584">
        <f t="shared" si="14"/>
        <v>100</v>
      </c>
      <c r="X35" s="1585"/>
      <c r="Y35" s="3368"/>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68"/>
      <c r="Q36" s="1578">
        <f t="shared" si="11"/>
        <v>111</v>
      </c>
      <c r="R36" s="1579" t="s">
        <v>8</v>
      </c>
      <c r="S36" s="1580">
        <f t="shared" si="12"/>
        <v>100</v>
      </c>
      <c r="T36" s="1579" t="s">
        <v>8</v>
      </c>
      <c r="U36" s="1580">
        <f t="shared" si="13"/>
        <v>100</v>
      </c>
      <c r="V36" s="1579" t="s">
        <v>8</v>
      </c>
      <c r="W36" s="1580">
        <f t="shared" si="14"/>
        <v>100</v>
      </c>
      <c r="X36" s="1573"/>
      <c r="Y36" s="3368"/>
      <c r="Z36" s="1581">
        <f t="shared" si="15"/>
        <v>111</v>
      </c>
      <c r="AA36" s="1582">
        <f t="shared" si="3"/>
        <v>1</v>
      </c>
      <c r="AB36" s="1582">
        <f t="shared" si="4"/>
        <v>1</v>
      </c>
      <c r="AC36" s="1582">
        <f t="shared" si="5"/>
        <v>1</v>
      </c>
    </row>
    <row r="37" spans="1:29" ht="15">
      <c r="A37" s="1853" t="s">
        <v>2085</v>
      </c>
      <c r="B37" s="1854" t="s">
        <v>2086</v>
      </c>
      <c r="C37" s="2663" t="s">
        <v>1</v>
      </c>
      <c r="D37" s="2664"/>
      <c r="E37" s="2665"/>
      <c r="F37" s="2666"/>
      <c r="G37" s="2667"/>
      <c r="H37" s="2668"/>
      <c r="I37" s="2665"/>
      <c r="J37" s="2668"/>
      <c r="K37" s="1617"/>
      <c r="L37" s="2155"/>
      <c r="M37" s="2156"/>
      <c r="N37" s="2145"/>
      <c r="O37" s="2156"/>
      <c r="P37" s="3363" t="str">
        <f>A37</f>
        <v>成交单价</v>
      </c>
      <c r="Q37" s="3363"/>
      <c r="R37" s="3461">
        <f>E37</f>
        <v>0</v>
      </c>
      <c r="S37" s="3461"/>
      <c r="T37" s="3461">
        <f>G37</f>
        <v>0</v>
      </c>
      <c r="U37" s="3461"/>
      <c r="V37" s="3461">
        <f>I37</f>
        <v>0</v>
      </c>
      <c r="W37" s="3461"/>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63" t="str">
        <f>A38</f>
        <v>比较价格（元/平方米）</v>
      </c>
      <c r="Q38" s="3363"/>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65"/>
      <c r="Y38" s="1565"/>
      <c r="Z38" s="1565"/>
      <c r="AA38" s="1565"/>
      <c r="AB38" s="1565"/>
      <c r="AC38" s="1565"/>
    </row>
    <row r="39" spans="1:29" ht="15.75" thickBot="1">
      <c r="A39" s="624" t="s">
        <v>2947</v>
      </c>
      <c r="B39" s="625"/>
      <c r="C39" s="2672" t="e">
        <f>R39</f>
        <v>#DIV/0!</v>
      </c>
      <c r="D39" s="2672"/>
      <c r="E39" s="2672"/>
      <c r="F39" s="2672"/>
      <c r="G39" s="2672"/>
      <c r="H39" s="2672"/>
      <c r="I39" s="2672"/>
      <c r="J39" s="2672"/>
      <c r="K39" s="1619"/>
      <c r="L39" s="2155"/>
      <c r="M39" s="2156"/>
      <c r="N39" s="2156"/>
      <c r="O39" s="2156"/>
      <c r="P39" s="3385" t="str">
        <f>A39</f>
        <v>估价对象XX用房的比较价格（楼面单价，元/平方米）</v>
      </c>
      <c r="Q39" s="3386"/>
      <c r="R39" s="3460" t="e">
        <f>IF(F1="售价",ROUND(AVERAGE(R38:V38),0),ROUND(AVERAGE(R38:V38),1))</f>
        <v>#DIV/0!</v>
      </c>
      <c r="S39" s="3460"/>
      <c r="T39" s="3460"/>
      <c r="U39" s="3460"/>
      <c r="V39" s="3460"/>
      <c r="W39" s="3460"/>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2017-10</v>
      </c>
      <c r="D48" s="2844">
        <f>EDATE(C48,-1)</f>
        <v>42979</v>
      </c>
      <c r="E48" s="2844">
        <f t="shared" ref="E48:O48" si="16">EDATE(D48,-1)</f>
        <v>42948</v>
      </c>
      <c r="F48" s="2844">
        <f t="shared" si="16"/>
        <v>42917</v>
      </c>
      <c r="G48" s="2844">
        <f t="shared" si="16"/>
        <v>42887</v>
      </c>
      <c r="H48" s="2844">
        <f t="shared" si="16"/>
        <v>42856</v>
      </c>
      <c r="I48" s="2844">
        <f t="shared" si="16"/>
        <v>42826</v>
      </c>
      <c r="J48" s="2844">
        <f t="shared" si="16"/>
        <v>42795</v>
      </c>
      <c r="K48" s="2844">
        <f t="shared" si="16"/>
        <v>42767</v>
      </c>
      <c r="L48" s="2844">
        <f t="shared" si="16"/>
        <v>42736</v>
      </c>
      <c r="M48" s="2844">
        <f t="shared" si="16"/>
        <v>42705</v>
      </c>
      <c r="N48" s="2844">
        <f t="shared" si="16"/>
        <v>42675</v>
      </c>
      <c r="O48" s="2844">
        <f t="shared" si="16"/>
        <v>42644</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69" t="s">
        <v>801</v>
      </c>
      <c r="D4" s="3370"/>
      <c r="E4" s="3394" t="s">
        <v>802</v>
      </c>
      <c r="F4" s="3395"/>
      <c r="G4" s="3369" t="s">
        <v>803</v>
      </c>
      <c r="H4" s="3370"/>
      <c r="I4" s="3369" t="s">
        <v>804</v>
      </c>
      <c r="J4" s="3370"/>
      <c r="K4" s="517" t="s">
        <v>805</v>
      </c>
      <c r="L4" s="2144"/>
      <c r="M4" s="2145"/>
      <c r="N4" s="2145"/>
      <c r="O4" s="2145"/>
      <c r="P4" s="3371" t="s">
        <v>806</v>
      </c>
      <c r="Q4" s="3372"/>
      <c r="R4" s="3357" t="s">
        <v>802</v>
      </c>
      <c r="S4" s="3358"/>
      <c r="T4" s="3357" t="s">
        <v>803</v>
      </c>
      <c r="U4" s="3358"/>
      <c r="V4" s="3377" t="s">
        <v>804</v>
      </c>
      <c r="W4" s="3377"/>
      <c r="X4" s="1573"/>
      <c r="Y4" s="3357" t="s">
        <v>806</v>
      </c>
      <c r="Z4" s="3358"/>
      <c r="AA4" s="3352" t="s">
        <v>802</v>
      </c>
      <c r="AB4" s="3353" t="s">
        <v>803</v>
      </c>
      <c r="AC4" s="3352" t="s">
        <v>804</v>
      </c>
    </row>
    <row r="5" spans="1:29" ht="15">
      <c r="A5" s="518"/>
      <c r="B5" s="519"/>
      <c r="C5" s="3382" t="s">
        <v>2941</v>
      </c>
      <c r="D5" s="3381"/>
      <c r="E5" s="3396" t="s">
        <v>2942</v>
      </c>
      <c r="F5" s="3397"/>
      <c r="G5" s="3382" t="s">
        <v>2943</v>
      </c>
      <c r="H5" s="3381"/>
      <c r="I5" s="3382" t="s">
        <v>2944</v>
      </c>
      <c r="J5" s="3381"/>
      <c r="K5" s="517"/>
      <c r="L5" s="2144"/>
      <c r="M5" s="2145"/>
      <c r="N5" s="2145"/>
      <c r="O5" s="2145"/>
      <c r="P5" s="3373"/>
      <c r="Q5" s="3374"/>
      <c r="R5" s="3359"/>
      <c r="S5" s="3360"/>
      <c r="T5" s="3359"/>
      <c r="U5" s="3360"/>
      <c r="V5" s="3377"/>
      <c r="W5" s="3377"/>
      <c r="X5" s="1573"/>
      <c r="Y5" s="3359"/>
      <c r="Z5" s="3360"/>
      <c r="AA5" s="3353"/>
      <c r="AB5" s="3353"/>
      <c r="AC5" s="3353"/>
    </row>
    <row r="6" spans="1:29" ht="15.75" thickBot="1">
      <c r="A6" s="520"/>
      <c r="B6" s="521"/>
      <c r="C6" s="3378" t="s">
        <v>2945</v>
      </c>
      <c r="D6" s="3379"/>
      <c r="E6" s="3398" t="s">
        <v>2945</v>
      </c>
      <c r="F6" s="3399"/>
      <c r="G6" s="3378" t="s">
        <v>2945</v>
      </c>
      <c r="H6" s="3379"/>
      <c r="I6" s="3378" t="s">
        <v>2945</v>
      </c>
      <c r="J6" s="3379"/>
      <c r="K6" s="517" t="s">
        <v>529</v>
      </c>
      <c r="L6" s="2144"/>
      <c r="M6" s="2145"/>
      <c r="N6" s="2145"/>
      <c r="O6" s="2145"/>
      <c r="P6" s="3375"/>
      <c r="Q6" s="3376"/>
      <c r="R6" s="3359"/>
      <c r="S6" s="3360"/>
      <c r="T6" s="3361"/>
      <c r="U6" s="3362"/>
      <c r="V6" s="3377"/>
      <c r="W6" s="3377"/>
      <c r="X6" s="1573"/>
      <c r="Y6" s="3361"/>
      <c r="Z6" s="3362"/>
      <c r="AA6" s="3354"/>
      <c r="AB6" s="3354"/>
      <c r="AC6" s="3354"/>
    </row>
    <row r="7" spans="1:29" s="1223" customFormat="1" ht="15.75" thickBot="1">
      <c r="A7" s="2952"/>
      <c r="B7" s="2959" t="s">
        <v>530</v>
      </c>
      <c r="C7" s="522">
        <f>'数据-取费表'!B2</f>
        <v>43038</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55" t="s">
        <v>531</v>
      </c>
      <c r="Q7" s="3364"/>
      <c r="R7" s="1574" t="s">
        <v>8</v>
      </c>
      <c r="S7" s="1575">
        <f t="shared" ref="S7:S14" si="0">F7</f>
        <v>0</v>
      </c>
      <c r="T7" s="1574" t="s">
        <v>8</v>
      </c>
      <c r="U7" s="1575">
        <f t="shared" ref="U7:U14" si="1">H7</f>
        <v>0</v>
      </c>
      <c r="V7" s="1574" t="s">
        <v>8</v>
      </c>
      <c r="W7" s="1575">
        <f t="shared" ref="W7:W14" si="2">J7</f>
        <v>0</v>
      </c>
      <c r="X7" s="1576"/>
      <c r="Y7" s="3355" t="s">
        <v>531</v>
      </c>
      <c r="Z7" s="3356"/>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55" t="s">
        <v>534</v>
      </c>
      <c r="Q8" s="3356"/>
      <c r="R8" s="1574" t="s">
        <v>8</v>
      </c>
      <c r="S8" s="1575">
        <f t="shared" si="0"/>
        <v>0</v>
      </c>
      <c r="T8" s="1574" t="s">
        <v>8</v>
      </c>
      <c r="U8" s="1575">
        <f t="shared" si="1"/>
        <v>0</v>
      </c>
      <c r="V8" s="1574" t="s">
        <v>8</v>
      </c>
      <c r="W8" s="1575">
        <f t="shared" si="2"/>
        <v>0</v>
      </c>
      <c r="X8" s="1576"/>
      <c r="Y8" s="3355" t="s">
        <v>534</v>
      </c>
      <c r="Z8" s="3356"/>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63" t="s">
        <v>536</v>
      </c>
      <c r="Q9" s="1154" t="str">
        <f t="shared" ref="Q9:Q14" si="6">B9</f>
        <v>用途</v>
      </c>
      <c r="R9" s="1574" t="s">
        <v>8</v>
      </c>
      <c r="S9" s="1575">
        <f t="shared" si="0"/>
        <v>100</v>
      </c>
      <c r="T9" s="1574" t="s">
        <v>8</v>
      </c>
      <c r="U9" s="1575">
        <f t="shared" si="1"/>
        <v>100</v>
      </c>
      <c r="V9" s="1574" t="s">
        <v>8</v>
      </c>
      <c r="W9" s="1575">
        <f t="shared" si="2"/>
        <v>100</v>
      </c>
      <c r="X9" s="1576"/>
      <c r="Y9" s="3320"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63"/>
      <c r="Q10" s="1154" t="str">
        <f t="shared" si="6"/>
        <v>土地使用年限（年）</v>
      </c>
      <c r="R10" s="1574" t="s">
        <v>8</v>
      </c>
      <c r="S10" s="1575">
        <f t="shared" si="0"/>
        <v>100</v>
      </c>
      <c r="T10" s="1574" t="s">
        <v>8</v>
      </c>
      <c r="U10" s="1575">
        <f t="shared" si="1"/>
        <v>100</v>
      </c>
      <c r="V10" s="1574" t="s">
        <v>8</v>
      </c>
      <c r="W10" s="1575">
        <f t="shared" si="2"/>
        <v>100</v>
      </c>
      <c r="X10" s="1576"/>
      <c r="Y10" s="3320"/>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63"/>
      <c r="Q11" s="1154">
        <f t="shared" si="6"/>
        <v>111</v>
      </c>
      <c r="R11" s="1574" t="s">
        <v>8</v>
      </c>
      <c r="S11" s="1575">
        <f t="shared" si="0"/>
        <v>100</v>
      </c>
      <c r="T11" s="1574" t="s">
        <v>8</v>
      </c>
      <c r="U11" s="1575">
        <f t="shared" si="1"/>
        <v>100</v>
      </c>
      <c r="V11" s="1574" t="s">
        <v>8</v>
      </c>
      <c r="W11" s="1575">
        <f t="shared" si="2"/>
        <v>100</v>
      </c>
      <c r="X11" s="1576"/>
      <c r="Y11" s="3320"/>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63"/>
      <c r="Q12" s="1154">
        <f t="shared" si="6"/>
        <v>111</v>
      </c>
      <c r="R12" s="1574" t="s">
        <v>8</v>
      </c>
      <c r="S12" s="1575">
        <f t="shared" si="0"/>
        <v>100</v>
      </c>
      <c r="T12" s="1574" t="s">
        <v>8</v>
      </c>
      <c r="U12" s="1575">
        <f t="shared" si="1"/>
        <v>100</v>
      </c>
      <c r="V12" s="1574" t="s">
        <v>8</v>
      </c>
      <c r="W12" s="1575">
        <f t="shared" si="2"/>
        <v>100</v>
      </c>
      <c r="X12" s="1576"/>
      <c r="Y12" s="3320"/>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63"/>
      <c r="Q13" s="1154">
        <f t="shared" si="6"/>
        <v>111</v>
      </c>
      <c r="R13" s="1574" t="s">
        <v>8</v>
      </c>
      <c r="S13" s="1575">
        <f t="shared" si="0"/>
        <v>100</v>
      </c>
      <c r="T13" s="1574" t="s">
        <v>8</v>
      </c>
      <c r="U13" s="1575">
        <f t="shared" si="1"/>
        <v>100</v>
      </c>
      <c r="V13" s="1574" t="s">
        <v>8</v>
      </c>
      <c r="W13" s="1575">
        <f t="shared" si="2"/>
        <v>100</v>
      </c>
      <c r="X13" s="1576"/>
      <c r="Y13" s="3320"/>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65" t="s">
        <v>541</v>
      </c>
      <c r="Q14" s="1578" t="str">
        <f t="shared" si="6"/>
        <v>交通便捷度</v>
      </c>
      <c r="R14" s="1579" t="s">
        <v>8</v>
      </c>
      <c r="S14" s="1580">
        <f t="shared" si="0"/>
        <v>100</v>
      </c>
      <c r="T14" s="1579" t="s">
        <v>8</v>
      </c>
      <c r="U14" s="1580">
        <f t="shared" si="1"/>
        <v>100</v>
      </c>
      <c r="V14" s="1579" t="s">
        <v>8</v>
      </c>
      <c r="W14" s="1580">
        <f t="shared" si="2"/>
        <v>100</v>
      </c>
      <c r="X14" s="1573"/>
      <c r="Y14" s="3365"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66"/>
      <c r="Q15" s="1578"/>
      <c r="R15" s="1579"/>
      <c r="S15" s="1580"/>
      <c r="T15" s="1579"/>
      <c r="U15" s="1580"/>
      <c r="V15" s="1579"/>
      <c r="W15" s="1580"/>
      <c r="X15" s="1573"/>
      <c r="Y15" s="3366"/>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66"/>
      <c r="Q16" s="1578" t="str">
        <f>B16</f>
        <v>公共配套设施</v>
      </c>
      <c r="R16" s="1579" t="s">
        <v>8</v>
      </c>
      <c r="S16" s="1580">
        <f>F16</f>
        <v>100</v>
      </c>
      <c r="T16" s="1579" t="s">
        <v>8</v>
      </c>
      <c r="U16" s="1580">
        <f>H16</f>
        <v>100</v>
      </c>
      <c r="V16" s="1579" t="s">
        <v>8</v>
      </c>
      <c r="W16" s="1580">
        <f>J16</f>
        <v>100</v>
      </c>
      <c r="X16" s="1573"/>
      <c r="Y16" s="3366"/>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66"/>
      <c r="Q17" s="1578"/>
      <c r="R17" s="1579"/>
      <c r="S17" s="1580"/>
      <c r="T17" s="1579"/>
      <c r="U17" s="1580"/>
      <c r="V17" s="1579"/>
      <c r="W17" s="1580"/>
      <c r="X17" s="1573"/>
      <c r="Y17" s="3366"/>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66"/>
      <c r="Q18" s="2615" t="str">
        <f>B18</f>
        <v>基础设施水平</v>
      </c>
      <c r="R18" s="1579" t="s">
        <v>8</v>
      </c>
      <c r="S18" s="1580">
        <f>F18</f>
        <v>100</v>
      </c>
      <c r="T18" s="1579" t="s">
        <v>8</v>
      </c>
      <c r="U18" s="1580">
        <f>H18</f>
        <v>100</v>
      </c>
      <c r="V18" s="1579" t="s">
        <v>8</v>
      </c>
      <c r="W18" s="1580">
        <f>J18</f>
        <v>100</v>
      </c>
      <c r="X18" s="2617"/>
      <c r="Y18" s="3366"/>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66"/>
      <c r="Q19" s="2615"/>
      <c r="R19" s="1579"/>
      <c r="S19" s="1580"/>
      <c r="T19" s="1579"/>
      <c r="U19" s="1580"/>
      <c r="V19" s="1579"/>
      <c r="W19" s="1580"/>
      <c r="X19" s="2617"/>
      <c r="Y19" s="3366"/>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66"/>
      <c r="Q20" s="1578" t="str">
        <f>B20</f>
        <v>自然及人文环境</v>
      </c>
      <c r="R20" s="1579" t="s">
        <v>8</v>
      </c>
      <c r="S20" s="1580">
        <f>F20</f>
        <v>100</v>
      </c>
      <c r="T20" s="1579" t="s">
        <v>8</v>
      </c>
      <c r="U20" s="1580">
        <f>H20</f>
        <v>100</v>
      </c>
      <c r="V20" s="1579" t="s">
        <v>8</v>
      </c>
      <c r="W20" s="1580">
        <f>J20</f>
        <v>100</v>
      </c>
      <c r="X20" s="1573"/>
      <c r="Y20" s="3366"/>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66"/>
      <c r="Q21" s="1578"/>
      <c r="R21" s="1579"/>
      <c r="S21" s="1580"/>
      <c r="T21" s="1579"/>
      <c r="U21" s="1580"/>
      <c r="V21" s="1579"/>
      <c r="W21" s="1580"/>
      <c r="X21" s="1573"/>
      <c r="Y21" s="3366"/>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66"/>
      <c r="Q22" s="1578" t="str">
        <f>B22</f>
        <v>楼层</v>
      </c>
      <c r="R22" s="1579" t="s">
        <v>8</v>
      </c>
      <c r="S22" s="1580">
        <f>F22</f>
        <v>100</v>
      </c>
      <c r="T22" s="1579" t="s">
        <v>8</v>
      </c>
      <c r="U22" s="1580">
        <f>H22</f>
        <v>100</v>
      </c>
      <c r="V22" s="1579" t="s">
        <v>8</v>
      </c>
      <c r="W22" s="1580">
        <f>J22</f>
        <v>100</v>
      </c>
      <c r="X22" s="1573"/>
      <c r="Y22" s="3366"/>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66"/>
      <c r="Q23" s="1578">
        <f>B23</f>
        <v>111</v>
      </c>
      <c r="R23" s="1579" t="s">
        <v>8</v>
      </c>
      <c r="S23" s="1580">
        <f>F23</f>
        <v>100</v>
      </c>
      <c r="T23" s="1579" t="s">
        <v>8</v>
      </c>
      <c r="U23" s="1580">
        <f>H23</f>
        <v>100</v>
      </c>
      <c r="V23" s="1579" t="s">
        <v>8</v>
      </c>
      <c r="W23" s="1580">
        <f>J23</f>
        <v>100</v>
      </c>
      <c r="X23" s="1573"/>
      <c r="Y23" s="3366"/>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66"/>
      <c r="Q24" s="1578">
        <f t="shared" ref="Q24:Q34" si="11">B24</f>
        <v>111</v>
      </c>
      <c r="R24" s="1579" t="s">
        <v>8</v>
      </c>
      <c r="S24" s="1580">
        <f>F24</f>
        <v>100</v>
      </c>
      <c r="T24" s="1579" t="s">
        <v>8</v>
      </c>
      <c r="U24" s="1580">
        <f>H24</f>
        <v>100</v>
      </c>
      <c r="V24" s="1579" t="s">
        <v>8</v>
      </c>
      <c r="W24" s="1580">
        <f>J24</f>
        <v>100</v>
      </c>
      <c r="X24" s="1573"/>
      <c r="Y24" s="3366"/>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66"/>
      <c r="Q25" s="1154">
        <f t="shared" si="11"/>
        <v>111</v>
      </c>
      <c r="R25" s="1574" t="s">
        <v>8</v>
      </c>
      <c r="S25" s="1575">
        <f>F25</f>
        <v>100</v>
      </c>
      <c r="T25" s="1574" t="s">
        <v>8</v>
      </c>
      <c r="U25" s="1575">
        <f>H25</f>
        <v>100</v>
      </c>
      <c r="V25" s="1574" t="s">
        <v>8</v>
      </c>
      <c r="W25" s="1575">
        <f>J25</f>
        <v>100</v>
      </c>
      <c r="X25" s="1576"/>
      <c r="Y25" s="3366"/>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67"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68"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68"/>
      <c r="Q27" s="1611" t="str">
        <f t="shared" si="11"/>
        <v>成新率</v>
      </c>
      <c r="R27" s="1583" t="s">
        <v>8</v>
      </c>
      <c r="S27" s="1584" t="e">
        <f t="shared" si="12"/>
        <v>#N/A</v>
      </c>
      <c r="T27" s="1583" t="s">
        <v>8</v>
      </c>
      <c r="U27" s="1584" t="e">
        <f t="shared" si="13"/>
        <v>#N/A</v>
      </c>
      <c r="V27" s="1583" t="s">
        <v>8</v>
      </c>
      <c r="W27" s="1584" t="e">
        <f t="shared" si="14"/>
        <v>#N/A</v>
      </c>
      <c r="X27" s="1585"/>
      <c r="Y27" s="3368"/>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68"/>
      <c r="Q28" s="1578" t="str">
        <f t="shared" si="11"/>
        <v>物业等级</v>
      </c>
      <c r="R28" s="1579" t="s">
        <v>8</v>
      </c>
      <c r="S28" s="1580">
        <f t="shared" si="12"/>
        <v>100</v>
      </c>
      <c r="T28" s="1579" t="s">
        <v>8</v>
      </c>
      <c r="U28" s="1580">
        <f t="shared" si="13"/>
        <v>100</v>
      </c>
      <c r="V28" s="1579" t="s">
        <v>8</v>
      </c>
      <c r="W28" s="1580">
        <f t="shared" si="14"/>
        <v>100</v>
      </c>
      <c r="X28" s="1573"/>
      <c r="Y28" s="3368"/>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68"/>
      <c r="Q29" s="1578" t="str">
        <f t="shared" si="11"/>
        <v>有无电梯</v>
      </c>
      <c r="R29" s="1579" t="s">
        <v>8</v>
      </c>
      <c r="S29" s="1580">
        <f t="shared" si="12"/>
        <v>100</v>
      </c>
      <c r="T29" s="1579" t="s">
        <v>8</v>
      </c>
      <c r="U29" s="1580">
        <f t="shared" si="13"/>
        <v>100</v>
      </c>
      <c r="V29" s="1579" t="s">
        <v>8</v>
      </c>
      <c r="W29" s="1580">
        <f t="shared" si="14"/>
        <v>100</v>
      </c>
      <c r="X29" s="1573"/>
      <c r="Y29" s="3368"/>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68"/>
      <c r="Q30" s="1578" t="str">
        <f t="shared" si="11"/>
        <v>建筑面积</v>
      </c>
      <c r="R30" s="1579" t="s">
        <v>8</v>
      </c>
      <c r="S30" s="1580" t="e">
        <f t="shared" si="12"/>
        <v>#N/A</v>
      </c>
      <c r="T30" s="1579" t="s">
        <v>8</v>
      </c>
      <c r="U30" s="1580" t="e">
        <f t="shared" si="13"/>
        <v>#N/A</v>
      </c>
      <c r="V30" s="1579" t="s">
        <v>8</v>
      </c>
      <c r="W30" s="1580" t="e">
        <f t="shared" si="14"/>
        <v>#N/A</v>
      </c>
      <c r="X30" s="1573"/>
      <c r="Y30" s="3368"/>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68"/>
      <c r="Q31" s="1154" t="str">
        <f t="shared" si="11"/>
        <v>是否封闭</v>
      </c>
      <c r="R31" s="1574" t="s">
        <v>8</v>
      </c>
      <c r="S31" s="1575">
        <f t="shared" si="12"/>
        <v>100</v>
      </c>
      <c r="T31" s="1574" t="s">
        <v>8</v>
      </c>
      <c r="U31" s="1575">
        <f t="shared" si="13"/>
        <v>100</v>
      </c>
      <c r="V31" s="1574" t="s">
        <v>8</v>
      </c>
      <c r="W31" s="1575">
        <f t="shared" si="14"/>
        <v>100</v>
      </c>
      <c r="X31" s="1576"/>
      <c r="Y31" s="3368"/>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68" t="s">
        <v>551</v>
      </c>
      <c r="Q32" s="1578">
        <f t="shared" si="11"/>
        <v>111</v>
      </c>
      <c r="R32" s="1579" t="s">
        <v>8</v>
      </c>
      <c r="S32" s="1580">
        <f t="shared" si="12"/>
        <v>100</v>
      </c>
      <c r="T32" s="1579" t="s">
        <v>8</v>
      </c>
      <c r="U32" s="1580">
        <f t="shared" si="13"/>
        <v>100</v>
      </c>
      <c r="V32" s="1579" t="s">
        <v>8</v>
      </c>
      <c r="W32" s="1580">
        <f t="shared" si="14"/>
        <v>100</v>
      </c>
      <c r="X32" s="1573"/>
      <c r="Y32" s="3368"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68"/>
      <c r="Q33" s="1578">
        <f t="shared" si="11"/>
        <v>111</v>
      </c>
      <c r="R33" s="1579" t="s">
        <v>8</v>
      </c>
      <c r="S33" s="1580">
        <f t="shared" si="12"/>
        <v>100</v>
      </c>
      <c r="T33" s="1579" t="s">
        <v>8</v>
      </c>
      <c r="U33" s="1580">
        <f t="shared" si="13"/>
        <v>100</v>
      </c>
      <c r="V33" s="1579" t="s">
        <v>8</v>
      </c>
      <c r="W33" s="1580">
        <f t="shared" si="14"/>
        <v>100</v>
      </c>
      <c r="X33" s="1573"/>
      <c r="Y33" s="3368"/>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68"/>
      <c r="Q34" s="1578">
        <f t="shared" si="11"/>
        <v>111</v>
      </c>
      <c r="R34" s="1579" t="s">
        <v>8</v>
      </c>
      <c r="S34" s="1580">
        <f t="shared" si="12"/>
        <v>100</v>
      </c>
      <c r="T34" s="1579" t="s">
        <v>8</v>
      </c>
      <c r="U34" s="1580">
        <f t="shared" si="13"/>
        <v>100</v>
      </c>
      <c r="V34" s="1579" t="s">
        <v>8</v>
      </c>
      <c r="W34" s="1580">
        <f t="shared" si="14"/>
        <v>100</v>
      </c>
      <c r="X34" s="1573"/>
      <c r="Y34" s="3368"/>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63" t="str">
        <f>A35</f>
        <v>成交单价（元/平方米）</v>
      </c>
      <c r="Q35" s="3363"/>
      <c r="R35" s="3461">
        <f>E35</f>
        <v>0</v>
      </c>
      <c r="S35" s="3461"/>
      <c r="T35" s="3461">
        <f>G35</f>
        <v>0</v>
      </c>
      <c r="U35" s="3461"/>
      <c r="V35" s="3461">
        <f>I35</f>
        <v>0</v>
      </c>
      <c r="W35" s="3461"/>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63" t="str">
        <f>A36</f>
        <v>比较价格（元/平方米）</v>
      </c>
      <c r="Q36" s="3363"/>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65"/>
      <c r="Y36" s="1565"/>
      <c r="Z36" s="1565"/>
      <c r="AA36" s="1565"/>
      <c r="AB36" s="1565"/>
      <c r="AC36" s="1565"/>
    </row>
    <row r="37" spans="1:29" ht="15.75" thickBot="1">
      <c r="A37" s="624" t="s">
        <v>2947</v>
      </c>
      <c r="B37" s="625"/>
      <c r="C37" s="2672" t="e">
        <f>R37</f>
        <v>#DIV/0!</v>
      </c>
      <c r="D37" s="2672"/>
      <c r="E37" s="2672"/>
      <c r="F37" s="2672"/>
      <c r="G37" s="2672"/>
      <c r="H37" s="2672"/>
      <c r="I37" s="2672"/>
      <c r="J37" s="2672"/>
      <c r="K37" s="1619"/>
      <c r="L37" s="2155"/>
      <c r="M37" s="2156"/>
      <c r="N37" s="2156"/>
      <c r="O37" s="2156"/>
      <c r="P37" s="3385" t="str">
        <f>A37</f>
        <v>估价对象XX用房的比较价格（楼面单价，元/平方米）</v>
      </c>
      <c r="Q37" s="3386"/>
      <c r="R37" s="3460" t="e">
        <f>IF(F1="售价",ROUND(AVERAGE(R36:V36),0),ROUND(AVERAGE(R36:V36),1))</f>
        <v>#DIV/0!</v>
      </c>
      <c r="S37" s="3460"/>
      <c r="T37" s="3460"/>
      <c r="U37" s="3460"/>
      <c r="V37" s="3460"/>
      <c r="W37" s="3460"/>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2017-10</v>
      </c>
      <c r="D46" s="2844">
        <f>EDATE(C46,-1)</f>
        <v>42979</v>
      </c>
      <c r="E46" s="2844">
        <f t="shared" ref="E46:O46" si="16">EDATE(D46,-1)</f>
        <v>42948</v>
      </c>
      <c r="F46" s="2844">
        <f t="shared" si="16"/>
        <v>42917</v>
      </c>
      <c r="G46" s="2844">
        <f t="shared" si="16"/>
        <v>42887</v>
      </c>
      <c r="H46" s="2844">
        <f t="shared" si="16"/>
        <v>42856</v>
      </c>
      <c r="I46" s="2844">
        <f t="shared" si="16"/>
        <v>42826</v>
      </c>
      <c r="J46" s="2844">
        <f t="shared" si="16"/>
        <v>42795</v>
      </c>
      <c r="K46" s="2844">
        <f t="shared" si="16"/>
        <v>42767</v>
      </c>
      <c r="L46" s="2844">
        <f t="shared" si="16"/>
        <v>42736</v>
      </c>
      <c r="M46" s="2844">
        <f t="shared" si="16"/>
        <v>42705</v>
      </c>
      <c r="N46" s="2844">
        <f t="shared" si="16"/>
        <v>42675</v>
      </c>
      <c r="O46" s="2844">
        <f t="shared" si="16"/>
        <v>42644</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2312</v>
      </c>
      <c r="C1" s="3470" t="s">
        <v>2313</v>
      </c>
      <c r="D1" s="3471"/>
      <c r="E1" s="3471"/>
      <c r="F1" s="3471"/>
      <c r="G1" s="3471"/>
      <c r="H1" s="3471"/>
      <c r="I1" s="3471"/>
      <c r="J1" s="3471"/>
      <c r="K1" s="3471"/>
      <c r="L1" s="3471"/>
      <c r="M1" s="3471"/>
      <c r="N1" s="3471"/>
      <c r="O1" s="3471"/>
      <c r="P1" s="3471"/>
      <c r="Q1" s="3471"/>
      <c r="R1" s="3471"/>
      <c r="S1" s="3472"/>
      <c r="T1" s="2245" t="s">
        <v>2314</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9" t="s">
        <v>2940</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1" t="s">
        <v>2939</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1" t="s">
        <v>2938</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0"/>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9" t="s">
        <v>2953</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9" t="s">
        <v>2937</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9" t="s">
        <v>2936</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2316</v>
      </c>
      <c r="B17" s="2289" t="s">
        <v>2317</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67" t="s">
        <v>20</v>
      </c>
      <c r="D22" s="3468"/>
      <c r="E22" s="3468"/>
      <c r="F22" s="3468"/>
      <c r="G22" s="3468"/>
      <c r="H22" s="3468"/>
      <c r="I22" s="3468"/>
      <c r="J22" s="3468"/>
      <c r="K22" s="3468"/>
      <c r="L22" s="3468"/>
      <c r="M22" s="3468"/>
      <c r="N22" s="3468"/>
      <c r="O22" s="3468"/>
      <c r="P22" s="3468"/>
      <c r="Q22" s="3469"/>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37.5">
      <c r="A4" s="1798" t="str">
        <f>"受贵公司委托，我公司对"&amp;项目基本情况!K2&amp;项目基本情况!B9&amp;"进行了预评估。"</f>
        <v>受贵公司委托，我公司对天津市河东区津滨大道与东兴立交桥交口东北侧（地块一）出让国有建设用地使用权进行了预评估。</v>
      </c>
    </row>
    <row r="5" spans="1:4" ht="18.75">
      <c r="A5" s="1801" t="s">
        <v>1910</v>
      </c>
    </row>
    <row r="6" spans="1:4" ht="93.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市天房天都房地产开发有限公司使用的、位于天津市河东区津滨大道与东兴立交桥交口东北侧（地块一）出让国有建设用地使用权。根据《国有土地使用证》[]，估价对象（分摊）出让国有建设用地使用权面积为19564.6平方米。根据《总平图》，估价对象规划建筑面积为72811平方米。</v>
      </c>
    </row>
    <row r="7" spans="1:4" ht="93.75">
      <c r="A7" s="2913" t="s">
        <v>2763</v>
      </c>
    </row>
    <row r="8" spans="1:4" ht="18.75">
      <c r="A8" s="1801" t="s">
        <v>1911</v>
      </c>
    </row>
    <row r="9" spans="1:4" ht="75">
      <c r="A9" s="1803" t="str">
        <f>IF(项目基本情况!B8="抵押",IF(项目基本情况!B5=项目基本情况!B6,定义!C51,定义!B51),定义!D51)</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4" t="s">
        <v>2034</v>
      </c>
    </row>
    <row r="11" spans="1:4" ht="18.75">
      <c r="A11" s="1787" t="str">
        <f>TEXT(项目基本情况!D3,"yyyy年m月d日;;")&amp;IF(项目基本情况!B3=项目基本情况!D3,"（评估专业人员勘察现场之日）","")</f>
        <v>2017年10月30日（评估专业人员勘察现场之日）</v>
      </c>
    </row>
    <row r="12" spans="1:4" ht="18.75">
      <c r="A12" s="1804" t="s">
        <v>2033</v>
      </c>
    </row>
    <row r="13" spans="1:4" ht="18.75">
      <c r="A13" s="1798" t="s">
        <v>2079</v>
      </c>
    </row>
    <row r="14" spans="1:4" ht="37.5">
      <c r="A14" s="1798" t="str">
        <f>"根据"&amp;项目基本情况!F12&amp;"，本次评估估价对象证载（地类）用途为"&amp;项目基本情况!B12&amp;"。"</f>
        <v>根据《不动产权证书》[]，本次评估估价对象证载（地类）用途为城镇住宅用地。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2080</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2081</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根据《国有土地使用证》[]，估价对象（分摊）出让国有建设用地使用权面积为19564.6平方米。根据《总平图》，估价对象规划建筑面积为72811平方米。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2082</v>
      </c>
    </row>
    <row r="23" spans="1:1" ht="18.75">
      <c r="A23" s="2915" t="s">
        <v>2764</v>
      </c>
    </row>
    <row r="24" spans="1:1" ht="18.75">
      <c r="A24" s="1798" t="s">
        <v>2083</v>
      </c>
    </row>
    <row r="25" spans="1:1" ht="75">
      <c r="A25" s="1798"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2035</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43038</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2</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51"/>
  <sheetViews>
    <sheetView workbookViewId="0">
      <selection activeCell="A5" sqref="A5"/>
    </sheetView>
  </sheetViews>
  <sheetFormatPr defaultRowHeight="13.5"/>
  <cols>
    <col min="1" max="1" width="30.5" customWidth="1"/>
    <col min="3" max="3" width="16.5" customWidth="1"/>
    <col min="7" max="7" width="12.375" customWidth="1"/>
    <col min="9" max="10" width="0" hidden="1" customWidth="1"/>
    <col min="12" max="12" width="19" customWidth="1"/>
  </cols>
  <sheetData>
    <row r="1" spans="1:16">
      <c r="A1" s="3151" t="s">
        <v>2957</v>
      </c>
      <c r="B1" s="3151" t="s">
        <v>2958</v>
      </c>
      <c r="C1" s="3151" t="s">
        <v>2959</v>
      </c>
      <c r="D1" s="3151" t="s">
        <v>2960</v>
      </c>
      <c r="E1" s="3151" t="s">
        <v>2961</v>
      </c>
      <c r="F1" s="3151" t="s">
        <v>2962</v>
      </c>
      <c r="G1" s="3151" t="s">
        <v>2040</v>
      </c>
      <c r="H1" s="3151" t="s">
        <v>3029</v>
      </c>
      <c r="I1" s="3151" t="s">
        <v>3030</v>
      </c>
      <c r="J1" s="3151" t="s">
        <v>3031</v>
      </c>
      <c r="K1" s="3151" t="s">
        <v>2963</v>
      </c>
      <c r="L1" s="3151" t="s">
        <v>2964</v>
      </c>
      <c r="M1" s="3151" t="s">
        <v>2965</v>
      </c>
      <c r="N1" s="3151" t="s">
        <v>2966</v>
      </c>
      <c r="O1" s="3151" t="s">
        <v>2967</v>
      </c>
      <c r="P1" s="3153" t="s">
        <v>3164</v>
      </c>
    </row>
    <row r="2" spans="1:16" s="3165" customFormat="1">
      <c r="A2" s="3164" t="s">
        <v>3032</v>
      </c>
      <c r="B2" s="3164" t="s">
        <v>2969</v>
      </c>
      <c r="C2" s="3164" t="s">
        <v>2970</v>
      </c>
      <c r="D2" s="3164" t="s">
        <v>2971</v>
      </c>
      <c r="E2" s="3164">
        <v>59628.800000000003</v>
      </c>
      <c r="F2" s="3164">
        <v>119257.60000000001</v>
      </c>
      <c r="G2" s="3164" t="s">
        <v>3033</v>
      </c>
      <c r="H2" s="3164" t="s">
        <v>2833</v>
      </c>
      <c r="I2" s="3151" t="s">
        <v>2833</v>
      </c>
      <c r="J2" s="3151" t="s">
        <v>2833</v>
      </c>
      <c r="K2" s="3164" t="s">
        <v>3034</v>
      </c>
      <c r="L2" s="3164" t="s">
        <v>3035</v>
      </c>
      <c r="M2" s="3164">
        <v>315000</v>
      </c>
      <c r="N2" s="3164">
        <v>3521.79</v>
      </c>
      <c r="O2" s="3164">
        <v>26413.4</v>
      </c>
      <c r="P2" s="3165">
        <f>ROUND(M2*10000/E2,0)</f>
        <v>52827</v>
      </c>
    </row>
    <row r="3" spans="1:16">
      <c r="A3" s="3151" t="s">
        <v>3036</v>
      </c>
      <c r="B3" s="3151" t="s">
        <v>2969</v>
      </c>
      <c r="C3" s="3151" t="s">
        <v>2970</v>
      </c>
      <c r="D3" s="3151" t="s">
        <v>2971</v>
      </c>
      <c r="E3" s="3151">
        <v>91047.9</v>
      </c>
      <c r="F3" s="3151">
        <v>199634.5</v>
      </c>
      <c r="G3" s="3151" t="s">
        <v>3037</v>
      </c>
      <c r="H3" s="3151" t="s">
        <v>3038</v>
      </c>
      <c r="I3" s="3151" t="s">
        <v>2833</v>
      </c>
      <c r="J3" s="3151" t="s">
        <v>2833</v>
      </c>
      <c r="K3" s="3151" t="s">
        <v>3039</v>
      </c>
      <c r="L3" s="3151" t="s">
        <v>3040</v>
      </c>
      <c r="M3" s="3151">
        <v>380000</v>
      </c>
      <c r="N3" s="3151">
        <v>2782.42</v>
      </c>
      <c r="O3" s="3151">
        <v>19034.79</v>
      </c>
      <c r="P3">
        <f t="shared" ref="P3:P51" si="0">ROUND(M3*10000/E3,0)</f>
        <v>41736</v>
      </c>
    </row>
    <row r="4" spans="1:16" s="3165" customFormat="1">
      <c r="A4" s="3164" t="s">
        <v>3041</v>
      </c>
      <c r="B4" s="3164" t="s">
        <v>2969</v>
      </c>
      <c r="C4" s="3164" t="s">
        <v>2970</v>
      </c>
      <c r="D4" s="3164" t="s">
        <v>2971</v>
      </c>
      <c r="E4" s="3164">
        <v>28486.400000000001</v>
      </c>
      <c r="F4" s="3164">
        <v>54073.75</v>
      </c>
      <c r="G4" s="3164" t="s">
        <v>3042</v>
      </c>
      <c r="H4" s="3164" t="s">
        <v>2833</v>
      </c>
      <c r="I4" s="3151" t="s">
        <v>2833</v>
      </c>
      <c r="J4" s="3151" t="s">
        <v>2833</v>
      </c>
      <c r="K4" s="3164" t="s">
        <v>3043</v>
      </c>
      <c r="L4" s="3164" t="s">
        <v>3044</v>
      </c>
      <c r="M4" s="3164">
        <v>146000</v>
      </c>
      <c r="N4" s="3164">
        <v>3416.84</v>
      </c>
      <c r="O4" s="3164">
        <v>27000.15</v>
      </c>
      <c r="P4" s="3165">
        <f t="shared" si="0"/>
        <v>51253</v>
      </c>
    </row>
    <row r="5" spans="1:16" s="3165" customFormat="1">
      <c r="A5" s="3164" t="s">
        <v>2968</v>
      </c>
      <c r="B5" s="3164" t="s">
        <v>2969</v>
      </c>
      <c r="C5" s="3164" t="s">
        <v>2970</v>
      </c>
      <c r="D5" s="3164" t="s">
        <v>2971</v>
      </c>
      <c r="E5" s="3164">
        <v>7495.4</v>
      </c>
      <c r="F5" s="3164">
        <v>14990</v>
      </c>
      <c r="G5" s="3164">
        <v>2</v>
      </c>
      <c r="H5" s="3164" t="s">
        <v>2833</v>
      </c>
      <c r="I5" s="3151" t="s">
        <v>2833</v>
      </c>
      <c r="J5" s="3151" t="s">
        <v>2833</v>
      </c>
      <c r="K5" s="3164" t="s">
        <v>2972</v>
      </c>
      <c r="L5" s="3164" t="s">
        <v>2973</v>
      </c>
      <c r="M5" s="3164">
        <v>42500</v>
      </c>
      <c r="N5" s="3164">
        <v>3780.1</v>
      </c>
      <c r="O5" s="3164">
        <v>28352.22</v>
      </c>
      <c r="P5" s="3165">
        <f t="shared" si="0"/>
        <v>56701</v>
      </c>
    </row>
    <row r="6" spans="1:16" hidden="1">
      <c r="A6" s="3151" t="s">
        <v>3045</v>
      </c>
      <c r="B6" s="3151" t="s">
        <v>2969</v>
      </c>
      <c r="C6" s="3151" t="s">
        <v>3046</v>
      </c>
      <c r="D6" s="3151" t="s">
        <v>2971</v>
      </c>
      <c r="E6" s="3151">
        <v>54219.7</v>
      </c>
      <c r="F6" s="3151">
        <v>70485.61</v>
      </c>
      <c r="G6" s="3151" t="s">
        <v>3047</v>
      </c>
      <c r="H6" s="3151" t="s">
        <v>2833</v>
      </c>
      <c r="I6" s="3151" t="s">
        <v>2833</v>
      </c>
      <c r="J6" s="3151" t="s">
        <v>2833</v>
      </c>
      <c r="K6" s="3151" t="s">
        <v>3048</v>
      </c>
      <c r="L6" s="3151" t="s">
        <v>3049</v>
      </c>
      <c r="M6" s="3151">
        <v>20000</v>
      </c>
      <c r="N6" s="3151">
        <v>245.91</v>
      </c>
      <c r="O6" s="3151">
        <v>2837.46</v>
      </c>
      <c r="P6">
        <f t="shared" si="0"/>
        <v>3689</v>
      </c>
    </row>
    <row r="7" spans="1:16" hidden="1">
      <c r="A7" s="3151" t="s">
        <v>3050</v>
      </c>
      <c r="B7" s="3151" t="s">
        <v>2969</v>
      </c>
      <c r="C7" s="3151" t="s">
        <v>3046</v>
      </c>
      <c r="D7" s="3151" t="s">
        <v>2971</v>
      </c>
      <c r="E7" s="3151">
        <v>49527.1</v>
      </c>
      <c r="F7" s="3151">
        <v>59432.52</v>
      </c>
      <c r="G7" s="3151" t="s">
        <v>3051</v>
      </c>
      <c r="H7" s="3151" t="s">
        <v>2833</v>
      </c>
      <c r="I7" s="3151" t="s">
        <v>2833</v>
      </c>
      <c r="J7" s="3151" t="s">
        <v>2833</v>
      </c>
      <c r="K7" s="3151" t="s">
        <v>3048</v>
      </c>
      <c r="L7" s="3151" t="s">
        <v>3049</v>
      </c>
      <c r="M7" s="3151">
        <v>11500</v>
      </c>
      <c r="N7" s="3151">
        <v>154.80000000000001</v>
      </c>
      <c r="O7" s="3151">
        <v>1934.97</v>
      </c>
      <c r="P7">
        <f t="shared" si="0"/>
        <v>2322</v>
      </c>
    </row>
    <row r="8" spans="1:16">
      <c r="A8" s="3151" t="s">
        <v>3052</v>
      </c>
      <c r="B8" s="3151" t="s">
        <v>2969</v>
      </c>
      <c r="C8" s="3151" t="s">
        <v>2970</v>
      </c>
      <c r="D8" s="3151" t="s">
        <v>2971</v>
      </c>
      <c r="E8" s="3151">
        <v>64606.3</v>
      </c>
      <c r="F8" s="3151">
        <v>167447.79999999999</v>
      </c>
      <c r="G8" s="3151" t="s">
        <v>3053</v>
      </c>
      <c r="H8" s="3151" t="s">
        <v>2833</v>
      </c>
      <c r="I8" s="3151" t="s">
        <v>2833</v>
      </c>
      <c r="J8" s="3151" t="s">
        <v>2833</v>
      </c>
      <c r="K8" s="3151" t="s">
        <v>3054</v>
      </c>
      <c r="L8" s="3151" t="s">
        <v>3055</v>
      </c>
      <c r="M8" s="3151">
        <v>302000</v>
      </c>
      <c r="N8" s="3151">
        <v>3116.31</v>
      </c>
      <c r="O8" s="3151">
        <v>18035.47</v>
      </c>
      <c r="P8">
        <f t="shared" si="0"/>
        <v>46745</v>
      </c>
    </row>
    <row r="9" spans="1:16">
      <c r="A9" s="3151" t="s">
        <v>3056</v>
      </c>
      <c r="B9" s="3151" t="s">
        <v>2969</v>
      </c>
      <c r="C9" s="3151" t="s">
        <v>2970</v>
      </c>
      <c r="D9" s="3151" t="s">
        <v>2971</v>
      </c>
      <c r="E9" s="3151">
        <v>65169.8</v>
      </c>
      <c r="F9" s="3151">
        <v>161691.20000000001</v>
      </c>
      <c r="G9" s="3151" t="s">
        <v>3057</v>
      </c>
      <c r="H9" s="3151" t="s">
        <v>2833</v>
      </c>
      <c r="I9" s="3151" t="s">
        <v>2833</v>
      </c>
      <c r="J9" s="3151" t="s">
        <v>2833</v>
      </c>
      <c r="K9" s="3151" t="s">
        <v>3054</v>
      </c>
      <c r="L9" s="3151" t="s">
        <v>3055</v>
      </c>
      <c r="M9" s="3151">
        <v>308000</v>
      </c>
      <c r="N9" s="3151">
        <v>3150.74</v>
      </c>
      <c r="O9" s="3151">
        <v>19048.650000000001</v>
      </c>
      <c r="P9">
        <f t="shared" si="0"/>
        <v>47261</v>
      </c>
    </row>
    <row r="10" spans="1:16" hidden="1">
      <c r="A10" s="3151" t="s">
        <v>3058</v>
      </c>
      <c r="B10" s="3151" t="s">
        <v>2969</v>
      </c>
      <c r="C10" s="3151" t="s">
        <v>3046</v>
      </c>
      <c r="D10" s="3151" t="s">
        <v>2971</v>
      </c>
      <c r="E10" s="3151">
        <v>12407.8</v>
      </c>
      <c r="F10" s="3151">
        <v>20980</v>
      </c>
      <c r="G10" s="3151">
        <v>1.69</v>
      </c>
      <c r="H10" s="3151" t="s">
        <v>2833</v>
      </c>
      <c r="I10" s="3151" t="s">
        <v>2833</v>
      </c>
      <c r="J10" s="3151" t="s">
        <v>2833</v>
      </c>
      <c r="K10" s="3151" t="s">
        <v>3059</v>
      </c>
      <c r="L10" s="3151" t="s">
        <v>3060</v>
      </c>
      <c r="M10" s="3151">
        <v>8338</v>
      </c>
      <c r="N10" s="3151">
        <v>448</v>
      </c>
      <c r="O10" s="3151">
        <v>3974.26</v>
      </c>
      <c r="P10">
        <f t="shared" si="0"/>
        <v>6720</v>
      </c>
    </row>
    <row r="11" spans="1:16">
      <c r="A11" s="3151" t="s">
        <v>2974</v>
      </c>
      <c r="B11" s="3151" t="s">
        <v>2969</v>
      </c>
      <c r="C11" s="3151" t="s">
        <v>2970</v>
      </c>
      <c r="D11" s="3151" t="s">
        <v>2971</v>
      </c>
      <c r="E11" s="3151">
        <v>45511.3</v>
      </c>
      <c r="F11" s="3151">
        <v>149300</v>
      </c>
      <c r="G11" s="3151" t="s">
        <v>2975</v>
      </c>
      <c r="H11" s="3151" t="s">
        <v>2833</v>
      </c>
      <c r="I11" s="3151" t="s">
        <v>2833</v>
      </c>
      <c r="J11" s="3151" t="s">
        <v>2833</v>
      </c>
      <c r="K11" s="3151" t="s">
        <v>2976</v>
      </c>
      <c r="L11" s="3151" t="s">
        <v>2977</v>
      </c>
      <c r="M11" s="3151">
        <v>194300</v>
      </c>
      <c r="N11" s="3151">
        <v>2846.18</v>
      </c>
      <c r="O11" s="3151">
        <v>13014.06</v>
      </c>
      <c r="P11">
        <f t="shared" si="0"/>
        <v>42693</v>
      </c>
    </row>
    <row r="12" spans="1:16">
      <c r="A12" s="3151" t="s">
        <v>2978</v>
      </c>
      <c r="B12" s="3151" t="s">
        <v>2969</v>
      </c>
      <c r="C12" s="3151" t="s">
        <v>2970</v>
      </c>
      <c r="D12" s="3151" t="s">
        <v>2971</v>
      </c>
      <c r="E12" s="3151">
        <v>27164.799999999999</v>
      </c>
      <c r="F12" s="3151">
        <v>92900</v>
      </c>
      <c r="G12" s="3151" t="s">
        <v>2979</v>
      </c>
      <c r="H12" s="3151" t="s">
        <v>2833</v>
      </c>
      <c r="I12" s="3151" t="s">
        <v>2833</v>
      </c>
      <c r="J12" s="3151" t="s">
        <v>2833</v>
      </c>
      <c r="K12" s="3151" t="s">
        <v>2980</v>
      </c>
      <c r="L12" s="3151" t="s">
        <v>2981</v>
      </c>
      <c r="M12" s="3151">
        <v>132000</v>
      </c>
      <c r="N12" s="3151">
        <v>3239.49</v>
      </c>
      <c r="O12" s="3151">
        <v>14208.82</v>
      </c>
      <c r="P12">
        <f t="shared" si="0"/>
        <v>48592</v>
      </c>
    </row>
    <row r="13" spans="1:16" s="3149" customFormat="1">
      <c r="A13" s="3154" t="s">
        <v>3173</v>
      </c>
      <c r="B13" s="3148" t="s">
        <v>2969</v>
      </c>
      <c r="C13" s="3148" t="s">
        <v>2970</v>
      </c>
      <c r="D13" s="3148" t="s">
        <v>2971</v>
      </c>
      <c r="E13" s="3148">
        <v>125926.39999999999</v>
      </c>
      <c r="F13" s="3148">
        <v>281700</v>
      </c>
      <c r="G13" s="3148">
        <v>2.2400000000000002</v>
      </c>
      <c r="H13" s="3148" t="s">
        <v>2833</v>
      </c>
      <c r="I13" s="3151" t="s">
        <v>2833</v>
      </c>
      <c r="J13" s="3151" t="s">
        <v>2833</v>
      </c>
      <c r="K13" s="3148" t="s">
        <v>2982</v>
      </c>
      <c r="L13" s="3148" t="s">
        <v>2983</v>
      </c>
      <c r="M13" s="3148">
        <v>410000</v>
      </c>
      <c r="N13" s="3148">
        <v>2170.58</v>
      </c>
      <c r="O13" s="3148">
        <v>14554.48</v>
      </c>
      <c r="P13" s="3149">
        <f t="shared" si="0"/>
        <v>32559</v>
      </c>
    </row>
    <row r="14" spans="1:16">
      <c r="A14" s="3151" t="s">
        <v>3061</v>
      </c>
      <c r="B14" s="3151" t="s">
        <v>2969</v>
      </c>
      <c r="C14" s="3151" t="s">
        <v>2970</v>
      </c>
      <c r="D14" s="3151" t="s">
        <v>2971</v>
      </c>
      <c r="E14" s="3151">
        <v>261353.1</v>
      </c>
      <c r="F14" s="3151">
        <v>510196.1</v>
      </c>
      <c r="G14" s="3151" t="s">
        <v>3062</v>
      </c>
      <c r="H14" s="3151" t="s">
        <v>2833</v>
      </c>
      <c r="I14" s="3151" t="s">
        <v>2833</v>
      </c>
      <c r="J14" s="3151" t="s">
        <v>2833</v>
      </c>
      <c r="K14" s="3151" t="s">
        <v>3063</v>
      </c>
      <c r="L14" s="3151" t="s">
        <v>3064</v>
      </c>
      <c r="M14" s="3151">
        <v>461000</v>
      </c>
      <c r="N14" s="3151">
        <v>1175.93</v>
      </c>
      <c r="O14" s="3151">
        <v>9035.73</v>
      </c>
      <c r="P14">
        <f t="shared" si="0"/>
        <v>17639</v>
      </c>
    </row>
    <row r="15" spans="1:16">
      <c r="A15" s="3151" t="s">
        <v>3065</v>
      </c>
      <c r="B15" s="3151" t="s">
        <v>2969</v>
      </c>
      <c r="C15" s="3151" t="s">
        <v>2995</v>
      </c>
      <c r="D15" s="3151" t="s">
        <v>2971</v>
      </c>
      <c r="E15" s="3151">
        <v>72358.899999999994</v>
      </c>
      <c r="F15" s="3151">
        <v>144717.79999999999</v>
      </c>
      <c r="G15" s="3151" t="s">
        <v>3066</v>
      </c>
      <c r="H15" s="3151" t="s">
        <v>2833</v>
      </c>
      <c r="I15" s="3151" t="s">
        <v>2833</v>
      </c>
      <c r="J15" s="3151" t="s">
        <v>2833</v>
      </c>
      <c r="K15" s="3151" t="s">
        <v>3067</v>
      </c>
      <c r="L15" s="3151" t="s">
        <v>3068</v>
      </c>
      <c r="M15" s="3151">
        <v>76000</v>
      </c>
      <c r="N15" s="3151">
        <v>700.21</v>
      </c>
      <c r="O15" s="3151">
        <v>5251.6</v>
      </c>
      <c r="P15">
        <f t="shared" si="0"/>
        <v>10503</v>
      </c>
    </row>
    <row r="16" spans="1:16">
      <c r="A16" s="3151" t="s">
        <v>3069</v>
      </c>
      <c r="B16" s="3151" t="s">
        <v>2969</v>
      </c>
      <c r="C16" s="3151" t="s">
        <v>2970</v>
      </c>
      <c r="D16" s="3151" t="s">
        <v>2971</v>
      </c>
      <c r="E16" s="3151">
        <v>20928.900000000001</v>
      </c>
      <c r="F16" s="3151">
        <v>37400</v>
      </c>
      <c r="G16" s="3151" t="s">
        <v>3070</v>
      </c>
      <c r="H16" s="3151" t="s">
        <v>2833</v>
      </c>
      <c r="I16" s="3151" t="s">
        <v>2833</v>
      </c>
      <c r="J16" s="3151" t="s">
        <v>2833</v>
      </c>
      <c r="K16" s="3151" t="s">
        <v>3071</v>
      </c>
      <c r="L16" s="3151" t="s">
        <v>3072</v>
      </c>
      <c r="M16" s="3151">
        <v>53500</v>
      </c>
      <c r="N16" s="3151">
        <v>1704.18</v>
      </c>
      <c r="O16" s="3151">
        <v>14304.8</v>
      </c>
      <c r="P16">
        <f t="shared" si="0"/>
        <v>25563</v>
      </c>
    </row>
    <row r="17" spans="1:16" hidden="1">
      <c r="A17" s="3151" t="s">
        <v>3073</v>
      </c>
      <c r="B17" s="3151" t="s">
        <v>2969</v>
      </c>
      <c r="C17" s="3151" t="s">
        <v>3046</v>
      </c>
      <c r="D17" s="3151" t="s">
        <v>2971</v>
      </c>
      <c r="E17" s="3151">
        <v>84032.8</v>
      </c>
      <c r="F17" s="3151">
        <v>90000</v>
      </c>
      <c r="G17" s="3151" t="s">
        <v>3074</v>
      </c>
      <c r="H17" s="3151" t="s">
        <v>2833</v>
      </c>
      <c r="I17" s="3151" t="s">
        <v>2833</v>
      </c>
      <c r="J17" s="3151" t="s">
        <v>2833</v>
      </c>
      <c r="K17" s="3151" t="s">
        <v>3075</v>
      </c>
      <c r="L17" s="3151" t="s">
        <v>3076</v>
      </c>
      <c r="M17" s="3151">
        <v>8500</v>
      </c>
      <c r="N17" s="3151">
        <v>67.430000000000007</v>
      </c>
      <c r="O17" s="3151">
        <v>944.44</v>
      </c>
      <c r="P17">
        <f t="shared" si="0"/>
        <v>1012</v>
      </c>
    </row>
    <row r="18" spans="1:16" s="3152" customFormat="1">
      <c r="A18" s="3150" t="s">
        <v>2984</v>
      </c>
      <c r="B18" s="3150" t="s">
        <v>2969</v>
      </c>
      <c r="C18" s="3150" t="s">
        <v>2970</v>
      </c>
      <c r="D18" s="3150" t="s">
        <v>2971</v>
      </c>
      <c r="E18" s="3150">
        <v>157935.1</v>
      </c>
      <c r="F18" s="3150">
        <v>456770</v>
      </c>
      <c r="G18" s="3150">
        <v>2.89</v>
      </c>
      <c r="H18" s="3150" t="s">
        <v>2833</v>
      </c>
      <c r="I18" s="3151" t="s">
        <v>2833</v>
      </c>
      <c r="J18" s="3151" t="s">
        <v>2833</v>
      </c>
      <c r="K18" s="3150" t="s">
        <v>2985</v>
      </c>
      <c r="L18" s="3150" t="s">
        <v>2986</v>
      </c>
      <c r="M18" s="3150">
        <v>410000</v>
      </c>
      <c r="N18" s="3150">
        <v>1730.67</v>
      </c>
      <c r="O18" s="3150">
        <v>8976.06</v>
      </c>
      <c r="P18" s="3152">
        <f t="shared" si="0"/>
        <v>25960</v>
      </c>
    </row>
    <row r="19" spans="1:16" hidden="1">
      <c r="A19" s="3151" t="s">
        <v>3077</v>
      </c>
      <c r="B19" s="3151" t="s">
        <v>2969</v>
      </c>
      <c r="C19" s="3151" t="s">
        <v>3046</v>
      </c>
      <c r="D19" s="3151" t="s">
        <v>2971</v>
      </c>
      <c r="E19" s="3151">
        <v>1738.8</v>
      </c>
      <c r="F19" s="3151">
        <v>2920</v>
      </c>
      <c r="G19" s="3151" t="s">
        <v>3078</v>
      </c>
      <c r="H19" s="3151" t="s">
        <v>2833</v>
      </c>
      <c r="I19" s="3151" t="s">
        <v>2833</v>
      </c>
      <c r="J19" s="3151" t="s">
        <v>2833</v>
      </c>
      <c r="K19" s="3151" t="s">
        <v>3079</v>
      </c>
      <c r="L19" s="3151" t="s">
        <v>3080</v>
      </c>
      <c r="M19" s="3151">
        <v>543</v>
      </c>
      <c r="N19" s="3151">
        <v>208.19</v>
      </c>
      <c r="O19" s="3151">
        <v>1859.58</v>
      </c>
      <c r="P19">
        <f t="shared" si="0"/>
        <v>3123</v>
      </c>
    </row>
    <row r="20" spans="1:16" s="3149" customFormat="1">
      <c r="A20" s="3148" t="s">
        <v>3166</v>
      </c>
      <c r="B20" s="3148" t="s">
        <v>2969</v>
      </c>
      <c r="C20" s="3148" t="s">
        <v>2970</v>
      </c>
      <c r="D20" s="3148" t="s">
        <v>2971</v>
      </c>
      <c r="E20" s="3148">
        <v>84673.1</v>
      </c>
      <c r="F20" s="3148">
        <v>143800</v>
      </c>
      <c r="G20" s="3148">
        <v>1.7</v>
      </c>
      <c r="H20" s="3148" t="s">
        <v>2833</v>
      </c>
      <c r="I20" s="3151" t="s">
        <v>2833</v>
      </c>
      <c r="J20" s="3151" t="s">
        <v>2833</v>
      </c>
      <c r="K20" s="3148" t="s">
        <v>3081</v>
      </c>
      <c r="L20" s="3148" t="s">
        <v>3082</v>
      </c>
      <c r="M20" s="3148">
        <v>222000</v>
      </c>
      <c r="N20" s="3148">
        <v>1747.9</v>
      </c>
      <c r="O20" s="3148">
        <v>15438.11</v>
      </c>
      <c r="P20" s="3149">
        <f t="shared" si="0"/>
        <v>26218</v>
      </c>
    </row>
    <row r="21" spans="1:16">
      <c r="A21" s="3151" t="s">
        <v>3083</v>
      </c>
      <c r="B21" s="3151" t="s">
        <v>2969</v>
      </c>
      <c r="C21" s="3151" t="s">
        <v>2970</v>
      </c>
      <c r="D21" s="3151" t="s">
        <v>2971</v>
      </c>
      <c r="E21" s="3151">
        <v>63020.4</v>
      </c>
      <c r="F21" s="3151">
        <v>105500</v>
      </c>
      <c r="G21" s="3151" t="s">
        <v>3084</v>
      </c>
      <c r="H21" s="3151" t="s">
        <v>2833</v>
      </c>
      <c r="I21" s="3151" t="s">
        <v>2833</v>
      </c>
      <c r="J21" s="3151" t="s">
        <v>2833</v>
      </c>
      <c r="K21" s="3151" t="s">
        <v>3085</v>
      </c>
      <c r="L21" s="3151" t="s">
        <v>3086</v>
      </c>
      <c r="M21" s="3151">
        <v>125000</v>
      </c>
      <c r="N21" s="3151">
        <v>1322.32</v>
      </c>
      <c r="O21" s="3151">
        <v>11848.34</v>
      </c>
      <c r="P21">
        <f t="shared" si="0"/>
        <v>19835</v>
      </c>
    </row>
    <row r="22" spans="1:16">
      <c r="A22" s="3147" t="s">
        <v>3165</v>
      </c>
      <c r="B22" s="3151" t="s">
        <v>2969</v>
      </c>
      <c r="C22" s="3151" t="s">
        <v>2970</v>
      </c>
      <c r="D22" s="3151" t="s">
        <v>2971</v>
      </c>
      <c r="E22" s="3151">
        <v>13031.7</v>
      </c>
      <c r="F22" s="3151">
        <v>32500</v>
      </c>
      <c r="G22" s="3151">
        <v>2.5</v>
      </c>
      <c r="H22" s="3151" t="s">
        <v>2833</v>
      </c>
      <c r="I22" s="3151" t="s">
        <v>2833</v>
      </c>
      <c r="J22" s="3151" t="s">
        <v>2833</v>
      </c>
      <c r="K22" s="3151" t="s">
        <v>3087</v>
      </c>
      <c r="L22" s="3151" t="s">
        <v>3088</v>
      </c>
      <c r="M22" s="3151">
        <v>45500</v>
      </c>
      <c r="N22" s="3151">
        <v>2327.66</v>
      </c>
      <c r="O22" s="3151">
        <v>14000</v>
      </c>
      <c r="P22">
        <f t="shared" si="0"/>
        <v>34915</v>
      </c>
    </row>
    <row r="23" spans="1:16" s="3149" customFormat="1">
      <c r="A23" s="3154" t="s">
        <v>3203</v>
      </c>
      <c r="B23" s="3148" t="s">
        <v>2969</v>
      </c>
      <c r="C23" s="3148" t="s">
        <v>2970</v>
      </c>
      <c r="D23" s="3148" t="s">
        <v>2971</v>
      </c>
      <c r="E23" s="3148">
        <v>44736.3</v>
      </c>
      <c r="F23" s="3148">
        <v>134200</v>
      </c>
      <c r="G23" s="3148" t="s">
        <v>2987</v>
      </c>
      <c r="H23" s="3148" t="s">
        <v>2833</v>
      </c>
      <c r="I23" s="3151" t="s">
        <v>2833</v>
      </c>
      <c r="J23" s="3151" t="s">
        <v>2833</v>
      </c>
      <c r="K23" s="3148" t="s">
        <v>2988</v>
      </c>
      <c r="L23" s="3148" t="s">
        <v>2989</v>
      </c>
      <c r="M23" s="3148">
        <v>127490</v>
      </c>
      <c r="N23" s="3148">
        <v>1899.87</v>
      </c>
      <c r="O23" s="3148">
        <v>9500</v>
      </c>
      <c r="P23" s="3149">
        <f t="shared" si="0"/>
        <v>28498</v>
      </c>
    </row>
    <row r="24" spans="1:16">
      <c r="A24" s="3151" t="s">
        <v>3089</v>
      </c>
      <c r="B24" s="3151" t="s">
        <v>2969</v>
      </c>
      <c r="C24" s="3151" t="s">
        <v>2970</v>
      </c>
      <c r="D24" s="3151" t="s">
        <v>2971</v>
      </c>
      <c r="E24" s="3151">
        <v>86645.9</v>
      </c>
      <c r="F24" s="3151">
        <v>129968.9</v>
      </c>
      <c r="G24" s="3151" t="s">
        <v>3090</v>
      </c>
      <c r="H24" s="3151" t="s">
        <v>2833</v>
      </c>
      <c r="I24" s="3151" t="s">
        <v>2833</v>
      </c>
      <c r="J24" s="3151" t="s">
        <v>2833</v>
      </c>
      <c r="K24" s="3151" t="s">
        <v>3091</v>
      </c>
      <c r="L24" s="3151" t="s">
        <v>3092</v>
      </c>
      <c r="M24" s="3151">
        <v>13550</v>
      </c>
      <c r="N24" s="3151">
        <v>104.26</v>
      </c>
      <c r="O24" s="3151">
        <v>1042.55</v>
      </c>
      <c r="P24">
        <f t="shared" si="0"/>
        <v>1564</v>
      </c>
    </row>
    <row r="25" spans="1:16">
      <c r="A25" s="3151" t="s">
        <v>3093</v>
      </c>
      <c r="B25" s="3151" t="s">
        <v>2969</v>
      </c>
      <c r="C25" s="3151" t="s">
        <v>2970</v>
      </c>
      <c r="D25" s="3151" t="s">
        <v>2971</v>
      </c>
      <c r="E25" s="3151">
        <v>139575.1</v>
      </c>
      <c r="F25" s="3151">
        <v>307073.8</v>
      </c>
      <c r="G25" s="3151" t="s">
        <v>3094</v>
      </c>
      <c r="H25" s="3151" t="s">
        <v>2833</v>
      </c>
      <c r="I25" s="3151" t="s">
        <v>2833</v>
      </c>
      <c r="J25" s="3151" t="s">
        <v>2833</v>
      </c>
      <c r="K25" s="3151" t="s">
        <v>3095</v>
      </c>
      <c r="L25" s="3151" t="s">
        <v>3096</v>
      </c>
      <c r="M25" s="3151">
        <v>282000</v>
      </c>
      <c r="N25" s="3151">
        <v>1346.95</v>
      </c>
      <c r="O25" s="3151">
        <v>9183.4500000000007</v>
      </c>
      <c r="P25">
        <f t="shared" si="0"/>
        <v>20204</v>
      </c>
    </row>
    <row r="26" spans="1:16">
      <c r="A26" s="3151" t="s">
        <v>3097</v>
      </c>
      <c r="B26" s="3151" t="s">
        <v>2969</v>
      </c>
      <c r="C26" s="3151" t="s">
        <v>2970</v>
      </c>
      <c r="D26" s="3151" t="s">
        <v>2971</v>
      </c>
      <c r="E26" s="3151">
        <v>181842.6</v>
      </c>
      <c r="F26" s="3151">
        <v>400053.72</v>
      </c>
      <c r="G26" s="3151" t="s">
        <v>3094</v>
      </c>
      <c r="H26" s="3151" t="s">
        <v>2833</v>
      </c>
      <c r="I26" s="3151" t="s">
        <v>2833</v>
      </c>
      <c r="J26" s="3151" t="s">
        <v>2833</v>
      </c>
      <c r="K26" s="3151" t="s">
        <v>3098</v>
      </c>
      <c r="L26" s="3151" t="s">
        <v>3096</v>
      </c>
      <c r="M26" s="3151">
        <v>373000</v>
      </c>
      <c r="N26" s="3151">
        <v>1367.48</v>
      </c>
      <c r="O26" s="3151">
        <v>9323.75</v>
      </c>
      <c r="P26">
        <f t="shared" si="0"/>
        <v>20512</v>
      </c>
    </row>
    <row r="27" spans="1:16" hidden="1">
      <c r="A27" s="3151" t="s">
        <v>3099</v>
      </c>
      <c r="B27" s="3151" t="s">
        <v>2969</v>
      </c>
      <c r="C27" s="3151" t="s">
        <v>3046</v>
      </c>
      <c r="D27" s="3151" t="s">
        <v>2971</v>
      </c>
      <c r="E27" s="3151">
        <v>49028.1</v>
      </c>
      <c r="F27" s="3151">
        <v>98000</v>
      </c>
      <c r="G27" s="3151">
        <v>2</v>
      </c>
      <c r="H27" s="3151" t="s">
        <v>2833</v>
      </c>
      <c r="I27" s="3151" t="s">
        <v>2833</v>
      </c>
      <c r="J27" s="3151" t="s">
        <v>2833</v>
      </c>
      <c r="K27" s="3151" t="s">
        <v>3100</v>
      </c>
      <c r="L27" s="3151" t="s">
        <v>3101</v>
      </c>
      <c r="M27" s="3151">
        <v>21910</v>
      </c>
      <c r="N27" s="3151">
        <v>297.92</v>
      </c>
      <c r="O27" s="3151">
        <v>2235.71</v>
      </c>
      <c r="P27">
        <f t="shared" si="0"/>
        <v>4469</v>
      </c>
    </row>
    <row r="28" spans="1:16">
      <c r="A28" s="3151" t="s">
        <v>3102</v>
      </c>
      <c r="B28" s="3151" t="s">
        <v>2969</v>
      </c>
      <c r="C28" s="3151" t="s">
        <v>2970</v>
      </c>
      <c r="D28" s="3151" t="s">
        <v>3103</v>
      </c>
      <c r="E28" s="3151">
        <v>76857.8</v>
      </c>
      <c r="F28" s="3151">
        <v>164900</v>
      </c>
      <c r="G28" s="3151" t="s">
        <v>3104</v>
      </c>
      <c r="H28" s="3151" t="s">
        <v>2833</v>
      </c>
      <c r="I28" s="3151" t="s">
        <v>2833</v>
      </c>
      <c r="J28" s="3151" t="s">
        <v>2833</v>
      </c>
      <c r="K28" s="3151" t="s">
        <v>3105</v>
      </c>
      <c r="L28" s="3151" t="s">
        <v>3106</v>
      </c>
      <c r="M28" s="3151">
        <v>75800</v>
      </c>
      <c r="N28" s="3151">
        <v>657.49</v>
      </c>
      <c r="O28" s="3151">
        <v>4596.72</v>
      </c>
      <c r="P28">
        <f t="shared" si="0"/>
        <v>9862</v>
      </c>
    </row>
    <row r="29" spans="1:16">
      <c r="A29" s="3151" t="s">
        <v>3107</v>
      </c>
      <c r="B29" s="3151" t="s">
        <v>2969</v>
      </c>
      <c r="C29" s="3151" t="s">
        <v>2970</v>
      </c>
      <c r="D29" s="3151" t="s">
        <v>2971</v>
      </c>
      <c r="E29" s="3151">
        <v>78554.100000000006</v>
      </c>
      <c r="F29" s="3151">
        <v>366000</v>
      </c>
      <c r="G29" s="3151" t="s">
        <v>3108</v>
      </c>
      <c r="H29" s="3151" t="s">
        <v>3109</v>
      </c>
      <c r="I29" s="3151" t="s">
        <v>2833</v>
      </c>
      <c r="J29" s="3151" t="s">
        <v>2833</v>
      </c>
      <c r="K29" s="3151" t="s">
        <v>3110</v>
      </c>
      <c r="L29" s="3151" t="s">
        <v>3111</v>
      </c>
      <c r="M29" s="3151">
        <v>457500</v>
      </c>
      <c r="N29" s="3151">
        <v>3882.67</v>
      </c>
      <c r="O29" s="3151">
        <v>12500</v>
      </c>
      <c r="P29">
        <f t="shared" si="0"/>
        <v>58240</v>
      </c>
    </row>
    <row r="30" spans="1:16">
      <c r="A30" s="3151" t="s">
        <v>3069</v>
      </c>
      <c r="B30" s="3151" t="s">
        <v>2969</v>
      </c>
      <c r="C30" s="3151" t="s">
        <v>2970</v>
      </c>
      <c r="D30" s="3151" t="s">
        <v>2971</v>
      </c>
      <c r="E30" s="3151">
        <v>82722.7</v>
      </c>
      <c r="F30" s="3151">
        <v>302200</v>
      </c>
      <c r="G30" s="3151" t="s">
        <v>3112</v>
      </c>
      <c r="H30" s="3151" t="s">
        <v>2833</v>
      </c>
      <c r="I30" s="3151" t="s">
        <v>2833</v>
      </c>
      <c r="J30" s="3151" t="s">
        <v>2833</v>
      </c>
      <c r="K30" s="3151" t="s">
        <v>3113</v>
      </c>
      <c r="L30" s="3151" t="s">
        <v>3114</v>
      </c>
      <c r="M30" s="3151">
        <v>393000</v>
      </c>
      <c r="N30" s="3151">
        <v>3167.21</v>
      </c>
      <c r="O30" s="3151">
        <v>13004.62</v>
      </c>
      <c r="P30">
        <f t="shared" si="0"/>
        <v>47508</v>
      </c>
    </row>
    <row r="31" spans="1:16">
      <c r="A31" s="3151" t="s">
        <v>3115</v>
      </c>
      <c r="B31" s="3151" t="s">
        <v>2969</v>
      </c>
      <c r="C31" s="3151" t="s">
        <v>2970</v>
      </c>
      <c r="D31" s="3151" t="s">
        <v>2971</v>
      </c>
      <c r="E31" s="3151">
        <v>69084.100000000006</v>
      </c>
      <c r="F31" s="3151">
        <v>317800</v>
      </c>
      <c r="G31" s="3151" t="s">
        <v>3116</v>
      </c>
      <c r="H31" s="3151" t="s">
        <v>3117</v>
      </c>
      <c r="I31" s="3151" t="s">
        <v>2833</v>
      </c>
      <c r="J31" s="3151" t="s">
        <v>2833</v>
      </c>
      <c r="K31" s="3151" t="s">
        <v>3118</v>
      </c>
      <c r="L31" s="3151" t="s">
        <v>3119</v>
      </c>
      <c r="M31" s="3151">
        <v>397300</v>
      </c>
      <c r="N31" s="3151">
        <v>3833.97</v>
      </c>
      <c r="O31" s="3151">
        <v>12501.56</v>
      </c>
      <c r="P31">
        <f t="shared" si="0"/>
        <v>57510</v>
      </c>
    </row>
    <row r="32" spans="1:16">
      <c r="A32" s="3151" t="s">
        <v>3069</v>
      </c>
      <c r="B32" s="3151" t="s">
        <v>2969</v>
      </c>
      <c r="C32" s="3151" t="s">
        <v>2970</v>
      </c>
      <c r="D32" s="3151" t="s">
        <v>2971</v>
      </c>
      <c r="E32" s="3151">
        <v>59603.6</v>
      </c>
      <c r="F32" s="3151">
        <v>212300</v>
      </c>
      <c r="G32" s="3151" t="s">
        <v>3120</v>
      </c>
      <c r="H32" s="3151" t="s">
        <v>2833</v>
      </c>
      <c r="I32" s="3151" t="s">
        <v>2833</v>
      </c>
      <c r="J32" s="3151" t="s">
        <v>2833</v>
      </c>
      <c r="K32" s="3151" t="s">
        <v>3121</v>
      </c>
      <c r="L32" s="3151" t="s">
        <v>3122</v>
      </c>
      <c r="M32" s="3151">
        <v>307900</v>
      </c>
      <c r="N32" s="3151">
        <v>3443.86</v>
      </c>
      <c r="O32" s="3151">
        <v>14503.05</v>
      </c>
      <c r="P32">
        <f t="shared" si="0"/>
        <v>51658</v>
      </c>
    </row>
    <row r="33" spans="1:16">
      <c r="A33" s="3151" t="s">
        <v>3069</v>
      </c>
      <c r="B33" s="3151" t="s">
        <v>2969</v>
      </c>
      <c r="C33" s="3151" t="s">
        <v>2970</v>
      </c>
      <c r="D33" s="3151" t="s">
        <v>2971</v>
      </c>
      <c r="E33" s="3151">
        <v>78345.600000000006</v>
      </c>
      <c r="F33" s="3151">
        <v>347500</v>
      </c>
      <c r="G33" s="3151" t="s">
        <v>3123</v>
      </c>
      <c r="H33" s="3151" t="s">
        <v>2833</v>
      </c>
      <c r="I33" s="3151" t="s">
        <v>2833</v>
      </c>
      <c r="J33" s="3151" t="s">
        <v>2833</v>
      </c>
      <c r="K33" s="3151" t="s">
        <v>3124</v>
      </c>
      <c r="L33" s="3151" t="s">
        <v>3125</v>
      </c>
      <c r="M33" s="3151">
        <v>504000</v>
      </c>
      <c r="N33" s="3151">
        <v>4288.6899999999996</v>
      </c>
      <c r="O33" s="3151">
        <v>14503.6</v>
      </c>
      <c r="P33">
        <f t="shared" si="0"/>
        <v>64330</v>
      </c>
    </row>
    <row r="34" spans="1:16">
      <c r="A34" s="3151" t="s">
        <v>3126</v>
      </c>
      <c r="B34" s="3151" t="s">
        <v>2969</v>
      </c>
      <c r="C34" s="3151" t="s">
        <v>2970</v>
      </c>
      <c r="D34" s="3151" t="s">
        <v>2971</v>
      </c>
      <c r="E34" s="3151">
        <v>86836.1</v>
      </c>
      <c r="F34" s="3151">
        <v>353500</v>
      </c>
      <c r="G34" s="3151" t="s">
        <v>3127</v>
      </c>
      <c r="H34" s="3151" t="s">
        <v>3128</v>
      </c>
      <c r="I34" s="3151" t="s">
        <v>2833</v>
      </c>
      <c r="J34" s="3151" t="s">
        <v>2833</v>
      </c>
      <c r="K34" s="3151" t="s">
        <v>3129</v>
      </c>
      <c r="L34" s="3151" t="s">
        <v>3130</v>
      </c>
      <c r="M34" s="3151">
        <v>494900</v>
      </c>
      <c r="N34" s="3151">
        <v>3799.5</v>
      </c>
      <c r="O34" s="3151">
        <v>14000</v>
      </c>
      <c r="P34">
        <f t="shared" si="0"/>
        <v>56992</v>
      </c>
    </row>
    <row r="35" spans="1:16" hidden="1">
      <c r="A35" s="3151" t="s">
        <v>3073</v>
      </c>
      <c r="B35" s="3151" t="s">
        <v>2969</v>
      </c>
      <c r="C35" s="3151" t="s">
        <v>3046</v>
      </c>
      <c r="D35" s="3151" t="s">
        <v>2971</v>
      </c>
      <c r="E35" s="3151">
        <v>30272.400000000001</v>
      </c>
      <c r="F35" s="3151">
        <v>99898.92</v>
      </c>
      <c r="G35" s="3151" t="s">
        <v>3131</v>
      </c>
      <c r="H35" s="3151" t="s">
        <v>2833</v>
      </c>
      <c r="I35" s="3151" t="s">
        <v>2833</v>
      </c>
      <c r="J35" s="3151" t="s">
        <v>2833</v>
      </c>
      <c r="K35" s="3151" t="s">
        <v>3132</v>
      </c>
      <c r="L35" s="3151" t="s">
        <v>3133</v>
      </c>
      <c r="M35" s="3151">
        <v>90000</v>
      </c>
      <c r="N35" s="3151">
        <v>1982</v>
      </c>
      <c r="O35" s="3151">
        <v>9009.11</v>
      </c>
      <c r="P35">
        <f t="shared" si="0"/>
        <v>29730</v>
      </c>
    </row>
    <row r="36" spans="1:16">
      <c r="A36" s="3151" t="s">
        <v>3073</v>
      </c>
      <c r="B36" s="3151" t="s">
        <v>2969</v>
      </c>
      <c r="C36" s="3151" t="s">
        <v>2970</v>
      </c>
      <c r="D36" s="3151" t="s">
        <v>2971</v>
      </c>
      <c r="E36" s="3151">
        <v>72321.399999999994</v>
      </c>
      <c r="F36" s="3151">
        <v>161100</v>
      </c>
      <c r="G36" s="3151" t="s">
        <v>3134</v>
      </c>
      <c r="H36" s="3151" t="s">
        <v>2833</v>
      </c>
      <c r="I36" s="3151" t="s">
        <v>2833</v>
      </c>
      <c r="J36" s="3151" t="s">
        <v>2833</v>
      </c>
      <c r="K36" s="3151" t="s">
        <v>3132</v>
      </c>
      <c r="L36" s="3151" t="s">
        <v>3133</v>
      </c>
      <c r="M36" s="3151">
        <v>144990</v>
      </c>
      <c r="N36" s="3151">
        <v>1336.53</v>
      </c>
      <c r="O36" s="3151">
        <v>9000</v>
      </c>
      <c r="P36">
        <f t="shared" si="0"/>
        <v>20048</v>
      </c>
    </row>
    <row r="37" spans="1:16" hidden="1">
      <c r="A37" s="3151" t="s">
        <v>3073</v>
      </c>
      <c r="B37" s="3151" t="s">
        <v>2969</v>
      </c>
      <c r="C37" s="3151" t="s">
        <v>3046</v>
      </c>
      <c r="D37" s="3151" t="s">
        <v>2971</v>
      </c>
      <c r="E37" s="3151">
        <v>32699.3</v>
      </c>
      <c r="F37" s="3151">
        <v>58858.74</v>
      </c>
      <c r="G37" s="3151" t="s">
        <v>3135</v>
      </c>
      <c r="H37" s="3151" t="s">
        <v>2833</v>
      </c>
      <c r="I37" s="3151" t="s">
        <v>2833</v>
      </c>
      <c r="J37" s="3151" t="s">
        <v>2833</v>
      </c>
      <c r="K37" s="3151" t="s">
        <v>3132</v>
      </c>
      <c r="L37" s="3151" t="s">
        <v>3133</v>
      </c>
      <c r="M37" s="3151">
        <v>52980</v>
      </c>
      <c r="N37" s="3151">
        <v>1080.1500000000001</v>
      </c>
      <c r="O37" s="3151">
        <v>9001.2000000000007</v>
      </c>
      <c r="P37">
        <f t="shared" si="0"/>
        <v>16202</v>
      </c>
    </row>
    <row r="38" spans="1:16" hidden="1">
      <c r="A38" s="3151" t="s">
        <v>3136</v>
      </c>
      <c r="B38" s="3151" t="s">
        <v>2969</v>
      </c>
      <c r="C38" s="3151" t="s">
        <v>3046</v>
      </c>
      <c r="D38" s="3151" t="s">
        <v>2971</v>
      </c>
      <c r="E38" s="3151">
        <v>115981</v>
      </c>
      <c r="F38" s="3151">
        <v>208765.8</v>
      </c>
      <c r="G38" s="3151" t="s">
        <v>3135</v>
      </c>
      <c r="H38" s="3151" t="s">
        <v>2833</v>
      </c>
      <c r="I38" s="3151" t="s">
        <v>2833</v>
      </c>
      <c r="J38" s="3151" t="s">
        <v>2833</v>
      </c>
      <c r="K38" s="3151" t="s">
        <v>3137</v>
      </c>
      <c r="L38" s="3151" t="s">
        <v>3138</v>
      </c>
      <c r="M38" s="3151">
        <v>25180</v>
      </c>
      <c r="N38" s="3151">
        <v>144.74</v>
      </c>
      <c r="O38" s="3151">
        <v>1206.1400000000001</v>
      </c>
      <c r="P38">
        <f t="shared" si="0"/>
        <v>2171</v>
      </c>
    </row>
    <row r="39" spans="1:16">
      <c r="A39" s="3151" t="s">
        <v>3136</v>
      </c>
      <c r="B39" s="3151" t="s">
        <v>2969</v>
      </c>
      <c r="C39" s="3151" t="s">
        <v>2970</v>
      </c>
      <c r="D39" s="3151" t="s">
        <v>2971</v>
      </c>
      <c r="E39" s="3151">
        <v>177425.7</v>
      </c>
      <c r="F39" s="3151">
        <v>177470.4</v>
      </c>
      <c r="G39" s="3151" t="s">
        <v>3139</v>
      </c>
      <c r="H39" s="3151" t="s">
        <v>2833</v>
      </c>
      <c r="I39" s="3151" t="s">
        <v>2833</v>
      </c>
      <c r="J39" s="3151" t="s">
        <v>2833</v>
      </c>
      <c r="K39" s="3151" t="s">
        <v>3137</v>
      </c>
      <c r="L39" s="3151" t="s">
        <v>3140</v>
      </c>
      <c r="M39" s="3151">
        <v>48700</v>
      </c>
      <c r="N39" s="3151">
        <v>182.99</v>
      </c>
      <c r="O39" s="3151">
        <v>2744.11</v>
      </c>
      <c r="P39">
        <f t="shared" si="0"/>
        <v>2745</v>
      </c>
    </row>
    <row r="40" spans="1:16">
      <c r="A40" s="3151" t="s">
        <v>3136</v>
      </c>
      <c r="B40" s="3151" t="s">
        <v>2969</v>
      </c>
      <c r="C40" s="3151" t="s">
        <v>2995</v>
      </c>
      <c r="D40" s="3151" t="s">
        <v>2971</v>
      </c>
      <c r="E40" s="3151">
        <v>58208.800000000003</v>
      </c>
      <c r="F40" s="3151">
        <v>58267.01</v>
      </c>
      <c r="G40" s="3151" t="s">
        <v>3141</v>
      </c>
      <c r="H40" s="3151" t="s">
        <v>2833</v>
      </c>
      <c r="I40" s="3151" t="s">
        <v>2833</v>
      </c>
      <c r="J40" s="3151" t="s">
        <v>2833</v>
      </c>
      <c r="K40" s="3151" t="s">
        <v>3137</v>
      </c>
      <c r="L40" s="3151" t="s">
        <v>3140</v>
      </c>
      <c r="M40" s="3151">
        <v>15950</v>
      </c>
      <c r="N40" s="3151">
        <v>182.68</v>
      </c>
      <c r="O40" s="3151">
        <v>2737.4</v>
      </c>
      <c r="P40">
        <f t="shared" si="0"/>
        <v>2740</v>
      </c>
    </row>
    <row r="41" spans="1:16" hidden="1">
      <c r="A41" s="3151" t="s">
        <v>3142</v>
      </c>
      <c r="B41" s="3151" t="s">
        <v>2969</v>
      </c>
      <c r="C41" s="3151" t="s">
        <v>3046</v>
      </c>
      <c r="D41" s="3151" t="s">
        <v>2971</v>
      </c>
      <c r="E41" s="3151">
        <v>13216.8</v>
      </c>
      <c r="F41" s="3151">
        <v>22468.560000000001</v>
      </c>
      <c r="G41" s="3151" t="s">
        <v>3143</v>
      </c>
      <c r="H41" s="3151" t="s">
        <v>2833</v>
      </c>
      <c r="I41" s="3151" t="s">
        <v>2833</v>
      </c>
      <c r="J41" s="3151" t="s">
        <v>2833</v>
      </c>
      <c r="K41" s="3151" t="s">
        <v>3144</v>
      </c>
      <c r="L41" s="3151" t="s">
        <v>3145</v>
      </c>
      <c r="M41" s="3151">
        <v>10832</v>
      </c>
      <c r="N41" s="3151">
        <v>546.38</v>
      </c>
      <c r="O41" s="3151">
        <v>4820.96</v>
      </c>
      <c r="P41">
        <f t="shared" si="0"/>
        <v>8196</v>
      </c>
    </row>
    <row r="42" spans="1:16">
      <c r="A42" s="3151" t="s">
        <v>2990</v>
      </c>
      <c r="B42" s="3151" t="s">
        <v>2969</v>
      </c>
      <c r="C42" s="3151" t="s">
        <v>2970</v>
      </c>
      <c r="D42" s="3151" t="s">
        <v>2971</v>
      </c>
      <c r="E42" s="3151">
        <v>113569.4</v>
      </c>
      <c r="F42" s="3151">
        <v>220376</v>
      </c>
      <c r="G42" s="3151" t="s">
        <v>2991</v>
      </c>
      <c r="H42" s="3151" t="s">
        <v>2833</v>
      </c>
      <c r="I42" s="3151" t="s">
        <v>2833</v>
      </c>
      <c r="J42" s="3151" t="s">
        <v>2833</v>
      </c>
      <c r="K42" s="3151" t="s">
        <v>2992</v>
      </c>
      <c r="L42" s="3151" t="s">
        <v>2993</v>
      </c>
      <c r="M42" s="3151">
        <v>363500</v>
      </c>
      <c r="N42" s="3151">
        <v>2133.79</v>
      </c>
      <c r="O42" s="3151">
        <v>16494.54</v>
      </c>
      <c r="P42">
        <f t="shared" si="0"/>
        <v>32007</v>
      </c>
    </row>
    <row r="43" spans="1:16">
      <c r="A43" s="3151" t="s">
        <v>2994</v>
      </c>
      <c r="B43" s="3151" t="s">
        <v>2969</v>
      </c>
      <c r="C43" s="3151" t="s">
        <v>2995</v>
      </c>
      <c r="D43" s="3151" t="s">
        <v>2971</v>
      </c>
      <c r="E43" s="3151">
        <v>64320.5</v>
      </c>
      <c r="F43" s="3151">
        <v>124160</v>
      </c>
      <c r="G43" s="3151" t="s">
        <v>2833</v>
      </c>
      <c r="H43" s="3151" t="s">
        <v>2833</v>
      </c>
      <c r="I43" s="3151" t="s">
        <v>2833</v>
      </c>
      <c r="J43" s="3151" t="s">
        <v>2833</v>
      </c>
      <c r="K43" s="3151" t="s">
        <v>2996</v>
      </c>
      <c r="L43" s="3151" t="s">
        <v>2997</v>
      </c>
      <c r="M43" s="3151">
        <v>140000</v>
      </c>
      <c r="N43" s="3151">
        <v>1451.07</v>
      </c>
      <c r="O43" s="3151">
        <v>11275.77</v>
      </c>
      <c r="P43">
        <f t="shared" si="0"/>
        <v>21766</v>
      </c>
    </row>
    <row r="44" spans="1:16">
      <c r="A44" s="3151" t="s">
        <v>3146</v>
      </c>
      <c r="B44" s="3151" t="s">
        <v>2969</v>
      </c>
      <c r="C44" s="3151" t="s">
        <v>2970</v>
      </c>
      <c r="D44" s="3151" t="s">
        <v>2971</v>
      </c>
      <c r="E44" s="3151">
        <v>5056.7</v>
      </c>
      <c r="F44" s="3151">
        <v>34385.56</v>
      </c>
      <c r="G44" s="3151" t="s">
        <v>3147</v>
      </c>
      <c r="H44" s="3151" t="s">
        <v>2833</v>
      </c>
      <c r="I44" s="3151" t="s">
        <v>2833</v>
      </c>
      <c r="J44" s="3151" t="s">
        <v>2833</v>
      </c>
      <c r="K44" s="3151" t="s">
        <v>3148</v>
      </c>
      <c r="L44" s="3151" t="s">
        <v>3149</v>
      </c>
      <c r="M44" s="3151">
        <v>38000</v>
      </c>
      <c r="N44" s="3151">
        <v>5009.8500000000004</v>
      </c>
      <c r="O44" s="3151">
        <v>11051.14</v>
      </c>
      <c r="P44">
        <f t="shared" si="0"/>
        <v>75148</v>
      </c>
    </row>
    <row r="45" spans="1:16">
      <c r="A45" s="3151" t="s">
        <v>3150</v>
      </c>
      <c r="B45" s="3151" t="s">
        <v>2969</v>
      </c>
      <c r="C45" s="3151" t="s">
        <v>2970</v>
      </c>
      <c r="D45" s="3151" t="s">
        <v>2971</v>
      </c>
      <c r="E45" s="3151">
        <v>90355.6</v>
      </c>
      <c r="F45" s="3151">
        <v>126621</v>
      </c>
      <c r="G45" s="3151" t="s">
        <v>3151</v>
      </c>
      <c r="H45" s="3151" t="s">
        <v>2833</v>
      </c>
      <c r="I45" s="3151" t="s">
        <v>2833</v>
      </c>
      <c r="J45" s="3151" t="s">
        <v>2833</v>
      </c>
      <c r="K45" s="3151" t="s">
        <v>3152</v>
      </c>
      <c r="L45" s="3151" t="s">
        <v>3153</v>
      </c>
      <c r="M45" s="3151">
        <v>23410</v>
      </c>
      <c r="N45" s="3151">
        <v>172.72</v>
      </c>
      <c r="O45" s="3151">
        <v>1848.81</v>
      </c>
      <c r="P45">
        <f t="shared" si="0"/>
        <v>2591</v>
      </c>
    </row>
    <row r="46" spans="1:16">
      <c r="A46" s="3151" t="s">
        <v>3073</v>
      </c>
      <c r="B46" s="3151" t="s">
        <v>2969</v>
      </c>
      <c r="C46" s="3151" t="s">
        <v>2970</v>
      </c>
      <c r="D46" s="3151" t="s">
        <v>2971</v>
      </c>
      <c r="E46" s="3151">
        <v>64505.3</v>
      </c>
      <c r="F46" s="3151">
        <v>136031.66</v>
      </c>
      <c r="G46" s="3151" t="s">
        <v>3154</v>
      </c>
      <c r="H46" s="3151" t="s">
        <v>2833</v>
      </c>
      <c r="I46" s="3151" t="s">
        <v>2833</v>
      </c>
      <c r="J46" s="3151" t="s">
        <v>2833</v>
      </c>
      <c r="K46" s="3151" t="s">
        <v>3152</v>
      </c>
      <c r="L46" s="3151" t="s">
        <v>3155</v>
      </c>
      <c r="M46" s="3151">
        <v>190500</v>
      </c>
      <c r="N46" s="3151">
        <v>1968.83</v>
      </c>
      <c r="O46" s="3151">
        <v>14004.09</v>
      </c>
      <c r="P46">
        <f t="shared" si="0"/>
        <v>29532</v>
      </c>
    </row>
    <row r="47" spans="1:16">
      <c r="A47" s="3151" t="s">
        <v>2998</v>
      </c>
      <c r="B47" s="3151" t="s">
        <v>2969</v>
      </c>
      <c r="C47" s="3151" t="s">
        <v>2970</v>
      </c>
      <c r="D47" s="3151" t="s">
        <v>2971</v>
      </c>
      <c r="E47" s="3151">
        <v>83768.899999999994</v>
      </c>
      <c r="F47" s="3151">
        <v>181800</v>
      </c>
      <c r="G47" s="3151" t="s">
        <v>2833</v>
      </c>
      <c r="H47" s="3151" t="s">
        <v>2833</v>
      </c>
      <c r="I47" s="3151" t="s">
        <v>2833</v>
      </c>
      <c r="J47" s="3151" t="s">
        <v>2833</v>
      </c>
      <c r="K47" s="3151" t="s">
        <v>2999</v>
      </c>
      <c r="L47" s="3151" t="s">
        <v>3000</v>
      </c>
      <c r="M47" s="3151">
        <v>265000</v>
      </c>
      <c r="N47" s="3151">
        <v>2108.98</v>
      </c>
      <c r="O47" s="3151">
        <v>14576.45</v>
      </c>
      <c r="P47">
        <f t="shared" si="0"/>
        <v>31635</v>
      </c>
    </row>
    <row r="48" spans="1:16">
      <c r="A48" s="3151" t="s">
        <v>3001</v>
      </c>
      <c r="B48" s="3151" t="s">
        <v>2969</v>
      </c>
      <c r="C48" s="3151" t="s">
        <v>2970</v>
      </c>
      <c r="D48" s="3151" t="s">
        <v>2971</v>
      </c>
      <c r="E48" s="3151">
        <v>47229.2</v>
      </c>
      <c r="F48" s="3151">
        <v>110900</v>
      </c>
      <c r="G48" s="3151" t="s">
        <v>2833</v>
      </c>
      <c r="H48" s="3151" t="s">
        <v>2833</v>
      </c>
      <c r="I48" s="3151" t="s">
        <v>2833</v>
      </c>
      <c r="J48" s="3151" t="s">
        <v>2833</v>
      </c>
      <c r="K48" s="3151" t="s">
        <v>3002</v>
      </c>
      <c r="L48" s="3151" t="s">
        <v>3003</v>
      </c>
      <c r="M48" s="3151">
        <v>121000</v>
      </c>
      <c r="N48" s="3151">
        <v>1707.98</v>
      </c>
      <c r="O48" s="3151">
        <v>10910.72</v>
      </c>
      <c r="P48">
        <f t="shared" si="0"/>
        <v>25620</v>
      </c>
    </row>
    <row r="49" spans="1:16" hidden="1">
      <c r="A49" s="3151" t="s">
        <v>3156</v>
      </c>
      <c r="B49" s="3151" t="s">
        <v>2969</v>
      </c>
      <c r="C49" s="3151" t="s">
        <v>3046</v>
      </c>
      <c r="D49" s="3151" t="s">
        <v>2971</v>
      </c>
      <c r="E49" s="3151">
        <v>13744.1</v>
      </c>
      <c r="F49" s="3151">
        <v>68720.5</v>
      </c>
      <c r="G49" s="3151" t="s">
        <v>3157</v>
      </c>
      <c r="H49" s="3151" t="s">
        <v>2833</v>
      </c>
      <c r="I49" s="3151" t="s">
        <v>2833</v>
      </c>
      <c r="J49" s="3151" t="s">
        <v>2833</v>
      </c>
      <c r="K49" s="3151" t="s">
        <v>3158</v>
      </c>
      <c r="L49" s="3151" t="s">
        <v>3159</v>
      </c>
      <c r="M49" s="3151">
        <v>28320</v>
      </c>
      <c r="N49" s="3151">
        <v>1373.68</v>
      </c>
      <c r="O49" s="3151">
        <v>4121.03</v>
      </c>
      <c r="P49">
        <f t="shared" si="0"/>
        <v>20605</v>
      </c>
    </row>
    <row r="50" spans="1:16">
      <c r="A50" s="3151" t="s">
        <v>3156</v>
      </c>
      <c r="B50" s="3151" t="s">
        <v>2969</v>
      </c>
      <c r="C50" s="3151" t="s">
        <v>2995</v>
      </c>
      <c r="D50" s="3151" t="s">
        <v>2971</v>
      </c>
      <c r="E50" s="3151">
        <v>26033.7</v>
      </c>
      <c r="F50" s="3151">
        <v>54417.51</v>
      </c>
      <c r="G50" s="3151" t="s">
        <v>3160</v>
      </c>
      <c r="H50" s="3151" t="s">
        <v>2833</v>
      </c>
      <c r="I50" s="3151" t="s">
        <v>2833</v>
      </c>
      <c r="J50" s="3151" t="s">
        <v>2833</v>
      </c>
      <c r="K50" s="3151" t="s">
        <v>3161</v>
      </c>
      <c r="L50" s="3151" t="s">
        <v>3162</v>
      </c>
      <c r="M50" s="3151">
        <v>64000</v>
      </c>
      <c r="N50" s="3151">
        <v>1638.9</v>
      </c>
      <c r="O50" s="3151">
        <v>11760.92</v>
      </c>
      <c r="P50">
        <f t="shared" si="0"/>
        <v>24584</v>
      </c>
    </row>
    <row r="51" spans="1:16">
      <c r="A51" s="3151" t="s">
        <v>3156</v>
      </c>
      <c r="B51" s="3151" t="s">
        <v>2969</v>
      </c>
      <c r="C51" s="3151" t="s">
        <v>2995</v>
      </c>
      <c r="D51" s="3151" t="s">
        <v>2971</v>
      </c>
      <c r="E51" s="3151">
        <v>32803.300000000003</v>
      </c>
      <c r="F51" s="3151">
        <v>88568.91</v>
      </c>
      <c r="G51" s="3151" t="s">
        <v>3163</v>
      </c>
      <c r="H51" s="3151" t="s">
        <v>2833</v>
      </c>
      <c r="I51" s="3151" t="s">
        <v>2833</v>
      </c>
      <c r="J51" s="3151" t="s">
        <v>2833</v>
      </c>
      <c r="K51" s="3151" t="s">
        <v>3161</v>
      </c>
      <c r="L51" s="3151" t="s">
        <v>3162</v>
      </c>
      <c r="M51" s="3151">
        <v>110000</v>
      </c>
      <c r="N51" s="3151">
        <v>2235.5500000000002</v>
      </c>
      <c r="O51" s="3151">
        <v>12419.7</v>
      </c>
      <c r="P51">
        <f t="shared" si="0"/>
        <v>33533</v>
      </c>
    </row>
  </sheetData>
  <autoFilter ref="C1:C51">
    <filterColumn colId="0">
      <filters>
        <filter val="住宅用地"/>
        <filter val="综合用地(含住宅)"/>
      </filters>
    </filterColumn>
  </autoFilter>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workbookViewId="0">
      <selection activeCell="F11" sqref="F11"/>
    </sheetView>
  </sheetViews>
  <sheetFormatPr defaultRowHeight="13.5"/>
  <cols>
    <col min="2" max="2" width="10.375" customWidth="1"/>
    <col min="3" max="3" width="10.25" customWidth="1"/>
    <col min="4" max="4" width="11.25" customWidth="1"/>
    <col min="5" max="5" width="10.875" customWidth="1"/>
    <col min="6" max="6" width="10.375" customWidth="1"/>
  </cols>
  <sheetData>
    <row r="1" spans="1:12">
      <c r="B1" s="3162" t="s">
        <v>3232</v>
      </c>
      <c r="C1" s="3162" t="s">
        <v>3233</v>
      </c>
      <c r="D1" s="3162" t="s">
        <v>3234</v>
      </c>
      <c r="E1" s="3162" t="s">
        <v>3235</v>
      </c>
      <c r="F1" s="3162" t="s">
        <v>3236</v>
      </c>
      <c r="G1" s="3162" t="s">
        <v>3241</v>
      </c>
    </row>
    <row r="2" spans="1:12">
      <c r="A2" s="3162" t="s">
        <v>3237</v>
      </c>
      <c r="B2" s="3162" t="s">
        <v>3240</v>
      </c>
      <c r="C2" s="3162" t="s">
        <v>3240</v>
      </c>
      <c r="D2" s="3162" t="s">
        <v>3240</v>
      </c>
      <c r="E2" s="3162" t="s">
        <v>3240</v>
      </c>
      <c r="F2" s="3162" t="s">
        <v>3240</v>
      </c>
    </row>
    <row r="3" spans="1:12">
      <c r="B3" s="3149">
        <v>100</v>
      </c>
      <c r="C3" s="3149">
        <v>100</v>
      </c>
      <c r="D3" s="3149">
        <v>100</v>
      </c>
      <c r="E3" s="3149">
        <v>100</v>
      </c>
      <c r="F3" s="3149">
        <v>100</v>
      </c>
      <c r="G3">
        <v>2</v>
      </c>
    </row>
    <row r="4" spans="1:12">
      <c r="C4" s="3152">
        <f>C3/B3</f>
        <v>1</v>
      </c>
      <c r="D4" s="3152">
        <f>D3/B3</f>
        <v>1</v>
      </c>
      <c r="E4" s="3152">
        <f>E3/B3</f>
        <v>1</v>
      </c>
      <c r="F4" s="3152">
        <f>F3/B3</f>
        <v>1</v>
      </c>
    </row>
    <row r="5" spans="1:12">
      <c r="A5" s="3162" t="s">
        <v>3238</v>
      </c>
      <c r="B5">
        <v>2.5</v>
      </c>
      <c r="C5">
        <v>2.5</v>
      </c>
      <c r="D5">
        <v>2.5</v>
      </c>
      <c r="E5">
        <v>2.5</v>
      </c>
      <c r="F5">
        <v>3.8</v>
      </c>
      <c r="H5">
        <v>0</v>
      </c>
      <c r="I5">
        <v>1</v>
      </c>
      <c r="J5">
        <v>2</v>
      </c>
      <c r="K5">
        <v>3</v>
      </c>
      <c r="L5">
        <v>4</v>
      </c>
    </row>
    <row r="6" spans="1:12">
      <c r="B6" s="3149">
        <v>100</v>
      </c>
      <c r="C6" s="3149">
        <v>100</v>
      </c>
      <c r="D6" s="3149">
        <v>100</v>
      </c>
      <c r="E6" s="3149">
        <v>100</v>
      </c>
      <c r="F6" s="3149">
        <v>102</v>
      </c>
      <c r="G6">
        <v>2</v>
      </c>
      <c r="H6">
        <v>100</v>
      </c>
      <c r="I6">
        <v>102</v>
      </c>
      <c r="J6">
        <v>104</v>
      </c>
      <c r="K6">
        <v>106</v>
      </c>
      <c r="L6">
        <v>108</v>
      </c>
    </row>
    <row r="7" spans="1:12">
      <c r="C7" s="3152">
        <f>C6/B6</f>
        <v>1</v>
      </c>
      <c r="D7" s="3152">
        <f>D6/B6</f>
        <v>1</v>
      </c>
      <c r="E7" s="3152">
        <f>E6/B6</f>
        <v>1</v>
      </c>
      <c r="F7" s="3152">
        <f>F6/B6</f>
        <v>1.02</v>
      </c>
    </row>
    <row r="8" spans="1:12">
      <c r="A8" s="3162" t="s">
        <v>3239</v>
      </c>
      <c r="B8">
        <f>'数据-基础表'!A3</f>
        <v>19564.599999999999</v>
      </c>
      <c r="C8">
        <f>'[1]数据-基础表'!$A$3</f>
        <v>17805.7</v>
      </c>
      <c r="D8">
        <f>'[2]数据-基础表'!$A$3</f>
        <v>18311.3</v>
      </c>
      <c r="E8">
        <f>'[3]数据-基础表'!$A$3</f>
        <v>18032</v>
      </c>
      <c r="F8">
        <f>'[4]数据-基础表'!$A$3</f>
        <v>30950.2</v>
      </c>
      <c r="H8">
        <v>0</v>
      </c>
      <c r="I8">
        <v>10000</v>
      </c>
      <c r="J8">
        <v>20000</v>
      </c>
      <c r="K8">
        <v>30000</v>
      </c>
    </row>
    <row r="9" spans="1:12">
      <c r="B9" s="3149">
        <v>100</v>
      </c>
      <c r="C9" s="3149">
        <v>100</v>
      </c>
      <c r="D9" s="3149">
        <v>100</v>
      </c>
      <c r="E9" s="3149">
        <v>100</v>
      </c>
      <c r="F9" s="3149">
        <v>103</v>
      </c>
      <c r="G9">
        <v>1</v>
      </c>
      <c r="H9">
        <v>100</v>
      </c>
      <c r="I9">
        <v>101</v>
      </c>
      <c r="J9">
        <v>102</v>
      </c>
      <c r="K9">
        <v>103</v>
      </c>
    </row>
    <row r="10" spans="1:12">
      <c r="C10" s="3152">
        <f>C9/B9</f>
        <v>1</v>
      </c>
      <c r="D10" s="3152">
        <f>D9/B9</f>
        <v>1</v>
      </c>
      <c r="E10" s="3152">
        <f>E9/B9</f>
        <v>1</v>
      </c>
      <c r="F10" s="3152">
        <f>F9/B9</f>
        <v>1.03</v>
      </c>
    </row>
    <row r="11" spans="1:12">
      <c r="A11" s="3162" t="s">
        <v>3242</v>
      </c>
      <c r="B11" s="3162" t="s">
        <v>3243</v>
      </c>
      <c r="C11" s="3162" t="s">
        <v>3244</v>
      </c>
      <c r="D11" s="3162" t="s">
        <v>3243</v>
      </c>
      <c r="E11" s="3162" t="s">
        <v>3244</v>
      </c>
      <c r="F11" s="3162" t="s">
        <v>3245</v>
      </c>
      <c r="H11" s="3162" t="s">
        <v>3243</v>
      </c>
      <c r="I11" s="3162" t="s">
        <v>3244</v>
      </c>
      <c r="J11" s="3162" t="s">
        <v>3246</v>
      </c>
      <c r="K11" s="3162" t="s">
        <v>3247</v>
      </c>
    </row>
    <row r="12" spans="1:12">
      <c r="B12" s="3149">
        <v>100</v>
      </c>
      <c r="C12" s="3149">
        <v>99</v>
      </c>
      <c r="D12" s="3149">
        <v>100</v>
      </c>
      <c r="E12" s="3149">
        <v>99</v>
      </c>
      <c r="F12" s="3149">
        <v>98</v>
      </c>
      <c r="G12">
        <v>2</v>
      </c>
      <c r="H12" s="3162">
        <v>100</v>
      </c>
      <c r="I12" s="3162">
        <v>98</v>
      </c>
      <c r="J12" s="3162">
        <v>96</v>
      </c>
      <c r="K12" s="3162">
        <v>94</v>
      </c>
    </row>
    <row r="13" spans="1:12">
      <c r="C13" s="3152">
        <f>C12/B12</f>
        <v>0.99</v>
      </c>
      <c r="D13" s="3152">
        <f>D12/B12</f>
        <v>1</v>
      </c>
      <c r="E13" s="3152">
        <f>E12/B12</f>
        <v>0.99</v>
      </c>
      <c r="F13" s="3152">
        <f>F12/B12</f>
        <v>0.98</v>
      </c>
    </row>
    <row r="14" spans="1:12">
      <c r="A14" s="3162" t="s">
        <v>3248</v>
      </c>
      <c r="B14">
        <f ca="1">结果表!G21</f>
        <v>66358</v>
      </c>
      <c r="C14">
        <f ca="1">ROUND(C16*10000/C8,0)</f>
        <v>65448</v>
      </c>
      <c r="D14">
        <f t="shared" ref="D14:F14" ca="1" si="0">ROUND(D16*10000/D8,0)</f>
        <v>64859</v>
      </c>
      <c r="E14">
        <f t="shared" ca="1" si="0"/>
        <v>64933</v>
      </c>
      <c r="F14">
        <f t="shared" ca="1" si="0"/>
        <v>116904</v>
      </c>
    </row>
    <row r="15" spans="1:12">
      <c r="A15" s="3162" t="s">
        <v>3249</v>
      </c>
      <c r="B15">
        <f ca="1">结果表!C33</f>
        <v>17831</v>
      </c>
      <c r="C15">
        <f ca="1">ROUND(B15*C4*C7*C10*C13,0)</f>
        <v>17653</v>
      </c>
      <c r="D15">
        <f t="shared" ref="D15:F15" ca="1" si="1">ROUND(C15*D4*D7*D10*D13,0)</f>
        <v>17653</v>
      </c>
      <c r="E15">
        <f t="shared" ca="1" si="1"/>
        <v>17476</v>
      </c>
      <c r="F15">
        <f t="shared" ca="1" si="1"/>
        <v>17993</v>
      </c>
    </row>
    <row r="16" spans="1:12">
      <c r="A16" s="3162" t="s">
        <v>3250</v>
      </c>
      <c r="B16">
        <f ca="1">结果表!G19</f>
        <v>129827</v>
      </c>
      <c r="C16">
        <f ca="1">ROUND(C15*C17/10000,0)</f>
        <v>116535</v>
      </c>
      <c r="D16">
        <f t="shared" ref="D16:F16" ca="1" si="2">ROUND(D15*D17/10000,0)</f>
        <v>118765</v>
      </c>
      <c r="E16">
        <f t="shared" ca="1" si="2"/>
        <v>117088</v>
      </c>
      <c r="F16">
        <f t="shared" ca="1" si="2"/>
        <v>361821</v>
      </c>
      <c r="G16">
        <f ca="1">B16+C16+D16+E16+F16</f>
        <v>844036</v>
      </c>
    </row>
    <row r="17" spans="1:9">
      <c r="A17" s="3162" t="s">
        <v>3251</v>
      </c>
      <c r="B17">
        <f>'数据-汇总表'!E3</f>
        <v>72811</v>
      </c>
      <c r="C17">
        <f>'[1]数据-汇总表'!$E$3</f>
        <v>66014</v>
      </c>
      <c r="D17">
        <f>'[2]数据-汇总表'!$E$3</f>
        <v>67277.75</v>
      </c>
      <c r="E17">
        <f>'[3]数据-汇总表'!$E$3</f>
        <v>66999.25</v>
      </c>
      <c r="F17">
        <f>'[4]数据-汇总表'!$E$3</f>
        <v>201090</v>
      </c>
    </row>
    <row r="18" spans="1:9">
      <c r="A18" s="3166" t="s">
        <v>3267</v>
      </c>
      <c r="B18" s="3165"/>
      <c r="C18" s="3165">
        <f>'剩余法-待开发'!C8</f>
        <v>43178</v>
      </c>
    </row>
    <row r="19" spans="1:9">
      <c r="A19" s="3166" t="s">
        <v>3268</v>
      </c>
      <c r="B19" s="3165"/>
      <c r="C19" s="3165">
        <f ca="1">'剩余法-待开发'!D8</f>
        <v>38308</v>
      </c>
    </row>
    <row r="20" spans="1:9">
      <c r="B20" s="3162" t="s">
        <v>3252</v>
      </c>
      <c r="C20" s="3162" t="s">
        <v>3253</v>
      </c>
    </row>
    <row r="21" spans="1:9">
      <c r="A21" s="3162" t="s">
        <v>3254</v>
      </c>
      <c r="B21" s="3162" t="s">
        <v>3258</v>
      </c>
      <c r="C21" s="3162" t="s">
        <v>3258</v>
      </c>
    </row>
    <row r="22" spans="1:9">
      <c r="B22" s="3149">
        <v>100</v>
      </c>
      <c r="C22" s="3149">
        <v>100</v>
      </c>
    </row>
    <row r="23" spans="1:9">
      <c r="C23" s="3152">
        <f>C22/B22</f>
        <v>1</v>
      </c>
    </row>
    <row r="24" spans="1:9">
      <c r="A24" s="3162" t="s">
        <v>3255</v>
      </c>
      <c r="B24">
        <v>6.93</v>
      </c>
      <c r="C24">
        <v>0.42</v>
      </c>
    </row>
    <row r="25" spans="1:9">
      <c r="B25" s="3149">
        <v>100</v>
      </c>
      <c r="C25" s="3149">
        <v>108</v>
      </c>
      <c r="D25">
        <v>2</v>
      </c>
      <c r="E25">
        <v>0</v>
      </c>
      <c r="F25">
        <v>1</v>
      </c>
      <c r="G25">
        <v>2</v>
      </c>
      <c r="H25">
        <v>3</v>
      </c>
      <c r="I25">
        <v>4</v>
      </c>
    </row>
    <row r="26" spans="1:9">
      <c r="C26" s="3152">
        <f>C25/B25</f>
        <v>1.08</v>
      </c>
      <c r="E26">
        <v>100</v>
      </c>
      <c r="F26">
        <v>102</v>
      </c>
      <c r="G26">
        <v>104</v>
      </c>
      <c r="H26">
        <v>106</v>
      </c>
      <c r="I26">
        <v>108</v>
      </c>
    </row>
    <row r="27" spans="1:9">
      <c r="A27" s="3162" t="s">
        <v>3256</v>
      </c>
      <c r="B27">
        <f>'[5]数据-基础表'!$A$3</f>
        <v>14043.6</v>
      </c>
      <c r="C27">
        <f>'[6]数据-基础表'!$A$3</f>
        <v>3842.1</v>
      </c>
    </row>
    <row r="28" spans="1:9">
      <c r="B28" s="3149">
        <v>100</v>
      </c>
      <c r="C28" s="3149">
        <v>99</v>
      </c>
      <c r="D28">
        <v>1</v>
      </c>
      <c r="E28">
        <v>0</v>
      </c>
      <c r="F28">
        <v>10000</v>
      </c>
      <c r="G28">
        <v>20000</v>
      </c>
      <c r="H28">
        <v>30000</v>
      </c>
    </row>
    <row r="29" spans="1:9">
      <c r="C29" s="3152">
        <f>C28/B28</f>
        <v>0.99</v>
      </c>
      <c r="E29">
        <v>100</v>
      </c>
      <c r="F29">
        <v>101</v>
      </c>
      <c r="G29">
        <v>102</v>
      </c>
      <c r="H29">
        <v>103</v>
      </c>
    </row>
    <row r="30" spans="1:9">
      <c r="A30" s="3162" t="s">
        <v>3257</v>
      </c>
      <c r="B30" s="3162" t="s">
        <v>3244</v>
      </c>
      <c r="C30" s="3162" t="s">
        <v>3259</v>
      </c>
    </row>
    <row r="31" spans="1:9">
      <c r="B31" s="3149">
        <v>100</v>
      </c>
      <c r="C31" s="3149">
        <v>98</v>
      </c>
      <c r="D31">
        <v>2</v>
      </c>
      <c r="E31" s="3162" t="s">
        <v>3243</v>
      </c>
      <c r="F31" s="3162" t="s">
        <v>3244</v>
      </c>
      <c r="G31" s="3162" t="s">
        <v>3246</v>
      </c>
      <c r="H31" s="3162" t="s">
        <v>3247</v>
      </c>
    </row>
    <row r="32" spans="1:9">
      <c r="C32" s="3152">
        <f>C31/B31</f>
        <v>0.98</v>
      </c>
      <c r="E32" s="3162">
        <v>100</v>
      </c>
      <c r="F32" s="3162">
        <v>98</v>
      </c>
      <c r="G32" s="3162">
        <v>96</v>
      </c>
      <c r="H32" s="3162">
        <v>94</v>
      </c>
    </row>
    <row r="33" spans="1:4">
      <c r="A33" s="3162" t="s">
        <v>3260</v>
      </c>
      <c r="B33">
        <f>[5]结果表!$C$34</f>
        <v>160969</v>
      </c>
      <c r="C33">
        <f>ROUND(C35*10000/C27,0)</f>
        <v>7600</v>
      </c>
    </row>
    <row r="34" spans="1:4">
      <c r="A34" s="3162" t="s">
        <v>3261</v>
      </c>
      <c r="B34">
        <f>[5]结果表!$C$33</f>
        <v>17067</v>
      </c>
      <c r="C34">
        <f>ROUND(B34*C23*C26*C29,0)</f>
        <v>18248</v>
      </c>
    </row>
    <row r="35" spans="1:4">
      <c r="A35" s="3162" t="s">
        <v>3250</v>
      </c>
      <c r="B35">
        <f>[5]结果表!$G$19</f>
        <v>226059</v>
      </c>
      <c r="C35">
        <f>ROUND(C34*C36/10000,0)</f>
        <v>2920</v>
      </c>
      <c r="D35">
        <f>B35+C35</f>
        <v>228979</v>
      </c>
    </row>
    <row r="36" spans="1:4">
      <c r="A36" s="3162" t="s">
        <v>3262</v>
      </c>
      <c r="B36">
        <f>'[5]数据-汇总表'!$E$3</f>
        <v>132450</v>
      </c>
      <c r="C36">
        <f>'[6]数据-汇总表'!$E$3</f>
        <v>1600</v>
      </c>
    </row>
    <row r="37" spans="1:4">
      <c r="A37" s="3166" t="s">
        <v>3268</v>
      </c>
      <c r="B37" s="3165"/>
      <c r="C37" s="3165">
        <f>'[5]剩余法-待开发'!$D$8</f>
        <v>38352</v>
      </c>
    </row>
    <row r="38" spans="1:4">
      <c r="A38" s="3166" t="s">
        <v>3269</v>
      </c>
      <c r="B38" s="3165"/>
      <c r="C38" s="3165">
        <f>'[5]剩余法-待开发'!$C$8</f>
        <v>40420</v>
      </c>
    </row>
    <row r="39" spans="1:4">
      <c r="A39" s="3166" t="s">
        <v>3270</v>
      </c>
      <c r="B39" s="3165"/>
      <c r="C39" s="3165">
        <f>'[5]剩余法-待开发'!$E$8</f>
        <v>41312</v>
      </c>
    </row>
    <row r="40" spans="1:4">
      <c r="A40" s="3167" t="s">
        <v>3263</v>
      </c>
      <c r="B40" s="3163">
        <f ca="1">G16+D35</f>
        <v>1073015</v>
      </c>
    </row>
  </sheetData>
  <phoneticPr fontId="233" type="noConversion"/>
  <printOptions horizontalCentered="1" verticalCentered="1"/>
  <pageMargins left="0.70866141732283472" right="0.70866141732283472" top="0.74803149606299213" bottom="0.74803149606299213" header="0.31496062992125984" footer="0.31496062992125984"/>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workbookViewId="0">
      <selection activeCell="E17" sqref="E17"/>
    </sheetView>
  </sheetViews>
  <sheetFormatPr defaultRowHeight="13.5"/>
  <cols>
    <col min="1" max="1" width="12.75" customWidth="1"/>
    <col min="2" max="2" width="10.375" customWidth="1"/>
    <col min="3" max="3" width="10.25" customWidth="1"/>
    <col min="4" max="4" width="11.25" customWidth="1"/>
    <col min="5" max="5" width="10.875" customWidth="1"/>
    <col min="6" max="6" width="10.375" customWidth="1"/>
    <col min="7" max="8" width="9" customWidth="1"/>
    <col min="9" max="9" width="12.75" bestFit="1" customWidth="1"/>
    <col min="10" max="10" width="11.125" customWidth="1"/>
    <col min="11" max="11" width="11.625" bestFit="1" customWidth="1"/>
    <col min="12" max="14" width="9" customWidth="1"/>
  </cols>
  <sheetData>
    <row r="1" spans="1:12">
      <c r="A1" s="3174"/>
      <c r="B1" s="3175" t="s">
        <v>3232</v>
      </c>
      <c r="C1" s="3175" t="s">
        <v>3233</v>
      </c>
      <c r="D1" s="3175" t="s">
        <v>3234</v>
      </c>
      <c r="E1" s="3175" t="s">
        <v>3235</v>
      </c>
      <c r="F1" s="3175" t="s">
        <v>3236</v>
      </c>
      <c r="G1" s="3162" t="s">
        <v>3241</v>
      </c>
    </row>
    <row r="2" spans="1:12">
      <c r="A2" s="3175" t="s">
        <v>3237</v>
      </c>
      <c r="B2" s="3175" t="s">
        <v>3240</v>
      </c>
      <c r="C2" s="3175" t="s">
        <v>3240</v>
      </c>
      <c r="D2" s="3175" t="s">
        <v>3240</v>
      </c>
      <c r="E2" s="3175" t="s">
        <v>3240</v>
      </c>
      <c r="F2" s="3175" t="s">
        <v>3240</v>
      </c>
    </row>
    <row r="3" spans="1:12" hidden="1">
      <c r="A3" s="3174"/>
      <c r="B3" s="3176">
        <v>100</v>
      </c>
      <c r="C3" s="3176">
        <v>100</v>
      </c>
      <c r="D3" s="3176">
        <v>100</v>
      </c>
      <c r="E3" s="3176">
        <v>100</v>
      </c>
      <c r="F3" s="3176">
        <v>100</v>
      </c>
      <c r="G3">
        <v>2</v>
      </c>
    </row>
    <row r="4" spans="1:12" hidden="1">
      <c r="A4" s="3174"/>
      <c r="B4" s="3174"/>
      <c r="C4" s="3177">
        <f>C3/B3</f>
        <v>1</v>
      </c>
      <c r="D4" s="3177">
        <f>D3/B3</f>
        <v>1</v>
      </c>
      <c r="E4" s="3177">
        <f>E3/B3</f>
        <v>1</v>
      </c>
      <c r="F4" s="3177">
        <f>F3/B3</f>
        <v>1</v>
      </c>
    </row>
    <row r="5" spans="1:12">
      <c r="A5" s="3175" t="s">
        <v>3238</v>
      </c>
      <c r="B5" s="3174">
        <v>2.5</v>
      </c>
      <c r="C5" s="3174">
        <v>2.5</v>
      </c>
      <c r="D5" s="3174">
        <v>2.5</v>
      </c>
      <c r="E5" s="3174">
        <v>2.5</v>
      </c>
      <c r="F5" s="3174">
        <v>3.8</v>
      </c>
      <c r="H5">
        <v>0</v>
      </c>
      <c r="I5">
        <v>1</v>
      </c>
      <c r="J5">
        <v>2</v>
      </c>
      <c r="K5">
        <v>3</v>
      </c>
      <c r="L5">
        <v>4</v>
      </c>
    </row>
    <row r="6" spans="1:12" hidden="1">
      <c r="A6" s="3174"/>
      <c r="B6" s="3176">
        <v>100</v>
      </c>
      <c r="C6" s="3176">
        <v>100</v>
      </c>
      <c r="D6" s="3176">
        <v>100</v>
      </c>
      <c r="E6" s="3176">
        <v>100</v>
      </c>
      <c r="F6" s="3176">
        <v>102</v>
      </c>
      <c r="G6">
        <v>2</v>
      </c>
      <c r="H6">
        <v>100</v>
      </c>
      <c r="I6">
        <v>102</v>
      </c>
      <c r="J6">
        <v>104</v>
      </c>
      <c r="K6">
        <v>106</v>
      </c>
      <c r="L6">
        <v>108</v>
      </c>
    </row>
    <row r="7" spans="1:12" hidden="1">
      <c r="A7" s="3174"/>
      <c r="B7" s="3174"/>
      <c r="C7" s="3177">
        <f>C6/B6</f>
        <v>1</v>
      </c>
      <c r="D7" s="3177">
        <f>D6/B6</f>
        <v>1</v>
      </c>
      <c r="E7" s="3177">
        <f>E6/B6</f>
        <v>1</v>
      </c>
      <c r="F7" s="3177">
        <f>F6/B6</f>
        <v>1.02</v>
      </c>
    </row>
    <row r="8" spans="1:12">
      <c r="A8" s="3175" t="s">
        <v>3239</v>
      </c>
      <c r="B8" s="3174">
        <f>'数据-基础表'!A3</f>
        <v>19564.599999999999</v>
      </c>
      <c r="C8" s="3174">
        <f>'[1]数据-基础表'!$A$3</f>
        <v>17805.7</v>
      </c>
      <c r="D8" s="3174">
        <f>'[2]数据-基础表'!$A$3</f>
        <v>18311.3</v>
      </c>
      <c r="E8" s="3174">
        <f>'[3]数据-基础表'!$A$3</f>
        <v>18032</v>
      </c>
      <c r="F8" s="3174">
        <f>'[7]数据-基础表'!$A$3</f>
        <v>30950.2</v>
      </c>
      <c r="H8">
        <v>0</v>
      </c>
      <c r="I8">
        <v>10000</v>
      </c>
      <c r="J8">
        <v>20000</v>
      </c>
      <c r="K8">
        <v>30000</v>
      </c>
    </row>
    <row r="9" spans="1:12" hidden="1">
      <c r="A9" s="3174"/>
      <c r="B9" s="3176">
        <v>100</v>
      </c>
      <c r="C9" s="3176">
        <v>100</v>
      </c>
      <c r="D9" s="3176">
        <v>100</v>
      </c>
      <c r="E9" s="3176">
        <v>100</v>
      </c>
      <c r="F9" s="3176">
        <v>103</v>
      </c>
      <c r="G9">
        <v>1</v>
      </c>
      <c r="H9">
        <v>100</v>
      </c>
      <c r="I9">
        <v>101</v>
      </c>
      <c r="J9">
        <v>102</v>
      </c>
      <c r="K9">
        <v>103</v>
      </c>
    </row>
    <row r="10" spans="1:12" hidden="1">
      <c r="A10" s="3174"/>
      <c r="B10" s="3174"/>
      <c r="C10" s="3177">
        <f>C9/B9</f>
        <v>1</v>
      </c>
      <c r="D10" s="3177">
        <f>D9/B9</f>
        <v>1</v>
      </c>
      <c r="E10" s="3177">
        <f>E9/B9</f>
        <v>1</v>
      </c>
      <c r="F10" s="3177">
        <f>F9/B9</f>
        <v>1.03</v>
      </c>
    </row>
    <row r="11" spans="1:12">
      <c r="A11" s="3175" t="s">
        <v>3242</v>
      </c>
      <c r="B11" s="3175" t="s">
        <v>3243</v>
      </c>
      <c r="C11" s="3175" t="s">
        <v>3244</v>
      </c>
      <c r="D11" s="3175" t="s">
        <v>3243</v>
      </c>
      <c r="E11" s="3175" t="s">
        <v>3244</v>
      </c>
      <c r="F11" s="3175" t="s">
        <v>3245</v>
      </c>
      <c r="H11" s="3162" t="s">
        <v>3243</v>
      </c>
      <c r="I11" s="3162" t="s">
        <v>3244</v>
      </c>
      <c r="J11" s="3162" t="s">
        <v>3245</v>
      </c>
      <c r="K11" s="3162" t="s">
        <v>3247</v>
      </c>
    </row>
    <row r="12" spans="1:12" hidden="1">
      <c r="A12" s="3174"/>
      <c r="B12" s="3176">
        <v>100</v>
      </c>
      <c r="C12" s="3176">
        <v>99</v>
      </c>
      <c r="D12" s="3176">
        <v>100</v>
      </c>
      <c r="E12" s="3176">
        <v>99</v>
      </c>
      <c r="F12" s="3176">
        <v>98</v>
      </c>
      <c r="G12">
        <v>2</v>
      </c>
      <c r="H12" s="3162">
        <v>100</v>
      </c>
      <c r="I12" s="3162">
        <v>98</v>
      </c>
      <c r="J12" s="3162">
        <v>96</v>
      </c>
      <c r="K12" s="3162">
        <v>94</v>
      </c>
    </row>
    <row r="13" spans="1:12" hidden="1">
      <c r="A13" s="3174"/>
      <c r="B13" s="3174"/>
      <c r="C13" s="3177">
        <f>C12/B12</f>
        <v>0.99</v>
      </c>
      <c r="D13" s="3177">
        <f>D12/B12</f>
        <v>1</v>
      </c>
      <c r="E13" s="3177">
        <f>E12/B12</f>
        <v>0.99</v>
      </c>
      <c r="F13" s="3177">
        <f>F12/B12</f>
        <v>0.98</v>
      </c>
    </row>
    <row r="14" spans="1:12">
      <c r="A14" s="3175" t="s">
        <v>3248</v>
      </c>
      <c r="B14" s="3174">
        <f ca="1">结果表!G21</f>
        <v>66358</v>
      </c>
      <c r="C14" s="3174">
        <f ca="1">ROUND(C17*10000/C8,0)</f>
        <v>65448</v>
      </c>
      <c r="D14" s="3174">
        <f t="shared" ref="D14:F14" ca="1" si="0">ROUND(D17*10000/D8,0)</f>
        <v>64859</v>
      </c>
      <c r="E14" s="3174">
        <f t="shared" ca="1" si="0"/>
        <v>64933</v>
      </c>
      <c r="F14" s="3174">
        <f t="shared" ca="1" si="0"/>
        <v>101552</v>
      </c>
    </row>
    <row r="15" spans="1:12">
      <c r="A15" s="3175" t="s">
        <v>3249</v>
      </c>
      <c r="B15" s="3174">
        <f ca="1">结果表!C33</f>
        <v>17831</v>
      </c>
      <c r="C15" s="3174">
        <f ca="1">ROUND(B15*C4*C7*C10*C13,0)</f>
        <v>17653</v>
      </c>
      <c r="D15" s="3174">
        <f t="shared" ref="D15:E15" ca="1" si="1">ROUND(C15*D4*D7*D10*D13,0)</f>
        <v>17653</v>
      </c>
      <c r="E15" s="3174">
        <f t="shared" ca="1" si="1"/>
        <v>17476</v>
      </c>
      <c r="F15" s="3174">
        <f ca="1">[7]结果表!$C$33</f>
        <v>15630</v>
      </c>
    </row>
    <row r="16" spans="1:12">
      <c r="A16" s="3175" t="s">
        <v>3271</v>
      </c>
      <c r="B16" s="3176">
        <f ca="1">ROUND(B17*10000/B19,0)</f>
        <v>26544</v>
      </c>
      <c r="C16" s="3176">
        <f ca="1">ROUND(C17*10000/C19,0)</f>
        <v>26179</v>
      </c>
      <c r="D16" s="3176">
        <f ca="1">ROUND(D17*10000/D19,0)</f>
        <v>25944</v>
      </c>
      <c r="E16" s="3176">
        <f ca="1">ROUND(E17*10000/E19,0)</f>
        <v>26020</v>
      </c>
      <c r="F16" s="3176">
        <f ca="1">ROUND(F17*10000/F19,0)</f>
        <v>26718</v>
      </c>
    </row>
    <row r="17" spans="1:9">
      <c r="A17" s="3175" t="s">
        <v>3250</v>
      </c>
      <c r="B17" s="3174">
        <f ca="1">结果表!G19</f>
        <v>129827</v>
      </c>
      <c r="C17" s="3174">
        <f ca="1">ROUND(C15*C18/10000,0)</f>
        <v>116535</v>
      </c>
      <c r="D17" s="3174">
        <f t="shared" ref="D17:E17" ca="1" si="2">ROUND(D15*D18/10000,0)</f>
        <v>118765</v>
      </c>
      <c r="E17" s="3174">
        <f t="shared" ca="1" si="2"/>
        <v>117088</v>
      </c>
      <c r="F17" s="3174">
        <f ca="1">[7]结果表!$G$19</f>
        <v>314306</v>
      </c>
      <c r="G17">
        <f ca="1">B17+C17+D17+E17+F17</f>
        <v>796521</v>
      </c>
    </row>
    <row r="18" spans="1:9">
      <c r="A18" s="3175" t="s">
        <v>3251</v>
      </c>
      <c r="B18" s="3174">
        <f>'数据-汇总表'!E3</f>
        <v>72811</v>
      </c>
      <c r="C18" s="3174">
        <f>'[1]数据-汇总表'!$E$3</f>
        <v>66014</v>
      </c>
      <c r="D18" s="3174">
        <f>'[2]数据-汇总表'!$E$3</f>
        <v>67277.75</v>
      </c>
      <c r="E18" s="3174">
        <f>'[3]数据-汇总表'!$E$3</f>
        <v>66999.25</v>
      </c>
      <c r="F18" s="3174">
        <f>'[7]数据-汇总表'!$E$3</f>
        <v>201090</v>
      </c>
    </row>
    <row r="19" spans="1:9">
      <c r="A19" s="3175" t="s">
        <v>3272</v>
      </c>
      <c r="B19" s="3174">
        <f>'数据-汇总表'!F31</f>
        <v>48911</v>
      </c>
      <c r="C19" s="3174">
        <f>'[1]数据-汇总表'!$F$31</f>
        <v>44514</v>
      </c>
      <c r="D19" s="3174">
        <f>'[2]数据-汇总表'!$F$31</f>
        <v>45777.75</v>
      </c>
      <c r="E19" s="3174">
        <f>'[3]数据-汇总表'!$F$31</f>
        <v>44999.25</v>
      </c>
      <c r="F19" s="3174">
        <f>'[7]数据-汇总表'!$F$31</f>
        <v>117640</v>
      </c>
    </row>
    <row r="20" spans="1:9">
      <c r="A20" s="3175" t="s">
        <v>3273</v>
      </c>
      <c r="B20" s="3174">
        <f>'数据-汇总表'!G31</f>
        <v>23900</v>
      </c>
      <c r="C20" s="3174">
        <f>'[1]数据-汇总表'!$G$31</f>
        <v>21500</v>
      </c>
      <c r="D20" s="3174">
        <f>'[2]数据-汇总表'!$G$31</f>
        <v>21500</v>
      </c>
      <c r="E20" s="3174">
        <f>'[3]数据-汇总表'!$G$31</f>
        <v>22000</v>
      </c>
      <c r="F20" s="3174">
        <f>'[7]数据-汇总表'!$G$31</f>
        <v>83450</v>
      </c>
    </row>
    <row r="21" spans="1:9">
      <c r="A21" s="3166" t="s">
        <v>3267</v>
      </c>
      <c r="B21" s="3165"/>
      <c r="C21" s="3165">
        <f>'剩余法-待开发'!C8</f>
        <v>43178</v>
      </c>
    </row>
    <row r="22" spans="1:9">
      <c r="A22" s="3166" t="s">
        <v>3268</v>
      </c>
      <c r="B22" s="3165"/>
      <c r="C22" s="3165">
        <f ca="1">'剩余法-待开发'!D8</f>
        <v>38308</v>
      </c>
    </row>
    <row r="23" spans="1:9">
      <c r="A23" s="3174"/>
      <c r="B23" s="3175" t="s">
        <v>3252</v>
      </c>
      <c r="C23" s="3175" t="s">
        <v>3253</v>
      </c>
    </row>
    <row r="24" spans="1:9">
      <c r="A24" s="3175" t="s">
        <v>3237</v>
      </c>
      <c r="B24" s="3175" t="s">
        <v>3258</v>
      </c>
      <c r="C24" s="3175" t="s">
        <v>3258</v>
      </c>
      <c r="H24">
        <f>B19+C19+D19+E19+F19+B41+C41</f>
        <v>400742</v>
      </c>
    </row>
    <row r="25" spans="1:9" hidden="1">
      <c r="A25" s="3174"/>
      <c r="B25" s="3176">
        <v>100</v>
      </c>
      <c r="C25" s="3176">
        <v>100</v>
      </c>
    </row>
    <row r="26" spans="1:9" hidden="1">
      <c r="A26" s="3174"/>
      <c r="B26" s="3174"/>
      <c r="C26" s="3177">
        <f>C25/B25</f>
        <v>1</v>
      </c>
    </row>
    <row r="27" spans="1:9">
      <c r="A27" s="3175" t="s">
        <v>3238</v>
      </c>
      <c r="B27" s="3174">
        <v>6.93</v>
      </c>
      <c r="C27" s="3174">
        <v>0.42</v>
      </c>
      <c r="H27">
        <f>B18+C18+D18+E18+F18+B40+C40</f>
        <v>608242</v>
      </c>
    </row>
    <row r="28" spans="1:9" hidden="1">
      <c r="A28" s="3174"/>
      <c r="B28" s="3176">
        <v>100</v>
      </c>
      <c r="C28" s="3176">
        <v>108</v>
      </c>
      <c r="D28">
        <v>2</v>
      </c>
      <c r="E28">
        <v>0</v>
      </c>
      <c r="F28">
        <v>1</v>
      </c>
      <c r="G28">
        <v>2</v>
      </c>
      <c r="H28">
        <v>3</v>
      </c>
      <c r="I28">
        <v>4</v>
      </c>
    </row>
    <row r="29" spans="1:9" hidden="1">
      <c r="A29" s="3174"/>
      <c r="B29" s="3174"/>
      <c r="C29" s="3177">
        <f>C28/B28</f>
        <v>1.08</v>
      </c>
      <c r="E29">
        <v>100</v>
      </c>
      <c r="F29">
        <v>102</v>
      </c>
      <c r="G29">
        <v>104</v>
      </c>
      <c r="H29">
        <v>106</v>
      </c>
      <c r="I29">
        <v>108</v>
      </c>
    </row>
    <row r="30" spans="1:9">
      <c r="A30" s="3175" t="s">
        <v>3239</v>
      </c>
      <c r="B30" s="3174">
        <f>'[5]数据-基础表'!$A$3</f>
        <v>14043.6</v>
      </c>
      <c r="C30" s="3174">
        <f>'[6]数据-基础表'!$A$3</f>
        <v>3842.1</v>
      </c>
      <c r="H30">
        <f>H24/H27</f>
        <v>0.65885289079017895</v>
      </c>
    </row>
    <row r="31" spans="1:9" hidden="1">
      <c r="A31" s="3174"/>
      <c r="B31" s="3176">
        <v>100</v>
      </c>
      <c r="C31" s="3176">
        <v>99</v>
      </c>
      <c r="D31">
        <v>1</v>
      </c>
      <c r="E31">
        <v>0</v>
      </c>
      <c r="F31">
        <v>10000</v>
      </c>
      <c r="G31">
        <v>20000</v>
      </c>
      <c r="H31">
        <v>30000</v>
      </c>
    </row>
    <row r="32" spans="1:9" hidden="1">
      <c r="A32" s="3174"/>
      <c r="B32" s="3174"/>
      <c r="C32" s="3177">
        <f>C31/B31</f>
        <v>0.99</v>
      </c>
      <c r="E32">
        <v>100</v>
      </c>
      <c r="F32">
        <v>101</v>
      </c>
      <c r="G32">
        <v>102</v>
      </c>
      <c r="H32">
        <v>103</v>
      </c>
    </row>
    <row r="33" spans="1:11">
      <c r="A33" s="3175" t="s">
        <v>3242</v>
      </c>
      <c r="B33" s="3175" t="s">
        <v>3244</v>
      </c>
      <c r="C33" s="3175" t="s">
        <v>3245</v>
      </c>
    </row>
    <row r="34" spans="1:11" hidden="1">
      <c r="A34" s="3174"/>
      <c r="B34" s="3176">
        <v>100</v>
      </c>
      <c r="C34" s="3176">
        <v>99</v>
      </c>
      <c r="D34">
        <v>2</v>
      </c>
      <c r="E34" s="3162" t="s">
        <v>3243</v>
      </c>
      <c r="F34" s="3162" t="s">
        <v>3244</v>
      </c>
      <c r="G34" s="3162" t="s">
        <v>3245</v>
      </c>
      <c r="H34" s="3162" t="s">
        <v>3247</v>
      </c>
    </row>
    <row r="35" spans="1:11" hidden="1">
      <c r="A35" s="3174"/>
      <c r="B35" s="3174"/>
      <c r="C35" s="3177">
        <f>C34/B34</f>
        <v>0.99</v>
      </c>
      <c r="E35" s="3162">
        <v>100</v>
      </c>
      <c r="F35" s="3162">
        <v>98</v>
      </c>
      <c r="G35" s="3162">
        <v>96</v>
      </c>
      <c r="H35" s="3162">
        <v>94</v>
      </c>
    </row>
    <row r="36" spans="1:11">
      <c r="A36" s="3175" t="s">
        <v>3248</v>
      </c>
      <c r="B36" s="3174">
        <f>[5]结果表!$C$34</f>
        <v>160969</v>
      </c>
      <c r="C36" s="3174">
        <f ca="1">ROUND(C39*10000/C30,0)</f>
        <v>7488</v>
      </c>
    </row>
    <row r="37" spans="1:11">
      <c r="A37" s="3175" t="s">
        <v>3249</v>
      </c>
      <c r="B37" s="3174">
        <f ca="1">[8]结果表!$C$33</f>
        <v>16818</v>
      </c>
      <c r="C37" s="3174">
        <f ca="1">ROUND(B37*C26*C29*C32,0)</f>
        <v>17982</v>
      </c>
      <c r="J37" s="3162" t="s">
        <v>3312</v>
      </c>
    </row>
    <row r="38" spans="1:11">
      <c r="A38" s="3175" t="s">
        <v>3274</v>
      </c>
      <c r="B38" s="3176">
        <f ca="1">ROUND(B39*10000/B41,0)</f>
        <v>22893</v>
      </c>
      <c r="C38" s="3176">
        <f ca="1">ROUND(C39*10000/C41,0)</f>
        <v>17981</v>
      </c>
      <c r="H38" s="3162" t="s">
        <v>3310</v>
      </c>
      <c r="I38" s="3181">
        <v>4100000000</v>
      </c>
      <c r="K38">
        <f>8200000+1400000000+2050000000+650000000</f>
        <v>4108200000</v>
      </c>
    </row>
    <row r="39" spans="1:11">
      <c r="A39" s="3175" t="s">
        <v>3250</v>
      </c>
      <c r="B39" s="3174">
        <f ca="1">[8]结果表!$G$19</f>
        <v>222750</v>
      </c>
      <c r="C39" s="3174">
        <f ca="1">ROUND(C37*C40/10000,0)</f>
        <v>2877</v>
      </c>
      <c r="D39">
        <f ca="1">B39+C39</f>
        <v>225627</v>
      </c>
      <c r="H39" s="3162" t="s">
        <v>3311</v>
      </c>
      <c r="I39">
        <f>I38*3.05%</f>
        <v>125050000</v>
      </c>
      <c r="J39" s="3162" t="s">
        <v>3313</v>
      </c>
      <c r="K39" s="3181">
        <f>43000000+80000000</f>
        <v>123000000</v>
      </c>
    </row>
    <row r="40" spans="1:11">
      <c r="A40" s="3175" t="s">
        <v>3251</v>
      </c>
      <c r="B40" s="3174">
        <f>'[5]数据-汇总表'!$E$3</f>
        <v>132450</v>
      </c>
      <c r="C40" s="3174">
        <f>'[6]数据-汇总表'!$E$3</f>
        <v>1600</v>
      </c>
    </row>
    <row r="41" spans="1:11">
      <c r="A41" s="3175" t="s">
        <v>3275</v>
      </c>
      <c r="B41" s="3174">
        <f>'[5]数据-汇总表'!$F$31</f>
        <v>97300</v>
      </c>
      <c r="C41" s="3174">
        <f>'[6]数据-汇总表'!$F$31</f>
        <v>1600</v>
      </c>
    </row>
    <row r="42" spans="1:11">
      <c r="A42" s="3175" t="s">
        <v>3276</v>
      </c>
      <c r="B42" s="3174">
        <f>'[5]数据-汇总表'!$G$31</f>
        <v>35150</v>
      </c>
      <c r="C42" s="3174">
        <v>0</v>
      </c>
    </row>
    <row r="43" spans="1:11">
      <c r="A43" s="3166" t="s">
        <v>3268</v>
      </c>
      <c r="B43" s="3165"/>
      <c r="C43" s="3165">
        <f>'[5]剩余法-待开发'!$D$8</f>
        <v>38352</v>
      </c>
    </row>
    <row r="44" spans="1:11">
      <c r="A44" s="3166" t="s">
        <v>3269</v>
      </c>
      <c r="B44" s="3165"/>
      <c r="C44" s="3165">
        <f>'[5]剩余法-待开发'!$C$8</f>
        <v>40420</v>
      </c>
    </row>
    <row r="45" spans="1:11">
      <c r="A45" s="3166" t="s">
        <v>3270</v>
      </c>
      <c r="B45" s="3165"/>
      <c r="C45" s="3165">
        <f>'[5]剩余法-待开发'!$E$8</f>
        <v>41312</v>
      </c>
    </row>
    <row r="46" spans="1:11">
      <c r="A46" s="3167" t="s">
        <v>3250</v>
      </c>
      <c r="B46" s="3163">
        <f ca="1">G17+D39</f>
        <v>1022148</v>
      </c>
    </row>
    <row r="51" spans="1:10">
      <c r="A51" s="3174"/>
      <c r="B51" s="3473" t="s">
        <v>3283</v>
      </c>
      <c r="C51" s="3474"/>
      <c r="D51" s="3474"/>
      <c r="E51" s="3474"/>
      <c r="F51" s="3175" t="s">
        <v>3304</v>
      </c>
      <c r="G51" s="3475" t="s">
        <v>3284</v>
      </c>
      <c r="H51" s="3476"/>
      <c r="I51" s="3178" t="s">
        <v>3305</v>
      </c>
      <c r="J51" s="3175" t="s">
        <v>3306</v>
      </c>
    </row>
    <row r="52" spans="1:10">
      <c r="A52" s="3174"/>
      <c r="B52" s="3175" t="s">
        <v>3285</v>
      </c>
      <c r="C52" s="3175" t="s">
        <v>3286</v>
      </c>
      <c r="D52" s="3175" t="s">
        <v>3287</v>
      </c>
      <c r="E52" s="3175" t="s">
        <v>3288</v>
      </c>
      <c r="F52" s="3174"/>
      <c r="G52" s="3175" t="s">
        <v>3289</v>
      </c>
      <c r="H52" s="3175" t="s">
        <v>3288</v>
      </c>
      <c r="I52" s="3174"/>
      <c r="J52" s="3174"/>
    </row>
    <row r="53" spans="1:10" ht="13.5" hidden="1" customHeight="1">
      <c r="A53" s="3174"/>
      <c r="B53" s="3174"/>
      <c r="C53" s="3174"/>
      <c r="D53" s="3174"/>
      <c r="E53" s="3174"/>
      <c r="F53" s="3174"/>
      <c r="G53" s="3174"/>
      <c r="H53" s="3174"/>
      <c r="I53" s="3174"/>
      <c r="J53" s="3174"/>
    </row>
    <row r="54" spans="1:10" ht="13.5" hidden="1" customHeight="1">
      <c r="A54" s="3174"/>
      <c r="B54" s="3174"/>
      <c r="C54" s="3174"/>
      <c r="D54" s="3174"/>
      <c r="E54" s="3174"/>
      <c r="F54" s="3174"/>
      <c r="G54" s="3174"/>
      <c r="H54" s="3174"/>
      <c r="I54" s="3174"/>
      <c r="J54" s="3174"/>
    </row>
    <row r="55" spans="1:10">
      <c r="A55" s="3175" t="s">
        <v>3290</v>
      </c>
      <c r="B55" s="3174">
        <f>'数据-汇总表'!F19</f>
        <v>40541</v>
      </c>
      <c r="C55" s="3174">
        <f>'数据-汇总表'!F20</f>
        <v>6550</v>
      </c>
      <c r="D55" s="3174">
        <v>0</v>
      </c>
      <c r="E55" s="3174">
        <f>'数据-汇总表'!F29</f>
        <v>1820</v>
      </c>
      <c r="F55" s="3174">
        <f>B55+C55+E55</f>
        <v>48911</v>
      </c>
      <c r="G55" s="3174">
        <f>'数据-汇总表'!G21</f>
        <v>17160</v>
      </c>
      <c r="H55" s="3174">
        <f>'数据-汇总表'!G30</f>
        <v>6740</v>
      </c>
      <c r="I55" s="3174">
        <f>G55+H55</f>
        <v>23900</v>
      </c>
      <c r="J55" s="3174">
        <f>I55+F55</f>
        <v>72811</v>
      </c>
    </row>
    <row r="56" spans="1:10">
      <c r="A56" s="3175" t="s">
        <v>3291</v>
      </c>
      <c r="B56" s="3174">
        <f>'[9]数据-汇总表'!$F$19</f>
        <v>37104</v>
      </c>
      <c r="C56" s="3174">
        <f>'[9]数据-汇总表'!$F$20</f>
        <v>7070</v>
      </c>
      <c r="D56" s="3174">
        <v>0</v>
      </c>
      <c r="E56" s="3174">
        <f>'[9]数据-汇总表'!$F$29</f>
        <v>340</v>
      </c>
      <c r="F56" s="3174">
        <f>B56+C56+E56</f>
        <v>44514</v>
      </c>
      <c r="G56" s="3174">
        <v>21500</v>
      </c>
      <c r="H56" s="3174">
        <v>0</v>
      </c>
      <c r="I56" s="3174">
        <f>G56+H56</f>
        <v>21500</v>
      </c>
      <c r="J56" s="3174">
        <f>I56+F56</f>
        <v>66014</v>
      </c>
    </row>
    <row r="57" spans="1:10" ht="16.5" customHeight="1">
      <c r="A57" s="3175" t="s">
        <v>3297</v>
      </c>
      <c r="B57" s="3174">
        <f>'[10]数据-汇总表'!$F$19</f>
        <v>37427.75</v>
      </c>
      <c r="C57" s="3174">
        <f>'[11]数据-基础表'!$K$13</f>
        <v>6820</v>
      </c>
      <c r="D57" s="3174">
        <v>0</v>
      </c>
      <c r="E57" s="3174">
        <f>'[11]数据-汇总表'!$F$29</f>
        <v>1530</v>
      </c>
      <c r="F57" s="3174">
        <f>B57+C57+E57</f>
        <v>45777.75</v>
      </c>
      <c r="G57" s="3174">
        <f>371*40</f>
        <v>14840</v>
      </c>
      <c r="H57" s="3174">
        <f>21500-G57</f>
        <v>6660</v>
      </c>
      <c r="I57" s="3174">
        <f>G57+H57</f>
        <v>21500</v>
      </c>
      <c r="J57" s="3174">
        <f>I57+F57</f>
        <v>67277.75</v>
      </c>
    </row>
    <row r="58" spans="1:10" ht="13.5" hidden="1" customHeight="1">
      <c r="A58" s="3175" t="s">
        <v>3293</v>
      </c>
      <c r="B58" s="3174">
        <f>'[9]数据-汇总表'!$F$19</f>
        <v>37104</v>
      </c>
      <c r="C58" s="3174">
        <f>'[9]数据-汇总表'!$F$20</f>
        <v>7070</v>
      </c>
      <c r="D58" s="3174"/>
      <c r="E58" s="3174">
        <f>'[9]数据-汇总表'!$F$29</f>
        <v>340</v>
      </c>
      <c r="F58" s="3174"/>
      <c r="G58" s="3174">
        <f>391*40</f>
        <v>15640</v>
      </c>
      <c r="H58" s="3174">
        <f>21500-G58</f>
        <v>5860</v>
      </c>
      <c r="I58" s="3174"/>
      <c r="J58" s="3174"/>
    </row>
    <row r="59" spans="1:10" ht="13.5" hidden="1" customHeight="1">
      <c r="A59" s="3175" t="s">
        <v>3292</v>
      </c>
      <c r="B59" s="3174"/>
      <c r="C59" s="3174"/>
      <c r="D59" s="3174"/>
      <c r="E59" s="3174"/>
      <c r="F59" s="3174"/>
      <c r="G59" s="3174"/>
      <c r="H59" s="3174"/>
      <c r="I59" s="3174"/>
      <c r="J59" s="3174"/>
    </row>
    <row r="60" spans="1:10" ht="13.5" hidden="1" customHeight="1">
      <c r="A60" s="3175" t="s">
        <v>3294</v>
      </c>
      <c r="B60" s="3174"/>
      <c r="C60" s="3174"/>
      <c r="D60" s="3174"/>
      <c r="E60" s="3174"/>
      <c r="F60" s="3174"/>
      <c r="G60" s="3174"/>
      <c r="H60" s="3174"/>
      <c r="I60" s="3174"/>
      <c r="J60" s="3174"/>
    </row>
    <row r="61" spans="1:10">
      <c r="A61" s="3175" t="s">
        <v>3298</v>
      </c>
      <c r="B61" s="3174">
        <f>'[12]数据-汇总表'!$F$19</f>
        <v>41417.25</v>
      </c>
      <c r="C61" s="3174">
        <f>'[12]数据-汇总表'!$F$20</f>
        <v>3200</v>
      </c>
      <c r="D61" s="3174">
        <v>0</v>
      </c>
      <c r="E61" s="3174">
        <f>'[12]数据-汇总表'!$F$30</f>
        <v>382</v>
      </c>
      <c r="F61" s="3174">
        <f>B61+C61+E61</f>
        <v>44999.25</v>
      </c>
      <c r="G61" s="3174">
        <f>379*40</f>
        <v>15160</v>
      </c>
      <c r="H61" s="3174">
        <f>22000-G61</f>
        <v>6840</v>
      </c>
      <c r="I61" s="3174">
        <f>G61+H61</f>
        <v>22000</v>
      </c>
      <c r="J61" s="3174">
        <f>I61+F61</f>
        <v>66999.25</v>
      </c>
    </row>
    <row r="62" spans="1:10">
      <c r="A62" s="3175" t="s">
        <v>3295</v>
      </c>
      <c r="B62" s="3174">
        <f>'[13]数据-汇总表'!$F$19</f>
        <v>56370</v>
      </c>
      <c r="C62" s="3174">
        <f>'[13]数据-汇总表'!$F$20</f>
        <v>24860</v>
      </c>
      <c r="D62" s="3174">
        <f>'[13]数据-汇总表'!$F$21</f>
        <v>34500</v>
      </c>
      <c r="E62" s="3174">
        <f>'[13]数据-汇总表'!$F$30</f>
        <v>1910</v>
      </c>
      <c r="F62" s="3174">
        <f>B62+C62+D62+E62</f>
        <v>117640</v>
      </c>
      <c r="G62" s="3174">
        <f>'[13]数据-汇总表'!$G$22</f>
        <v>63760</v>
      </c>
      <c r="H62" s="3174">
        <f>'[13]数据-汇总表'!$G$30</f>
        <v>19690</v>
      </c>
      <c r="I62" s="3174">
        <f>G62+H62</f>
        <v>83450</v>
      </c>
      <c r="J62" s="3174">
        <f>I62+F62</f>
        <v>201090</v>
      </c>
    </row>
    <row r="63" spans="1:10">
      <c r="A63" s="3175" t="s">
        <v>3296</v>
      </c>
      <c r="B63" s="3174">
        <v>0</v>
      </c>
      <c r="C63" s="3174">
        <f>'[14]数据-汇总表'!$F$19+'[14]数据-汇总表'!$F$20</f>
        <v>31730</v>
      </c>
      <c r="D63" s="3174">
        <f>'[14]数据-汇总表'!$F$21</f>
        <v>62550</v>
      </c>
      <c r="E63" s="3174">
        <f>'[14]数据-汇总表'!$F$30</f>
        <v>3020</v>
      </c>
      <c r="F63" s="3174">
        <f>C63+D63+E63</f>
        <v>97300</v>
      </c>
      <c r="G63" s="3174">
        <f>'[14]数据-汇总表'!$G$22</f>
        <v>21400</v>
      </c>
      <c r="H63" s="3174">
        <f>'[14]数据-汇总表'!$G$30</f>
        <v>13750</v>
      </c>
      <c r="I63" s="3174">
        <f>G63+H63</f>
        <v>35150</v>
      </c>
      <c r="J63" s="3174">
        <f>I63+F63</f>
        <v>132450</v>
      </c>
    </row>
    <row r="64" spans="1:10" ht="13.5" hidden="1" customHeight="1">
      <c r="A64" s="3175"/>
      <c r="B64" s="3174"/>
      <c r="C64" s="3174"/>
      <c r="D64" s="3174"/>
      <c r="E64" s="3174"/>
      <c r="F64" s="3174"/>
      <c r="G64" s="3174"/>
      <c r="H64" s="3174"/>
      <c r="I64" s="3174"/>
      <c r="J64" s="3174"/>
    </row>
    <row r="65" spans="1:10" ht="13.5" hidden="1" customHeight="1">
      <c r="A65" s="3175" t="s">
        <v>3299</v>
      </c>
      <c r="B65" s="3174"/>
      <c r="C65" s="3174"/>
      <c r="D65" s="3174"/>
      <c r="E65" s="3174"/>
      <c r="F65" s="3174"/>
      <c r="G65" s="3174"/>
      <c r="H65" s="3174"/>
      <c r="I65" s="3174"/>
      <c r="J65" s="3174"/>
    </row>
    <row r="66" spans="1:10" ht="13.5" hidden="1" customHeight="1">
      <c r="A66" s="3175" t="s">
        <v>3300</v>
      </c>
      <c r="B66" s="3174"/>
      <c r="C66" s="3174"/>
      <c r="D66" s="3174"/>
      <c r="E66" s="3174"/>
      <c r="F66" s="3174"/>
      <c r="G66" s="3174"/>
      <c r="H66" s="3174"/>
      <c r="I66" s="3174"/>
      <c r="J66" s="3174"/>
    </row>
    <row r="67" spans="1:10" ht="13.5" hidden="1" customHeight="1">
      <c r="A67" s="3175" t="s">
        <v>3301</v>
      </c>
      <c r="B67" s="3174"/>
      <c r="C67" s="3174"/>
      <c r="D67" s="3174"/>
      <c r="E67" s="3174"/>
      <c r="F67" s="3174"/>
      <c r="G67" s="3174"/>
      <c r="H67" s="3174"/>
      <c r="I67" s="3174"/>
      <c r="J67" s="3174"/>
    </row>
    <row r="68" spans="1:10">
      <c r="A68" s="3175" t="s">
        <v>3302</v>
      </c>
      <c r="B68" s="3174">
        <v>0</v>
      </c>
      <c r="C68" s="3174">
        <f>'[15]数据-汇总表'!$F$20</f>
        <v>1420</v>
      </c>
      <c r="D68" s="3174">
        <v>0</v>
      </c>
      <c r="E68" s="3174">
        <f>'[15]数据-汇总表'!$F$30</f>
        <v>180</v>
      </c>
      <c r="F68" s="3174">
        <f>C68+E68</f>
        <v>1600</v>
      </c>
      <c r="G68" s="3174">
        <v>0</v>
      </c>
      <c r="H68" s="3174">
        <v>0</v>
      </c>
      <c r="I68" s="3174">
        <f>G68+H68</f>
        <v>0</v>
      </c>
      <c r="J68" s="3174">
        <f>I68+F68</f>
        <v>1600</v>
      </c>
    </row>
    <row r="69" spans="1:10">
      <c r="A69" s="3175" t="s">
        <v>3303</v>
      </c>
      <c r="B69" s="3174">
        <f>B55+B56+B57+B61+B62+B63+B68</f>
        <v>212860</v>
      </c>
      <c r="C69" s="3174">
        <f>C55+C56+C57+C61+C62+C63+C68</f>
        <v>81650</v>
      </c>
      <c r="D69" s="3174">
        <f>D62+D63+D55+D56+D57+D61+D68</f>
        <v>97050</v>
      </c>
      <c r="E69" s="3174">
        <f>E55+E56+E57+E61+E62+E63+E68</f>
        <v>9182</v>
      </c>
      <c r="F69" s="3174">
        <f>B69+C69+D69+E69</f>
        <v>400742</v>
      </c>
      <c r="G69" s="3174">
        <f>G55+G56+G57+G61+G62+G63+G68</f>
        <v>153820</v>
      </c>
      <c r="H69" s="3174">
        <f>H55+H56+H57+H61+H62+H63+H68</f>
        <v>53680</v>
      </c>
      <c r="I69" s="3174">
        <f>G69+H69</f>
        <v>207500</v>
      </c>
      <c r="J69" s="3174">
        <f>F69+I69</f>
        <v>608242</v>
      </c>
    </row>
    <row r="70" spans="1:10">
      <c r="A70" s="3174"/>
      <c r="B70" s="3174"/>
      <c r="C70" s="3174"/>
      <c r="D70" s="3174"/>
      <c r="E70" s="3174"/>
      <c r="F70" s="3174"/>
      <c r="G70" s="3174"/>
      <c r="H70" s="3174"/>
      <c r="I70" s="3174"/>
      <c r="J70" s="3174"/>
    </row>
    <row r="71" spans="1:10">
      <c r="A71" s="3174"/>
      <c r="B71" s="3174"/>
      <c r="C71" s="3174"/>
      <c r="D71" s="3174"/>
      <c r="E71" s="3174"/>
      <c r="F71" s="3174"/>
      <c r="G71" s="3174"/>
      <c r="H71" s="3174"/>
      <c r="I71" s="3174"/>
      <c r="J71" s="3174"/>
    </row>
    <row r="72" spans="1:10">
      <c r="A72" s="3174"/>
      <c r="B72" s="3174"/>
      <c r="C72" s="3174"/>
      <c r="D72" s="3174"/>
      <c r="E72" s="3174"/>
      <c r="F72" s="3174"/>
      <c r="G72" s="3174"/>
      <c r="H72" s="3174"/>
      <c r="I72" s="3174"/>
      <c r="J72" s="3174"/>
    </row>
    <row r="73" spans="1:10">
      <c r="A73" s="3174"/>
      <c r="B73" s="3174"/>
      <c r="C73" s="3174"/>
      <c r="D73" s="3174"/>
      <c r="E73" s="3174"/>
      <c r="F73" s="3174"/>
      <c r="G73" s="3174"/>
      <c r="H73" s="3174"/>
      <c r="I73" s="3174"/>
      <c r="J73" s="3174"/>
    </row>
  </sheetData>
  <mergeCells count="2">
    <mergeCell ref="B51:E51"/>
    <mergeCell ref="G51:H51"/>
  </mergeCells>
  <phoneticPr fontId="233" type="noConversion"/>
  <printOptions horizontalCentered="1" verticalCentered="1"/>
  <pageMargins left="0.70866141732283472" right="0.70866141732283472" top="0.74803149606299213" bottom="0.74803149606299213" header="0.31496062992125984" footer="0.31496062992125984"/>
  <pageSetup paperSize="9" scale="9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2046</v>
      </c>
      <c r="B1" s="3186"/>
      <c r="C1" s="3186"/>
      <c r="D1" s="3186"/>
      <c r="E1" s="3186"/>
      <c r="F1" s="3186"/>
      <c r="G1" s="3186"/>
      <c r="H1" s="3186"/>
      <c r="I1" s="3186"/>
      <c r="J1" s="3186"/>
      <c r="K1" s="3186"/>
      <c r="L1" s="3186"/>
      <c r="M1" s="3186"/>
      <c r="N1" s="3186"/>
      <c r="O1" s="3186"/>
      <c r="P1" s="3186"/>
      <c r="Q1" s="3186"/>
      <c r="R1" s="3186"/>
    </row>
    <row r="2" spans="1:18">
      <c r="A2" s="1814" t="s">
        <v>2048</v>
      </c>
      <c r="B2" s="1814"/>
      <c r="C2" s="1814"/>
      <c r="D2" s="1814"/>
      <c r="E2" s="1814"/>
      <c r="F2" s="1814"/>
      <c r="G2" s="1814"/>
      <c r="H2" s="1814"/>
      <c r="I2" s="1815"/>
      <c r="J2" s="1815"/>
      <c r="K2" s="1816" t="str">
        <f>"估价期日："&amp;TEXT(项目基本情况!D3,"yyyy年m月d日;;")</f>
        <v>估价期日：2017年10月30日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87" t="s">
        <v>2037</v>
      </c>
      <c r="B3" s="3187" t="s">
        <v>2746</v>
      </c>
      <c r="C3" s="3188" t="s">
        <v>2038</v>
      </c>
      <c r="D3" s="3187" t="s">
        <v>2750</v>
      </c>
      <c r="E3" s="3190" t="s">
        <v>2039</v>
      </c>
      <c r="F3" s="3190"/>
      <c r="G3" s="3190"/>
      <c r="H3" s="3190" t="s">
        <v>2040</v>
      </c>
      <c r="I3" s="3190"/>
      <c r="J3" s="3190"/>
      <c r="K3" s="3188" t="s">
        <v>2041</v>
      </c>
      <c r="L3" s="3188" t="s">
        <v>2042</v>
      </c>
      <c r="M3" s="3187" t="s">
        <v>2747</v>
      </c>
      <c r="N3" s="3189" t="str">
        <f>"（分摊）"&amp;项目基本情况!B16&amp;"国有建设用地使用权面积/㎡"</f>
        <v>（分摊）出让国有建设用地使用权面积/㎡</v>
      </c>
      <c r="O3" s="3187" t="s">
        <v>2071</v>
      </c>
      <c r="P3" s="3188" t="s">
        <v>2051</v>
      </c>
      <c r="Q3" s="3188" t="s">
        <v>2072</v>
      </c>
      <c r="R3" s="3188" t="s">
        <v>2043</v>
      </c>
    </row>
    <row r="4" spans="1:18" ht="36.75" customHeight="1">
      <c r="A4" s="3187"/>
      <c r="B4" s="3187"/>
      <c r="C4" s="3188"/>
      <c r="D4" s="3187"/>
      <c r="E4" s="2686" t="s">
        <v>2050</v>
      </c>
      <c r="F4" s="2686" t="s">
        <v>2759</v>
      </c>
      <c r="G4" s="2686" t="s">
        <v>2044</v>
      </c>
      <c r="H4" s="2686" t="s">
        <v>2045</v>
      </c>
      <c r="I4" s="2686" t="s">
        <v>2760</v>
      </c>
      <c r="J4" s="2686" t="s">
        <v>2044</v>
      </c>
      <c r="K4" s="3188"/>
      <c r="L4" s="3188"/>
      <c r="M4" s="3187"/>
      <c r="N4" s="3189"/>
      <c r="O4" s="3187"/>
      <c r="P4" s="3188"/>
      <c r="Q4" s="3188"/>
      <c r="R4" s="3188"/>
    </row>
    <row r="5" spans="1:18" ht="135" customHeight="1">
      <c r="A5" s="1950" t="s">
        <v>2670</v>
      </c>
      <c r="B5" s="2907" t="s">
        <v>2668</v>
      </c>
      <c r="C5" s="2685">
        <v>22</v>
      </c>
      <c r="D5" s="2684" t="s">
        <v>2669</v>
      </c>
      <c r="E5" s="1817" t="str">
        <f>项目基本情况!B12</f>
        <v>城镇住宅用地</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19564.599999999999</v>
      </c>
      <c r="O5" s="1817">
        <f>项目基本情况!C21</f>
        <v>72811</v>
      </c>
      <c r="P5" s="1817">
        <f ca="1">结果表!E42</f>
        <v>66358</v>
      </c>
      <c r="Q5" s="1817">
        <f ca="1">结果表!D42</f>
        <v>17831</v>
      </c>
      <c r="R5" s="1818">
        <f ca="1">结果表!C42</f>
        <v>129827</v>
      </c>
    </row>
    <row r="6" spans="1:18">
      <c r="A6" s="3183" t="s">
        <v>2004</v>
      </c>
      <c r="B6" s="3184"/>
      <c r="C6" s="3184"/>
      <c r="D6" s="3184"/>
      <c r="E6" s="3184"/>
      <c r="F6" s="3184"/>
      <c r="G6" s="3184"/>
      <c r="H6" s="3184"/>
      <c r="I6" s="3184"/>
      <c r="J6" s="3184"/>
      <c r="K6" s="3184"/>
      <c r="L6" s="3184"/>
      <c r="M6" s="3184"/>
      <c r="N6" s="3184"/>
      <c r="O6" s="3184"/>
      <c r="P6" s="3184"/>
      <c r="Q6" s="3185"/>
      <c r="R6" s="1819">
        <f ca="1">结果表!O39</f>
        <v>129827</v>
      </c>
    </row>
    <row r="7" spans="1:18">
      <c r="A7" s="3183" t="str">
        <f>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9" t="str">
        <f>结果表!O40</f>
        <v>——</v>
      </c>
    </row>
    <row r="8" spans="1:18">
      <c r="A8" s="3183">
        <f>项目基本情况!E9</f>
        <v>0</v>
      </c>
      <c r="B8" s="3184"/>
      <c r="C8" s="3184"/>
      <c r="D8" s="3184"/>
      <c r="E8" s="3184"/>
      <c r="F8" s="3184"/>
      <c r="G8" s="3184"/>
      <c r="H8" s="3184"/>
      <c r="I8" s="3184"/>
      <c r="J8" s="3184"/>
      <c r="K8" s="3184"/>
      <c r="L8" s="3184"/>
      <c r="M8" s="3184"/>
      <c r="N8" s="3184"/>
      <c r="O8" s="3184"/>
      <c r="P8" s="3184"/>
      <c r="Q8" s="3185"/>
      <c r="R8" s="1819" t="str">
        <f>结果表!O41</f>
        <v>——</v>
      </c>
    </row>
    <row r="9" spans="1:18">
      <c r="A9" s="1820" t="s">
        <v>2049</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2036</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91" t="s">
        <v>2073</v>
      </c>
      <c r="B1" s="3191"/>
      <c r="C1" s="3191"/>
      <c r="D1" s="3191"/>
    </row>
    <row r="2" spans="1:4" ht="47.25" customHeight="1">
      <c r="A2" s="3195" t="str">
        <f>"1.权利限制："&amp;项目基本情况!L24&amp;"未设定租赁等其他他项权利。"</f>
        <v>1.权利限制：根据估价对象《不动产权证书》复印件、，截至估价期日，估价对象抵押权未见登记。未设定租赁等其他他项权利。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3.估价规划限制条件：详见《总平图》。</v>
      </c>
      <c r="B4" s="3191"/>
      <c r="C4" s="3191"/>
      <c r="D4" s="3191"/>
    </row>
    <row r="5" spans="1:4">
      <c r="A5" s="3194" t="s">
        <v>2074</v>
      </c>
      <c r="B5" s="3194"/>
      <c r="C5" s="3194"/>
      <c r="D5" s="3194"/>
    </row>
    <row r="6" spans="1:4">
      <c r="A6" s="3191" t="s">
        <v>2052</v>
      </c>
      <c r="B6" s="3191"/>
      <c r="C6" s="3191"/>
      <c r="D6" s="3191"/>
    </row>
    <row r="7" spans="1:4" ht="33" customHeight="1">
      <c r="A7" s="3191" t="s">
        <v>2587</v>
      </c>
      <c r="B7" s="3191"/>
      <c r="C7" s="3191"/>
      <c r="D7" s="3191"/>
    </row>
    <row r="8" spans="1:4" ht="32.25" customHeight="1">
      <c r="A8" s="3191" t="str">
        <f>IF(项目基本情况!B8="抵押","2.本《评估意见函》仅供金融机构进行内部审核使用，不做其他目的之用。","")</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（1）根据估价对象《不动产权证书》复印件、，截至估价期日，估价对象抵押权未见登记。</v>
      </c>
      <c r="B11" s="3193"/>
      <c r="C11" s="3193"/>
      <c r="D11" s="3193"/>
    </row>
    <row r="12" spans="1:4" ht="168" customHeight="1">
      <c r="A12" s="3194" t="s">
        <v>2076</v>
      </c>
      <c r="B12" s="3194"/>
      <c r="C12" s="3194"/>
      <c r="D12" s="3194"/>
    </row>
    <row r="13" spans="1:4">
      <c r="A13" s="3192" t="s">
        <v>2761</v>
      </c>
      <c r="B13" s="3192"/>
      <c r="C13" s="3192"/>
      <c r="D13" s="3192"/>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2717</v>
      </c>
      <c r="B17" s="3191"/>
      <c r="C17" s="3191"/>
      <c r="D17" s="3191"/>
    </row>
    <row r="18" spans="1:4">
      <c r="A18" s="3191" t="s">
        <v>2709</v>
      </c>
      <c r="B18" s="3191"/>
      <c r="C18" s="3191"/>
      <c r="D18" s="3191"/>
    </row>
    <row r="19" spans="1:4">
      <c r="A19" s="2908" t="s">
        <v>2710</v>
      </c>
      <c r="B19" s="2908" t="s">
        <v>2711</v>
      </c>
      <c r="C19" s="2908" t="s">
        <v>2712</v>
      </c>
      <c r="D19" s="2908" t="s">
        <v>2713</v>
      </c>
    </row>
    <row r="20" spans="1:4">
      <c r="A20" s="2908" t="str">
        <f>项目基本情况!B4</f>
        <v>吴薇</v>
      </c>
      <c r="B20" s="2908">
        <f ca="1">项目基本情况!C4</f>
        <v>2002110125</v>
      </c>
      <c r="C20" s="2910"/>
      <c r="D20" s="1807" t="s">
        <v>2718</v>
      </c>
    </row>
    <row r="21" spans="1:4">
      <c r="A21" s="2908" t="str">
        <f>项目基本情况!D4</f>
        <v>梁津</v>
      </c>
      <c r="B21" s="2908">
        <f ca="1">项目基本情况!E4</f>
        <v>96010014</v>
      </c>
      <c r="C21" s="2910"/>
      <c r="D21" s="1807" t="s">
        <v>2719</v>
      </c>
    </row>
    <row r="23" spans="1:4">
      <c r="A23" s="3191" t="s">
        <v>2714</v>
      </c>
      <c r="B23" s="3191"/>
      <c r="C23" s="3191"/>
      <c r="D23" s="3191"/>
    </row>
    <row r="24" spans="1:4">
      <c r="A24" s="2908" t="s">
        <v>2710</v>
      </c>
      <c r="B24" s="2908" t="s">
        <v>2715</v>
      </c>
      <c r="C24" s="2908" t="s">
        <v>2712</v>
      </c>
      <c r="D24" s="2908" t="s">
        <v>2713</v>
      </c>
    </row>
    <row r="25" spans="1:4">
      <c r="A25" s="2911" t="s">
        <v>2716</v>
      </c>
      <c r="B25" s="2908" t="s">
        <v>955</v>
      </c>
      <c r="C25" s="2910"/>
      <c r="D25" s="1807" t="s">
        <v>2719</v>
      </c>
    </row>
    <row r="29" spans="1:4">
      <c r="D29" s="2909" t="s">
        <v>2047</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03" t="s">
        <v>53</v>
      </c>
      <c r="B15" s="3204" t="s">
        <v>849</v>
      </c>
      <c r="C15" s="3200"/>
    </row>
    <row r="16" spans="1:7" ht="14.25">
      <c r="A16" s="3203"/>
      <c r="B16" s="3201" t="s">
        <v>54</v>
      </c>
      <c r="C16" s="1175" t="s">
        <v>53</v>
      </c>
    </row>
    <row r="17" spans="1:3" ht="14.25">
      <c r="A17" s="3203"/>
      <c r="B17" s="3201"/>
      <c r="C17" s="1175" t="s">
        <v>55</v>
      </c>
    </row>
    <row r="18" spans="1:3" ht="14.25">
      <c r="A18" s="3203"/>
      <c r="B18" s="3201"/>
      <c r="C18" s="1175" t="s">
        <v>56</v>
      </c>
    </row>
    <row r="19" spans="1:3" ht="14.25">
      <c r="A19" s="3203"/>
      <c r="B19" s="3199" t="s">
        <v>57</v>
      </c>
      <c r="C19" s="3200"/>
    </row>
    <row r="20" spans="1:3" ht="14.25">
      <c r="A20" s="1176" t="s">
        <v>58</v>
      </c>
      <c r="B20" s="1177"/>
      <c r="C20" s="1178"/>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9" t="s">
        <v>840</v>
      </c>
    </row>
    <row r="25" spans="1:3" ht="14.25">
      <c r="A25" s="3202"/>
      <c r="B25" s="3206"/>
      <c r="C25" s="1179" t="s">
        <v>841</v>
      </c>
    </row>
    <row r="26" spans="1:3" ht="14.25">
      <c r="A26" s="3202"/>
      <c r="B26" s="3206"/>
      <c r="C26" s="1179" t="s">
        <v>842</v>
      </c>
    </row>
    <row r="27" spans="1:3" ht="14.25">
      <c r="A27" s="3202"/>
      <c r="B27" s="3206"/>
      <c r="C27" s="1179" t="s">
        <v>843</v>
      </c>
    </row>
    <row r="28" spans="1:3" ht="14.25">
      <c r="A28" s="3202"/>
      <c r="B28" s="3206"/>
      <c r="C28" s="1179" t="s">
        <v>844</v>
      </c>
    </row>
    <row r="29" spans="1:3" ht="14.25">
      <c r="A29" s="3202"/>
      <c r="B29" s="3206"/>
      <c r="C29" s="1179" t="s">
        <v>845</v>
      </c>
    </row>
    <row r="30" spans="1:3" ht="14.25">
      <c r="A30" s="3202"/>
      <c r="B30" s="3206"/>
      <c r="C30" s="1179" t="s">
        <v>846</v>
      </c>
    </row>
    <row r="31" spans="1:3" ht="14.25">
      <c r="A31" s="3202"/>
      <c r="B31" s="3206"/>
      <c r="C31" s="1179" t="s">
        <v>847</v>
      </c>
    </row>
    <row r="32" spans="1:3" ht="14.25">
      <c r="A32" s="3202"/>
      <c r="B32" s="3206"/>
      <c r="C32" s="1179" t="s">
        <v>1650</v>
      </c>
    </row>
    <row r="33" spans="1:3" ht="14.25">
      <c r="A33" s="3202"/>
      <c r="B33" s="3196" t="s">
        <v>1656</v>
      </c>
      <c r="C33" s="1179" t="s">
        <v>1651</v>
      </c>
    </row>
    <row r="34" spans="1:3" ht="14.25">
      <c r="A34" s="3202"/>
      <c r="B34" s="3197"/>
      <c r="C34" s="1184" t="s">
        <v>1652</v>
      </c>
    </row>
    <row r="35" spans="1:3" ht="14.25">
      <c r="A35" s="3202"/>
      <c r="B35" s="3197"/>
      <c r="C35" s="1185" t="s">
        <v>1653</v>
      </c>
    </row>
    <row r="36" spans="1:3" ht="14.25">
      <c r="A36" s="3202"/>
      <c r="B36" s="3197"/>
      <c r="C36" s="1185" t="s">
        <v>1654</v>
      </c>
    </row>
    <row r="37" spans="1:3" ht="14.25">
      <c r="A37" s="3202"/>
      <c r="B37" s="3198"/>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43045</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t="str">
        <f ca="1">IF(C16&lt;B2,"已过期",1120140022)</f>
        <v>已过期</v>
      </c>
      <c r="C16" s="3046">
        <v>42987</v>
      </c>
      <c r="D16" s="2354" t="s">
        <v>1929</v>
      </c>
      <c r="E16" s="2354">
        <f ca="1">IF(F16&lt;B2,"已过期",2008110059)</f>
        <v>2008110059</v>
      </c>
      <c r="F16" s="3047">
        <v>47177</v>
      </c>
    </row>
    <row r="17" spans="1:7" ht="20.25" customHeight="1">
      <c r="A17" s="2354" t="s">
        <v>1930</v>
      </c>
      <c r="B17" s="2354" t="str">
        <f ca="1">IF(C17&lt;B2,"已过期",1120140020)</f>
        <v>已过期</v>
      </c>
      <c r="C17" s="3046">
        <v>42987</v>
      </c>
      <c r="D17" s="2354"/>
      <c r="E17" s="2354"/>
      <c r="F17" s="3047"/>
    </row>
    <row r="18" spans="1:7" ht="20.25" customHeight="1">
      <c r="A18" s="2354" t="s">
        <v>1931</v>
      </c>
      <c r="B18" s="2354" t="str">
        <f ca="1">IF(C18&lt;B2,"已过期",1120140024)</f>
        <v>已过期</v>
      </c>
      <c r="C18" s="3046">
        <v>42987</v>
      </c>
      <c r="D18" s="2354" t="s">
        <v>1931</v>
      </c>
      <c r="E18" s="2354">
        <f ca="1">IF(F18&lt;B2,"已过期",2011110048)</f>
        <v>2011110048</v>
      </c>
      <c r="F18" s="3047">
        <v>48302</v>
      </c>
    </row>
    <row r="19" spans="1:7" ht="20.25" customHeight="1">
      <c r="A19" s="2354" t="s">
        <v>1932</v>
      </c>
      <c r="B19" s="2354" t="str">
        <f ca="1">IF(C19&lt;B2,"已过期",1120140019)</f>
        <v>已过期</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2061</v>
      </c>
      <c r="B24" s="2356" t="s">
        <v>2061</v>
      </c>
      <c r="C24" s="3046"/>
      <c r="D24" s="3048" t="s">
        <v>2061</v>
      </c>
      <c r="E24" s="2356" t="s">
        <v>2061</v>
      </c>
      <c r="F24" s="2357"/>
    </row>
    <row r="25" spans="1:7" ht="20.25" customHeight="1">
      <c r="A25" s="3207" t="s">
        <v>1936</v>
      </c>
      <c r="B25" s="3207"/>
      <c r="C25" s="3207"/>
      <c r="D25" s="3207"/>
      <c r="E25" s="3207"/>
      <c r="F25" s="3207"/>
      <c r="G25" s="3207"/>
    </row>
    <row r="26" spans="1:7" ht="20.25" customHeight="1">
      <c r="A26" s="3208" t="s">
        <v>1937</v>
      </c>
      <c r="B26" s="3208"/>
      <c r="C26" s="3208"/>
      <c r="D26" s="3208" t="s">
        <v>1938</v>
      </c>
      <c r="E26" s="3208"/>
      <c r="F26" s="3208"/>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2311</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0" sqref="Z2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2002</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3280</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市河东区津滨大道与东兴立交桥交口东北侧（地块一）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1994</v>
      </c>
      <c r="B52" s="1775" t="s">
        <v>1995</v>
      </c>
      <c r="C52" s="1773" t="s">
        <v>1996</v>
      </c>
      <c r="D52" s="1773" t="s">
        <v>1997</v>
      </c>
      <c r="E52" s="1774"/>
    </row>
    <row r="53" spans="1:5">
      <c r="A53" s="3209" t="s">
        <v>1998</v>
      </c>
      <c r="B53" s="1773" t="s">
        <v>2005</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剩余土地使用年限为的出让国有建设用地使用权价格。</v>
      </c>
      <c r="D53" s="1774"/>
      <c r="E53" s="1774"/>
    </row>
    <row r="54" spans="1:5">
      <c r="A54" s="3209"/>
      <c r="B54" s="1773" t="s">
        <v>2006</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209"/>
      <c r="B55" s="1773" t="s">
        <v>1999</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209"/>
      <c r="B56" s="1773" t="s">
        <v>2000</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209"/>
      <c r="B57" s="1773" t="s">
        <v>2001</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2057</v>
      </c>
      <c r="B58" s="1773" t="s">
        <v>2058</v>
      </c>
      <c r="C58" s="11" t="s">
        <v>2059</v>
      </c>
      <c r="D58" s="1322" t="s">
        <v>2060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130</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不动产收益法 (2)</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修正表</vt:lpstr>
      <vt:lpstr>修正表 (2)</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2017-09-11T02:49:13Z</cp:lastPrinted>
  <dcterms:created xsi:type="dcterms:W3CDTF">2015-07-13T07:17:23Z</dcterms:created>
  <dcterms:modified xsi:type="dcterms:W3CDTF">2017-11-06T02:39:24Z</dcterms:modified>
</cp:coreProperties>
</file>