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F4" i="61"/>
  <c r="D20" i="57"/>
  <c r="E2" i="37"/>
  <c r="E2" i="33"/>
  <c r="E2" i="34"/>
  <c r="E2" i="35"/>
  <c r="D19" i="57"/>
  <c r="H23" i="31"/>
  <c r="F6" i="61"/>
  <c r="F3" i="61"/>
  <c r="D7" i="61"/>
  <c r="D5" i="61"/>
  <c r="G1" i="61"/>
  <c r="F5" i="61"/>
  <c r="E2" i="11"/>
  <c r="C19" i="9"/>
  <c r="C20" i="9"/>
  <c r="C19" i="57"/>
  <c r="E2" i="36"/>
  <c r="C20" i="57"/>
  <c r="G20" i="57"/>
  <c r="C103" i="57"/>
  <c r="B2" i="36"/>
  <c r="B3" i="36"/>
  <c r="C102" i="57"/>
  <c r="D22" i="57"/>
  <c r="G19" i="57"/>
  <c r="C102" i="9"/>
  <c r="C101" i="9"/>
  <c r="E27" i="1"/>
  <c r="D102" i="57"/>
  <c r="B2" i="35"/>
  <c r="B2" i="34"/>
  <c r="B3" i="34"/>
  <c r="B2" i="33"/>
  <c r="B3" i="33"/>
  <c r="B2" i="37"/>
  <c r="B3" i="37"/>
  <c r="D103" i="57"/>
  <c r="I1" i="61"/>
  <c r="B30" i="1"/>
  <c r="E20" i="43"/>
  <c r="B18" i="49"/>
  <c r="B4" i="60"/>
  <c r="P17" i="43"/>
  <c r="N17" i="43"/>
  <c r="O17" i="43"/>
  <c r="M17" i="43"/>
  <c r="F22" i="11"/>
  <c r="F24" i="15"/>
  <c r="F25" i="12"/>
  <c r="M11" i="15"/>
  <c r="J10" i="15"/>
  <c r="J5" i="15"/>
  <c r="F11" i="15"/>
  <c r="C105" i="57"/>
  <c r="C104" i="57"/>
  <c r="J17" i="15"/>
  <c r="J24" i="15"/>
  <c r="J26" i="15"/>
  <c r="J29" i="15"/>
  <c r="C24" i="15"/>
  <c r="C23" i="15"/>
  <c r="C29" i="15"/>
  <c r="C10" i="15"/>
  <c r="C5" i="15"/>
  <c r="C54" i="15"/>
  <c r="C49" i="15"/>
  <c r="C26" i="12"/>
  <c r="D25" i="12"/>
  <c r="C27" i="12"/>
  <c r="C25" i="12"/>
  <c r="C32" i="12"/>
  <c r="C44" i="11"/>
  <c r="D41" i="11"/>
  <c r="C26" i="11"/>
  <c r="D22" i="11"/>
  <c r="C23" i="11"/>
  <c r="C43" i="11"/>
  <c r="C25" i="11"/>
  <c r="C24" i="11"/>
  <c r="C42" i="11"/>
  <c r="B3" i="12"/>
  <c r="B2" i="12"/>
  <c r="C67" i="15"/>
  <c r="C60" i="15"/>
  <c r="Q47" i="15"/>
  <c r="C58" i="15"/>
  <c r="C65" i="15"/>
  <c r="J14" i="15"/>
  <c r="C13" i="15"/>
  <c r="C36" i="15"/>
  <c r="C41" i="11"/>
  <c r="C49" i="11"/>
  <c r="C51" i="11"/>
  <c r="C22" i="11"/>
  <c r="C31" i="11"/>
  <c r="C52" i="11"/>
  <c r="C38" i="15"/>
  <c r="C31" i="15"/>
  <c r="B3" i="11"/>
  <c r="B2" i="11"/>
  <c r="J13" i="15"/>
  <c r="J23" i="15"/>
  <c r="J22" i="15"/>
  <c r="C56" i="11"/>
  <c r="C57" i="11"/>
  <c r="Q68" i="15"/>
  <c r="C57" i="15"/>
  <c r="C66" i="15"/>
  <c r="J34" i="15"/>
  <c r="C37" i="15"/>
  <c r="C30" i="15"/>
  <c r="C39" i="15"/>
  <c r="C59" i="15"/>
  <c r="C68" i="15"/>
  <c r="C69" i="15"/>
  <c r="Q67" i="15"/>
  <c r="Q66" i="15"/>
  <c r="C40" i="15"/>
  <c r="C72" i="15"/>
  <c r="C47" i="15"/>
  <c r="J38" i="15"/>
  <c r="J39" i="15"/>
  <c r="J16" i="15"/>
  <c r="J25" i="15"/>
  <c r="E2" i="21"/>
  <c r="L52" i="15"/>
  <c r="Q45" i="15"/>
  <c r="Q51" i="15"/>
  <c r="Q54" i="15"/>
  <c r="Q60" i="15"/>
  <c r="B3" i="15"/>
  <c r="C43" i="15"/>
  <c r="B2" i="15"/>
  <c r="Q63" i="15"/>
  <c r="Q73" i="15"/>
  <c r="J41" i="15"/>
  <c r="D20" i="9"/>
  <c r="D19" i="9"/>
  <c r="D101" i="9"/>
  <c r="D22" i="9"/>
  <c r="G19" i="9"/>
  <c r="D102" i="9"/>
  <c r="G20"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<sst xmlns="http://schemas.openxmlformats.org/spreadsheetml/2006/main" count="6884" uniqueCount="2908">
  <si>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</si>
  <si>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</si>
  <si>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</si>
  <si>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</si>
  <si>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</si>
  <si>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</si>
  <si>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</si>
  <si>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</si>
  <si>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</si>
  <si>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</si>
  <si>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</si>
  <si>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</si>
  <si>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</si>
  <si>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</si>
  <si>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</si>
  <si>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</si>
  <si>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</si>
  <si>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</si>
  <si>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</si>
  <si>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</si>
  <si>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</si>
  <si>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</si>
  <si>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</si>
  <si>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</si>
  <si>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</si>
  <si>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</si>
  <si>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</si>
  <si>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</si>
  <si>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</si>
  <si>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</si>
  <si>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</si>
  <si>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</si>
  <si>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</si>
  <si>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</si>
  <si>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</si>
  <si>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</si>
  <si>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</si>
  <si>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</si>
  <si>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</si>
  <si>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</si>
  <si>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</si>
  <si>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</si>
  <si>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</si>
  <si>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</si>
  <si>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</si>
  <si>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</si>
  <si>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</si>
  <si>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</si>
  <si>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</si>
  <si>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</si>
  <si>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</si>
  <si>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</si>
  <si>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</si>
  <si>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</si>
  <si>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</si>
  <si>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</si>
  <si>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</si>
  <si>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</si>
  <si>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</si>
  <si>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</si>
  <si>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</si>
  <si>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</si>
  <si>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</si>
  <si>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</si>
  <si>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</si>
  <si>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</si>
  <si>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</si>
  <si>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</si>
  <si>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</si>
  <si>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</si>
  <si>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</si>
  <si>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</si>
  <si>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</si>
  <si>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</si>
  <si>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</si>
  <si>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</si>
  <si>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</si>
  <si>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</si>
  <si>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</si>
  <si>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</si>
  <si>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</si>
  <si>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</si>
  <si>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</si>
  <si>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</si>
  <si>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</si>
  <si>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</si>
  <si>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</si>
  <si>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</si>
  <si>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</si>
  <si>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</si>
  <si>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</si>
  <si>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</si>
  <si>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</si>
  <si>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</si>
  <si>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</si>
  <si>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</si>
  <si>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</si>
  <si>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</si>
  <si>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</si>
  <si>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</si>
  <si>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</si>
  <si>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</si>
  <si>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</si>
  <si>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</si>
  <si>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</si>
  <si>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</si>
  <si>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</si>
  <si>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</si>
  <si>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</si>
  <si>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</si>
  <si>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</si>
  <si>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</si>
  <si>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</si>
  <si>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</si>
  <si>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</si>
  <si>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</si>
  <si>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</si>
  <si>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</si>
  <si>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</si>
  <si>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</si>
  <si>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</si>
  <si>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</si>
  <si>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</si>
  <si>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</si>
  <si>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</si>
  <si>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</si>
  <si>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</si>
  <si>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</si>
  <si>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</si>
  <si>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</si>
  <si>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</si>
  <si>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</si>
  <si>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</si>
  <si>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</si>
  <si>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</si>
  <si>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</si>
  <si>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</si>
  <si>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</si>
  <si>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</si>
  <si>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</si>
  <si>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</si>
  <si>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</si>
  <si>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</si>
  <si>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</si>
  <si>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</si>
  <si>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</si>
  <si>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</si>
  <si>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</si>
  <si>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</si>
  <si>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</si>
  <si>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</si>
  <si>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</si>
  <si>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</si>
  <si>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</si>
  <si>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</si>
  <si>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</si>
  <si>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</si>
  <si>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</si>
  <si>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</si>
  <si>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</si>
  <si>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</si>
  <si>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</si>
  <si>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</si>
  <si>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</si>
  <si>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</si>
  <si>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</si>
  <si>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</si>
  <si>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</si>
  <si>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</si>
  <si>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</si>
  <si>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</si>
  <si>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</si>
  <si>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</si>
  <si>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</si>
  <si>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</si>
  <si>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</si>
  <si>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</si>
  <si>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</si>
  <si>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</si>
  <si>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</si>
  <si>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</si>
  <si>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</si>
  <si>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</si>
  <si>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</si>
  <si>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</si>
  <si>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</si>
  <si>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</si>
  <si>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</si>
  <si>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</si>
  <si>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</si>
  <si>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</si>
  <si>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</si>
  <si>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</si>
  <si>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</si>
  <si>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</si>
  <si>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</si>
  <si>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</si>
  <si>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</si>
  <si>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</si>
  <si>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</si>
  <si>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</si>
  <si>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</si>
  <si>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</si>
  <si>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</si>
  <si>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</si>
  <si>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</si>
  <si>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</si>
  <si>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</si>
  <si>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</si>
  <si>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</si>
  <si>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</si>
  <si>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</si>
  <si>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</si>
  <si>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</si>
  <si>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</si>
  <si>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</si>
  <si>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</si>
  <si>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</si>
  <si>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</si>
  <si>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</si>
  <si>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</si>
  <si>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</si>
  <si>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</si>
  <si>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</si>
  <si>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</si>
  <si>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</si>
  <si>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</si>
  <si>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</si>
  <si>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</si>
  <si>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</si>
  <si>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</si>
  <si>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</si>
  <si>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</si>
  <si>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</si>
  <si>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</si>
  <si>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</si>
  <si>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</si>
  <si>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</si>
  <si>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</si>
  <si>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</si>
  <si>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</si>
  <si>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</si>
  <si>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</si>
  <si>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</si>
  <si>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</si>
  <si>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</si>
  <si>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</si>
  <si>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</si>
  <si>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</si>
  <si>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</si>
  <si>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</si>
  <si>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</si>
  <si>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</si>
  <si>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</si>
  <si>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</si>
  <si>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</si>
  <si>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</si>
  <si>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</si>
  <si>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</si>
  <si>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</si>
  <si>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</si>
  <si>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</si>
  <si>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</si>
  <si>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</si>
  <si>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</si>
  <si>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</si>
  <si>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</si>
  <si>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</si>
  <si>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</si>
  <si>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</si>
  <si>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</si>
  <si>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</si>
  <si>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</si>
  <si>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</si>
  <si>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</si>
  <si>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</si>
  <si>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</si>
  <si>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</si>
  <si>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</si>
  <si>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</si>
  <si>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</si>
  <si>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</si>
  <si>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</si>
  <si>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</si>
  <si>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</si>
  <si>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</si>
  <si>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</si>
  <si>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</si>
  <si>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</si>
  <si>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</si>
  <si>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</si>
  <si>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</si>
  <si>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</si>
  <si>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</si>
  <si>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</si>
  <si>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</si>
  <si>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</si>
  <si>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</si>
  <si>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</si>
  <si>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</si>
  <si>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</si>
  <si>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</si>
  <si>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</si>
  <si>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</si>
  <si>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</si>
  <si>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</si>
  <si>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</si>
  <si>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</si>
  <si>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</si>
  <si>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</si>
  <si>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</si>
  <si>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</si>
  <si>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</si>
  <si>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</si>
  <si>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</si>
  <si>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</si>
  <si>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</si>
  <si>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</si>
  <si>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</si>
  <si>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</si>
  <si>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</si>
  <si>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</si>
  <si>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</si>
  <si>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</si>
  <si>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</si>
  <si>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</si>
  <si>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</si>
  <si>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</si>
  <si>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</si>
  <si>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</si>
  <si>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</si>
  <si>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</si>
  <si>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</si>
  <si>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</si>
  <si>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</si>
  <si>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</si>
  <si>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</si>
  <si>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</si>
  <si>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</si>
  <si>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</si>
  <si>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</si>
  <si>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</si>
  <si>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</si>
  <si>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</si>
  <si>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</si>
  <si>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</si>
  <si>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</si>
  <si>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</si>
  <si>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</si>
  <si>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</si>
  <si>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</si>
  <si>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</si>
  <si>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</si>
  <si>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</si>
  <si>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</si>
  <si>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</si>
  <si>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</si>
  <si>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</si>
  <si>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</si>
  <si>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</si>
  <si>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</si>
  <si>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</si>
  <si>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</si>
  <si>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</si>
  <si>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</si>
  <si>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</si>
  <si>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</si>
  <si>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</si>
  <si>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</si>
  <si>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</si>
  <si>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</si>
  <si>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</si>
  <si>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</si>
  <si>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</si>
  <si>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</si>
  <si>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</si>
  <si>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</si>
  <si>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</si>
  <si>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</si>
  <si>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</si>
  <si>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</si>
  <si>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</si>
  <si>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</si>
  <si>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</si>
  <si>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</si>
  <si>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</si>
  <si>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</si>
  <si>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</si>
  <si>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</si>
  <si>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</si>
  <si>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</si>
  <si>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</si>
  <si>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</si>
  <si>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</si>
  <si>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</si>
  <si>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</si>
  <si>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</si>
  <si>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</si>
  <si>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</si>
  <si>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</si>
  <si>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</si>
  <si>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</si>
  <si>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</si>
  <si>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</si>
  <si>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</si>
  <si>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</si>
  <si>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</si>
  <si>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</si>
  <si>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</si>
  <si>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</si>
  <si>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</si>
  <si>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</si>
  <si>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</si>
  <si>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</si>
  <si>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</si>
  <si>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</si>
  <si>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</si>
  <si>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</si>
  <si>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</si>
  <si>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</si>
  <si>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</si>
  <si>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</si>
  <si>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</si>
  <si>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</si>
  <si>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</si>
  <si>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</si>
  <si>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</si>
  <si>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</si>
  <si>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</si>
  <si>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</si>
  <si>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</si>
  <si>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</si>
  <si>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</si>
  <si>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</si>
  <si>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</si>
  <si>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</si>
  <si>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</si>
  <si>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</si>
  <si>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</si>
  <si>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</si>
  <si>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</si>
  <si>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</si>
  <si>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</si>
  <si>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</si>
  <si>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</si>
  <si>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</si>
  <si>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</si>
  <si>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</si>
  <si>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</si>
  <si>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</si>
  <si>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</si>
  <si>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</si>
  <si>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</si>
  <si>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</si>
  <si>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</si>
  <si>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</si>
  <si>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</si>
  <si>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</si>
  <si>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</si>
  <si>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</si>
  <si>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</si>
  <si>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</si>
  <si>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</si>
  <si>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</si>
  <si>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</si>
  <si>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</si>
  <si>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</si>
  <si>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</si>
  <si>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</si>
  <si>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</si>
  <si>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</si>
  <si>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</si>
  <si>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</si>
  <si>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</si>
  <si>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</si>
  <si>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</si>
  <si>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</si>
  <si>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</si>
  <si>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</si>
  <si>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</si>
  <si>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</si>
  <si>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</si>
  <si>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</si>
  <si>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</si>
  <si>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</si>
  <si>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</si>
  <si>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</si>
  <si>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</si>
  <si>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</si>
  <si>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</si>
  <si>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</si>
  <si>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</si>
  <si>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</si>
  <si>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</si>
  <si>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</si>
  <si>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</si>
  <si>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</si>
  <si>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</si>
  <si>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</si>
  <si>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</si>
  <si>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</si>
  <si>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</si>
  <si>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</si>
  <si>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</si>
  <si>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</si>
  <si>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</si>
  <si>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</si>
  <si>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</si>
  <si>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</si>
  <si>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</si>
  <si>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</si>
  <si>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</si>
  <si>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</si>
  <si>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</si>
  <si>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</si>
  <si>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</si>
  <si>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</si>
  <si>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</si>
  <si>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</si>
  <si>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</si>
  <si>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</si>
  <si>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</si>
  <si>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</si>
  <si>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</si>
  <si>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</si>
  <si>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</si>
  <si>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</si>
  <si>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</si>
  <si>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</si>
  <si>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</si>
  <si>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</si>
  <si>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</si>
  <si>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</si>
  <si>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</si>
  <si>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</si>
  <si>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</si>
  <si>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</si>
  <si>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</si>
  <si>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</si>
  <si>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</si>
  <si>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</si>
  <si>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</si>
  <si>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</si>
  <si>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</si>
  <si>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</si>
  <si>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</si>
  <si>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</si>
  <si>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</si>
  <si>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</si>
  <si>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</si>
  <si>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</si>
  <si>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</si>
  <si>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</si>
  <si>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</si>
  <si>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</si>
  <si>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</si>
  <si>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</si>
  <si>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</si>
  <si>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</si>
  <si>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</si>
  <si>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</si>
  <si>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</si>
  <si>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</si>
  <si>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</si>
  <si>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</si>
  <si>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</si>
  <si>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</si>
  <si>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</si>
  <si>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</si>
  <si>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</si>
  <si>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</si>
  <si>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</si>
  <si>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</si>
  <si>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</si>
  <si>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</si>
  <si>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</si>
  <si>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</si>
  <si>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</si>
  <si>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</si>
  <si>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</si>
  <si>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</si>
  <si>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</si>
  <si>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</si>
  <si>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</si>
  <si>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</si>
  <si>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</si>
  <si>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</si>
  <si>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</si>
  <si>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</si>
  <si>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</si>
  <si>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</si>
  <si>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</si>
  <si>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</si>
  <si>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</si>
  <si>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</si>
  <si>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</si>
  <si>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</si>
  <si>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</si>
  <si>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</si>
  <si>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</si>
  <si>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</si>
  <si>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</si>
  <si>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</si>
  <si>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</si>
  <si>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</si>
  <si>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</si>
  <si>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</si>
  <si>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</si>
  <si>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</si>
  <si>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</si>
  <si>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</si>
  <si>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</si>
  <si>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</si>
  <si>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</si>
  <si>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</si>
  <si>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</si>
  <si>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</si>
  <si>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</si>
  <si>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</si>
  <si>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</si>
  <si>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</si>
  <si>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</si>
  <si>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</si>
  <si>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</si>
  <si>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</si>
  <si>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</si>
  <si>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</si>
  <si>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</si>
  <si>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</si>
  <si>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</si>
  <si>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</si>
  <si>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</si>
  <si>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</si>
  <si>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</si>
  <si>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</si>
  <si>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</si>
  <si>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</si>
  <si>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</si>
  <si>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</si>
  <si>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</si>
  <si>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</si>
  <si>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</si>
  <si>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</si>
  <si>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</si>
  <si>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</si>
  <si>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</si>
  <si>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</si>
  <si>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</si>
  <si>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</si>
  <si>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</si>
  <si>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</si>
  <si>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</si>
  <si>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</si>
  <si>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</si>
  <si>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</si>
  <si>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</si>
  <si>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</si>
  <si>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</si>
  <si>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</si>
  <si>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</si>
  <si>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</si>
  <si>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</si>
  <si>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</si>
  <si>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</si>
  <si>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</si>
  <si>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</si>
  <si>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</si>
  <si>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</si>
  <si>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</si>
  <si>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</si>
  <si>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</si>
  <si>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</si>
  <si>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</si>
  <si>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</si>
  <si>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</si>
  <si>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</si>
  <si>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</si>
  <si>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</si>
  <si>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</si>
  <si>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</si>
  <si>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</si>
  <si>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</si>
  <si>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</si>
  <si>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</si>
  <si>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</si>
  <si>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</si>
  <si>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</si>
  <si>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</si>
  <si>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</si>
  <si>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</si>
  <si>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</si>
  <si>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</si>
  <si>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</si>
  <si>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</si>
  <si>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</si>
  <si>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</si>
  <si>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</si>
  <si>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</si>
  <si>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</si>
  <si>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</si>
  <si>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</si>
  <si>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</si>
  <si>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</si>
  <si>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</si>
  <si>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</si>
  <si>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</si>
  <si>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</si>
  <si>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</si>
  <si>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</si>
  <si>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</si>
  <si>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</si>
  <si>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</si>
  <si>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</si>
  <si>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</si>
  <si>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</si>
  <si>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</si>
  <si>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</si>
  <si>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</si>
  <si>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</si>
  <si>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</si>
  <si>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</si>
  <si>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</si>
  <si>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</si>
  <si>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</si>
  <si>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</si>
  <si>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</si>
  <si>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</si>
  <si>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</si>
  <si>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</si>
  <si>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</si>
  <si>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</si>
  <si>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</si>
  <si>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</si>
  <si>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</si>
  <si>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</si>
  <si>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</si>
  <si>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</si>
  <si>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</si>
  <si>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</si>
  <si>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</si>
  <si>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</si>
  <si>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</si>
  <si>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</si>
  <si>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</si>
  <si>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</si>
  <si>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</si>
  <si>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</si>
  <si>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</si>
  <si>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</si>
  <si>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</si>
  <si>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</si>
  <si>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</si>
  <si>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</si>
  <si>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</si>
  <si>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</si>
  <si>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</si>
  <si>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</si>
  <si>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</si>
  <si>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</si>
  <si>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</si>
  <si>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</si>
  <si>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</si>
  <si>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</si>
  <si>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</si>
  <si>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</si>
  <si>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</si>
  <si>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</si>
  <si>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</si>
  <si>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</si>
  <si>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</si>
  <si>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</si>
  <si>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</si>
  <si>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</si>
  <si>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</si>
  <si>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</si>
  <si>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</si>
  <si>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</si>
  <si>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</si>
  <si>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</si>
  <si>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</si>
  <si>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</si>
  <si>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</si>
  <si>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</si>
  <si>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</si>
  <si>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</si>
  <si>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</si>
  <si>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</si>
  <si>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</si>
  <si>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</si>
  <si>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</si>
  <si>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</si>
  <si>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</si>
  <si>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</si>
  <si>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</si>
  <si>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</si>
  <si>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</si>
  <si>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</si>
  <si>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</si>
  <si>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</si>
  <si>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</si>
  <si>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</si>
  <si>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</si>
  <si>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</si>
  <si>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</si>
  <si>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</si>
  <si>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</si>
  <si>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</si>
  <si>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</si>
  <si>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</si>
  <si>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</si>
  <si>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</si>
  <si>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</si>
  <si>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</si>
  <si>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</si>
  <si>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</si>
  <si>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</si>
  <si>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</si>
  <si>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</si>
  <si>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</si>
  <si>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</si>
  <si>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</si>
  <si>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</si>
  <si>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</si>
  <si>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</si>
  <si>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</si>
  <si>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</si>
  <si>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</si>
  <si>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</si>
  <si>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</si>
  <si>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</si>
  <si>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</si>
  <si>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</si>
  <si>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</si>
  <si>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</si>
  <si>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</si>
  <si>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</si>
  <si>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</si>
  <si>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</si>
  <si>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</si>
  <si>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</si>
  <si>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</si>
  <si>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</si>
  <si>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</si>
  <si>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</si>
  <si>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</si>
  <si>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</si>
  <si>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</si>
  <si>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</si>
  <si>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</si>
  <si>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</si>
  <si>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</si>
  <si>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</si>
  <si>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</si>
  <si>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</si>
  <si>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</si>
  <si>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</si>
  <si>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</si>
  <si>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</si>
  <si>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</si>
  <si>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</si>
  <si>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</si>
  <si>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</si>
  <si>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</si>
  <si>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</si>
  <si>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</si>
  <si>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</si>
  <si>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</si>
  <si>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</si>
  <si>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</si>
  <si>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</si>
  <si>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</si>
  <si>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</si>
  <si>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</si>
  <si>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</si>
  <si>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</si>
  <si>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</si>
  <si>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</si>
  <si>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</si>
  <si>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</si>
  <si>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</si>
  <si>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</si>
  <si>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</si>
  <si>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</si>
  <si>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</si>
  <si>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</si>
  <si>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</si>
  <si>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</si>
  <si>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</si>
  <si>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</si>
  <si>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</si>
  <si>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</si>
  <si>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</si>
  <si>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</si>
  <si>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</si>
  <si>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</si>
  <si>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</si>
  <si>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</si>
  <si>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</si>
  <si>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</si>
  <si>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</si>
  <si>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</si>
  <si>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</si>
  <si>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</si>
  <si>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</si>
  <si>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</si>
  <si>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</si>
  <si>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</si>
  <si>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</si>
  <si>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</si>
  <si>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</si>
  <si>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</si>
  <si>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</si>
  <si>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</si>
  <si>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</si>
  <si>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</si>
  <si>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</si>
  <si>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</si>
  <si>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</si>
  <si>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</si>
  <si>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</si>
  <si>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</si>
  <si>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</si>
  <si>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</si>
  <si>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</si>
  <si>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</si>
  <si>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</si>
  <si>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</si>
  <si>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</si>
  <si>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</si>
  <si>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</si>
  <si>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</si>
  <si>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</si>
  <si>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</si>
  <si>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</si>
  <si>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</si>
  <si>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</si>
  <si>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</si>
  <si>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</si>
  <si>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</si>
  <si>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</si>
  <si>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</si>
  <si>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</si>
  <si>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</si>
  <si>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</si>
  <si>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</si>
  <si>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</si>
  <si>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</si>
  <si>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</si>
  <si>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</si>
  <si>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</si>
  <si>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</si>
  <si>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</si>
  <si>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</si>
  <si>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</si>
  <si>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</si>
  <si>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</si>
  <si>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</si>
  <si>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</si>
  <si>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</si>
  <si>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</si>
  <si>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</si>
  <si>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</si>
  <si>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</si>
  <si>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</si>
  <si>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</si>
  <si>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</si>
  <si>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</si>
  <si>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</si>
  <si>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</si>
  <si>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</si>
  <si>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</si>
  <si>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</si>
  <si>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</si>
  <si>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</si>
  <si>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</si>
  <si>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</si>
  <si>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</si>
  <si>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</si>
  <si>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</si>
  <si>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</si>
  <si>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</si>
  <si>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</si>
  <si>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</si>
  <si>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</si>
  <si>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</si>
  <si>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</si>
  <si>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</si>
  <si>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</si>
  <si>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</si>
  <si>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</si>
  <si>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</si>
  <si>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</si>
  <si>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</si>
  <si>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</si>
  <si>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</si>
  <si>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</si>
  <si>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</si>
  <si>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</si>
  <si>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</si>
  <si>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</si>
  <si>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</si>
  <si>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</si>
  <si>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</si>
  <si>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</si>
  <si>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</si>
  <si>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</si>
  <si>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</si>
  <si>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</si>
  <si>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</si>
  <si>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</si>
  <si>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</si>
  <si>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</si>
  <si>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</si>
  <si>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</si>
  <si>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</si>
  <si>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</si>
  <si>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</si>
  <si>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</si>
  <si>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</si>
  <si>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</si>
  <si>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</si>
  <si>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</si>
  <si>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</si>
  <si>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</si>
  <si>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</si>
  <si>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</si>
  <si>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</si>
  <si>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</si>
  <si>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</si>
  <si>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</si>
  <si>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</si>
  <si>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</si>
  <si>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</si>
  <si>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</si>
  <si>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</si>
  <si>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</si>
  <si>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</si>
  <si>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</si>
  <si>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</si>
  <si>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</si>
  <si>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</si>
  <si>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</si>
  <si>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</si>
  <si>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</si>
  <si>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</si>
  <si>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</si>
  <si>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</si>
  <si>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</si>
  <si>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</si>
  <si>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</si>
  <si>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</si>
  <si>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</si>
  <si>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</si>
  <si>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</si>
  <si>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</si>
  <si>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</si>
  <si>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</si>
  <si>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</si>
  <si>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</si>
  <si>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</si>
  <si>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</si>
  <si>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</si>
  <si>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</si>
  <si>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</si>
  <si>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</si>
  <si>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</si>
  <si>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</si>
  <si>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</si>
  <si>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</si>
  <si>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</si>
  <si>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</si>
  <si>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</si>
  <si>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</si>
  <si>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</si>
  <si>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</si>
  <si>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</si>
  <si>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</si>
  <si>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</si>
  <si>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</si>
  <si>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</si>
  <si>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</si>
  <si>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</si>
  <si>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</si>
  <si>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</si>
  <si>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</si>
  <si>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</si>
  <si>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</si>
  <si>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</si>
  <si>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</si>
  <si>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</si>
  <si>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</si>
  <si>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</si>
  <si>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</si>
  <si>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</si>
  <si>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</si>
  <si>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</si>
  <si>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</si>
  <si>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</si>
  <si>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</si>
  <si>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</si>
  <si>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</si>
  <si>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</si>
  <si>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</si>
  <si>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</si>
  <si>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</si>
  <si>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</si>
  <si>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</si>
  <si>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</si>
  <si>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</si>
  <si>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</si>
  <si>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</si>
  <si>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</si>
  <si>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</si>
  <si>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</si>
  <si>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</si>
  <si>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</si>
  <si>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</si>
  <si>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</si>
  <si>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</si>
  <si>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</si>
  <si>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</si>
  <si>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</si>
  <si>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</si>
  <si>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</si>
  <si>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</si>
  <si>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</si>
  <si>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</si>
  <si>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</si>
  <si>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</si>
  <si>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</si>
  <si>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</si>
  <si>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</si>
  <si>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</si>
  <si>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</si>
  <si>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</si>
  <si>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</si>
  <si>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</si>
  <si>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</si>
  <si>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</si>
  <si>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</si>
  <si>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</si>
  <si>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</si>
  <si>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</si>
  <si>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</si>
  <si>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</si>
  <si>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</si>
  <si>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</si>
  <si>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</si>
  <si>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</si>
  <si>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</si>
  <si>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</si>
  <si>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</si>
  <si>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</si>
  <si>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</si>
  <si>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</si>
  <si>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</si>
  <si>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</si>
  <si>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</si>
  <si>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</si>
  <si>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</si>
  <si>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</si>
  <si>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</si>
  <si>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</si>
  <si>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</si>
  <si>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</si>
  <si>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</si>
  <si>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</si>
  <si>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</si>
  <si>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</si>
  <si>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</si>
  <si>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</si>
  <si>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</si>
  <si>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</si>
  <si>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</si>
  <si>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</si>
  <si>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</si>
  <si>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</si>
  <si>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</si>
  <si>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</si>
  <si>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</si>
  <si>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</si>
  <si>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</si>
  <si>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</si>
  <si>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</si>
  <si>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</si>
  <si>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</si>
  <si>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</si>
  <si>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</si>
  <si>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</si>
  <si>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</si>
  <si>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</si>
  <si>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</si>
  <si>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</si>
  <si>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</si>
  <si>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</si>
  <si>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</si>
  <si>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</si>
  <si>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</si>
  <si>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</si>
  <si>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</si>
  <si>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</si>
  <si>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</si>
  <si>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</si>
  <si>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</si>
  <si>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</si>
  <si>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</si>
  <si>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</si>
  <si>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</si>
  <si>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</si>
  <si>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</si>
  <si>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</si>
  <si>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</si>
  <si>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</si>
  <si>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</si>
  <si>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</si>
  <si>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</si>
  <si>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</si>
  <si>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</si>
  <si>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</si>
  <si>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</si>
  <si>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</si>
  <si>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</si>
  <si>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</si>
  <si>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</si>
  <si>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</si>
  <si>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</si>
  <si>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</si>
  <si>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</si>
  <si>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</si>
  <si>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</si>
  <si>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</si>
  <si>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</si>
  <si>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</si>
  <si>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</si>
  <si>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</si>
  <si>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</si>
  <si>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</si>
  <si>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</si>
  <si>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</si>
  <si>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</si>
  <si>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</si>
  <si>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</si>
  <si>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</si>
  <si>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</si>
  <si>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</si>
  <si>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</si>
  <si>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</si>
  <si>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</si>
  <si>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</si>
  <si>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</si>
  <si>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</si>
  <si>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</si>
  <si>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</si>
  <si>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</si>
  <si>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</si>
  <si>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</si>
  <si>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</si>
  <si>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</si>
  <si>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</si>
  <si>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</si>
  <si>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</si>
  <si>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</si>
  <si>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</si>
  <si>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</si>
  <si>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</si>
  <si>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</si>
  <si>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</si>
  <si>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</si>
  <si>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</si>
  <si>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</si>
  <si>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</si>
  <si>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</si>
  <si>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</si>
  <si>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</si>
  <si>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</si>
  <si>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</si>
  <si>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</si>
  <si>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</si>
  <si>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</si>
  <si>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</si>
  <si>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</si>
  <si>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</si>
  <si>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</si>
  <si>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</si>
  <si>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</si>
  <si>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</si>
  <si>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</si>
  <si>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</si>
  <si>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</si>
  <si>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</si>
  <si>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</si>
  <si>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</si>
  <si>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</si>
  <si>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</si>
  <si>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</si>
  <si>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</si>
  <si>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</si>
  <si>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</si>
  <si>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</si>
  <si>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</si>
  <si>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</si>
  <si>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</si>
  <si>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</si>
  <si>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</si>
  <si>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</si>
  <si>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</si>
  <si>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</si>
  <si>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</si>
  <si>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</si>
  <si>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</si>
  <si>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</si>
  <si>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</si>
  <si>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</si>
  <si>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</si>
  <si>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</si>
  <si>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</si>
  <si>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</si>
  <si>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</si>
  <si>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</si>
  <si>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</si>
  <si>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</si>
  <si>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</si>
  <si>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</si>
  <si>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</si>
  <si>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</si>
  <si>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</si>
  <si>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</si>
  <si>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</si>
  <si>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</si>
  <si>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</si>
  <si>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</si>
  <si>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</si>
  <si>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</si>
  <si>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</si>
  <si>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</si>
  <si>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</si>
  <si>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</si>
  <si>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</si>
  <si>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</si>
  <si>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</si>
  <si>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</si>
  <si>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</si>
  <si>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</si>
  <si>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</si>
  <si>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</si>
  <si>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</si>
  <si>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</si>
  <si>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</si>
  <si>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</si>
  <si>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</si>
  <si>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</si>
  <si>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</si>
  <si>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</si>
  <si>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</si>
  <si>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</si>
  <si>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</si>
  <si>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</si>
  <si>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</si>
  <si>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</si>
  <si>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</si>
  <si>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</si>
  <si>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</si>
  <si>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</si>
  <si>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</si>
  <si>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</si>
  <si>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</si>
  <si>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</si>
  <si>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</si>
  <si>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</si>
  <si>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</si>
  <si>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</si>
  <si>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</si>
  <si>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</si>
  <si>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</si>
  <si>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</si>
  <si>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</si>
  <si>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</si>
  <si>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</si>
  <si>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</si>
  <si>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</si>
  <si>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</si>
  <si>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</si>
  <si>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</si>
  <si>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</si>
  <si>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</si>
  <si>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</si>
  <si>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</si>
  <si>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</si>
  <si>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</si>
  <si>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</si>
  <si>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</si>
  <si>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</si>
  <si>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</si>
  <si>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</si>
  <si>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</si>
  <si>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</si>
  <si>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</si>
  <si>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</si>
  <si>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</si>
  <si>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</si>
  <si>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</si>
  <si>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</si>
  <si>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</si>
  <si>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</si>
  <si>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</si>
  <si>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</si>
  <si>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</si>
  <si>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</si>
  <si>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</si>
  <si>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</si>
  <si>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</si>
  <si>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</si>
  <si>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</si>
  <si>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</si>
  <si>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</si>
  <si>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</si>
  <si>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</si>
  <si>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</si>
  <si>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</si>
  <si>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</si>
  <si>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</si>
  <si>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</si>
  <si>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</si>
  <si>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</si>
  <si>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</si>
  <si>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</si>
  <si>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</si>
  <si>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</si>
  <si>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</si>
  <si>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</si>
  <si>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</si>
  <si>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</si>
  <si>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</si>
  <si>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</si>
  <si>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</si>
  <si>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</si>
  <si>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</si>
  <si>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</si>
  <si>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</si>
  <si>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</si>
  <si>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</si>
  <si>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</si>
  <si>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</si>
  <si>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</si>
  <si>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</si>
  <si>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</si>
  <si>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</si>
  <si>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</si>
  <si>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</si>
  <si>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</si>
  <si>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</si>
  <si>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</si>
  <si>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</si>
  <si>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</si>
  <si>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</si>
  <si>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</si>
  <si>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</si>
  <si>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</si>
  <si>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</si>
  <si>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</si>
  <si>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</si>
  <si>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</si>
  <si>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</si>
  <si>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</si>
  <si>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</si>
  <si>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</si>
  <si>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</si>
  <si>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</si>
  <si>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</si>
  <si>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</si>
  <si>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</si>
  <si>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</si>
  <si>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</si>
  <si>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</si>
  <si>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</si>
  <si>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</si>
  <si>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</si>
  <si>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</si>
  <si>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</si>
  <si>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</si>
  <si>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</si>
  <si>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</si>
  <si>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</si>
  <si>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</si>
  <si>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</si>
  <si>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</si>
  <si>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</si>
  <si>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</si>
  <si>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</si>
  <si>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</si>
  <si>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</si>
  <si>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</si>
  <si>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</si>
  <si>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</si>
  <si>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</si>
  <si>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</si>
  <si>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</si>
  <si>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</si>
  <si>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</si>
  <si>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</si>
  <si>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</si>
  <si>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</si>
  <si>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</si>
  <si>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</si>
  <si>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</si>
  <si>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</si>
  <si>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</si>
  <si>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</si>
  <si>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</si>
  <si>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</si>
  <si>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</si>
  <si>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</si>
  <si>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</si>
  <si>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</si>
  <si>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</si>
  <si>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</si>
  <si>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</si>
  <si>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</si>
  <si>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</si>
  <si>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</si>
  <si>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</si>
  <si>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</si>
  <si>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</si>
  <si>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</si>
  <si>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</si>
  <si>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</si>
  <si>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</si>
  <si>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</si>
  <si>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</si>
  <si>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</si>
  <si>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</si>
  <si>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</si>
  <si>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</si>
  <si>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</si>
  <si>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</si>
  <si>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</si>
  <si>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</si>
  <si>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</si>
  <si>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</si>
  <si>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</si>
  <si>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</si>
  <si>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</si>
  <si>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</si>
  <si>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</si>
  <si>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</si>
  <si>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</si>
  <si>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</si>
  <si>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</si>
  <si>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</si>
  <si>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</si>
  <si>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</si>
  <si>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</si>
  <si>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</si>
  <si>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</si>
  <si>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</si>
  <si>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</si>
  <si>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</si>
  <si>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</si>
  <si>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</si>
  <si>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</si>
  <si>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</si>
  <si>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</si>
  <si>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</si>
  <si>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</si>
  <si>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</si>
  <si>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</si>
  <si>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</si>
  <si>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</si>
  <si>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</si>
  <si>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</si>
  <si>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</si>
  <si>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</si>
  <si>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</si>
  <si>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</si>
  <si>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</si>
  <si>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</si>
  <si>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</si>
  <si>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</si>
  <si>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</si>
  <si>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</si>
  <si>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</si>
  <si>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</si>
  <si>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</si>
  <si>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</si>
  <si>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</si>
  <si>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</si>
  <si>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</si>
  <si>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</si>
  <si>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</si>
  <si>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</si>
  <si>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</si>
  <si>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</si>
  <si>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</si>
  <si>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</si>
  <si>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</si>
  <si>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</si>
  <si>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</si>
  <si>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</si>
  <si>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</si>
  <si>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</si>
  <si>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</si>
  <si>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</si>
  <si>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</si>
  <si>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</si>
  <si>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</si>
  <si>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</si>
  <si>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</si>
  <si>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</si>
  <si>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</si>
  <si>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</si>
  <si>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</si>
  <si>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</si>
  <si>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</si>
  <si>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</si>
  <si>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</si>
  <si>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</si>
  <si>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</si>
  <si>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</si>
  <si>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</si>
  <si>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</si>
  <si>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</si>
  <si>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</si>
  <si>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</si>
  <si>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</si>
  <si>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</si>
  <si>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</si>
  <si>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</si>
  <si>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</si>
  <si>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</si>
  <si>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</si>
  <si>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</si>
  <si>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</si>
  <si>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</si>
  <si>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</si>
  <si>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</si>
  <si>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</si>
  <si>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</si>
  <si>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</si>
  <si>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</si>
  <si>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</si>
  <si>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</si>
  <si>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</si>
  <si>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</si>
  <si>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</si>
  <si>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</si>
  <si>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</si>
  <si>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</si>
  <si>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</si>
  <si>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</si>
  <si>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</si>
  <si>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</si>
  <si>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</si>
  <si>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</si>
  <si>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</si>
  <si>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</si>
  <si>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</si>
  <si>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</si>
  <si>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</si>
  <si>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</si>
  <si>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</si>
  <si>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</si>
  <si>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</si>
  <si>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</si>
  <si>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</si>
  <si>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</si>
  <si>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</si>
  <si>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</si>
  <si>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</si>
  <si>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</si>
  <si>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</si>
  <si>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</si>
  <si>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</si>
  <si>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</si>
  <si>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</si>
  <si>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</si>
  <si>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</si>
  <si>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</si>
  <si>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</si>
  <si>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</si>
  <si>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</si>
  <si>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</si>
  <si>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</si>
  <si>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</si>
  <si>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</si>
  <si>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</si>
  <si>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</si>
  <si>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</si>
  <si>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</si>
  <si>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</si>
  <si>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</si>
  <si>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</si>
  <si>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</si>
  <si>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</si>
  <si>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</si>
  <si>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</si>
  <si>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</si>
  <si>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</si>
  <si>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</si>
  <si>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</si>
  <si>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</si>
  <si>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</si>
  <si>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</si>
  <si>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</si>
  <si>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</si>
  <si>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</si>
  <si>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</si>
  <si>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</si>
  <si>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</si>
  <si>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</si>
  <si>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</si>
  <si>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</si>
  <si>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</si>
  <si>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</si>
  <si>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</si>
  <si>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</si>
  <si>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</si>
  <si>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</si>
  <si>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</si>
  <si>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</si>
  <si>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</si>
  <si>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</si>
  <si>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</si>
  <si>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</si>
  <si>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</si>
  <si>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</si>
  <si>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</si>
  <si>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</si>
  <si>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</si>
  <si>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</si>
  <si>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</si>
  <si>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</si>
  <si>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</si>
  <si>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</si>
  <si>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</si>
  <si>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</si>
  <si>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</si>
  <si>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</si>
  <si>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</si>
  <si>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</si>
  <si>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</si>
  <si>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</si>
  <si>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</si>
  <si>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</si>
  <si>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</si>
  <si>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</si>
  <si>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</si>
  <si>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</si>
  <si>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</si>
  <si>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</si>
  <si>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</si>
  <si>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</si>
  <si>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</si>
  <si>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</si>
  <si>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</si>
  <si>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</si>
  <si>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</si>
  <si>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</si>
  <si>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</si>
  <si>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</si>
  <si>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</si>
  <si>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</si>
  <si>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</si>
  <si>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</si>
  <si>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</si>
  <si>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</si>
  <si>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</si>
  <si>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</si>
  <si>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</si>
  <si>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</si>
  <si>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</si>
  <si>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</si>
  <si>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</si>
  <si>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</si>
  <si>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</si>
  <si>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</si>
  <si>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</si>
  <si>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</si>
  <si>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</si>
  <si>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</si>
  <si>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</si>
  <si>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</si>
  <si>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</si>
  <si>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</si>
  <si>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</si>
  <si>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</si>
  <si>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</si>
  <si>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</si>
  <si>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</si>
  <si>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</si>
  <si>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</si>
  <si>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</si>
  <si>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</si>
  <si>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</si>
  <si>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</si>
  <si>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</si>
  <si>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</si>
  <si>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</si>
  <si>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</si>
  <si>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</si>
  <si>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</si>
  <si>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</si>
  <si>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</si>
  <si>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</si>
  <si>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</si>
  <si>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</si>
  <si>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</si>
  <si>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</si>
  <si>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</si>
  <si>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</si>
  <si>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</si>
  <si>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</si>
  <si>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</si>
  <si>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</si>
  <si>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</si>
  <si>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</si>
  <si>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</si>
  <si>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</si>
  <si>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</si>
  <si>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</si>
  <si>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</si>
  <si>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</si>
  <si>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</si>
  <si>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</si>
  <si>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</si>
  <si>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</si>
  <si>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</si>
  <si>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</si>
  <si>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</si>
  <si>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</si>
  <si>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</si>
  <si>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</si>
  <si>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</si>
  <si>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</si>
  <si>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</si>
  <si>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</si>
  <si>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</si>
  <si>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</si>
  <si>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</si>
  <si>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</si>
  <si>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</si>
  <si>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</si>
  <si>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</si>
  <si>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</si>
  <si>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</si>
  <si>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</si>
  <si>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</si>
  <si>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</si>
  <si>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</si>
  <si>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</si>
  <si>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</si>
  <si>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</si>
  <si>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</si>
  <si>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</si>
  <si>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</si>
  <si>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</si>
  <si>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</si>
  <si>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</si>
  <si>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</si>
  <si>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</si>
  <si>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</si>
  <si>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</si>
  <si>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</si>
  <si>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</si>
  <si>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</si>
  <si>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</si>
  <si>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</si>
  <si>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</si>
  <si>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</si>
  <si>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</si>
  <si>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</si>
  <si>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</si>
  <si>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</si>
  <si>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</si>
  <si>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</si>
  <si>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</si>
  <si>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</si>
  <si>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</si>
  <si>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</si>
  <si>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</si>
  <si>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</si>
  <si>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</si>
  <si>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</si>
  <si>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</si>
  <si>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</si>
  <si>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</si>
  <si>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</si>
  <si>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</si>
  <si>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</si>
  <si>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</si>
  <si>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</si>
  <si>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</si>
  <si>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</si>
  <si>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</si>
  <si>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</si>
  <si>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</si>
  <si>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</si>
  <si>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</si>
  <si>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</si>
  <si>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</si>
  <si>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</si>
  <si>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</si>
  <si>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</si>
  <si>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</si>
  <si>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</si>
  <si>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</si>
  <si>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</si>
  <si>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</si>
  <si>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</si>
  <si>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</si>
  <si>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</si>
  <si>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</si>
  <si>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</si>
  <si>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</si>
  <si>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</si>
  <si>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</si>
  <si>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</si>
  <si>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</si>
  <si>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</si>
  <si>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</si>
  <si>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</si>
  <si>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</si>
  <si>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</si>
  <si>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</si>
  <si>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</si>
  <si>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</si>
  <si>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</si>
  <si>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</si>
  <si>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</si>
  <si>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</si>
  <si>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</si>
  <si>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</si>
  <si>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</si>
  <si>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</si>
  <si>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</si>
  <si>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</si>
  <si>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</si>
  <si>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</si>
  <si>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</si>
  <si>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</si>
  <si>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</si>
  <si>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</si>
  <si>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</si>
  <si>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</si>
  <si>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</si>
  <si>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</si>
  <si>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</si>
  <si>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</si>
  <si>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</si>
  <si>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</si>
  <si>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</si>
  <si>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</si>
  <si>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</si>
  <si>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</si>
  <si>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</si>
  <si>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</si>
  <si>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</si>
  <si>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</si>
  <si>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</si>
  <si>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</si>
  <si>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</si>
  <si>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</si>
  <si>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</si>
  <si>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</si>
  <si>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</si>
  <si>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</si>
  <si>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</si>
  <si>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</si>
  <si>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</si>
  <si>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</si>
  <si>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</si>
  <si>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</si>
  <si>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</si>
  <si>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</si>
  <si>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</si>
  <si>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</si>
  <si>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</si>
  <si>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</si>
  <si>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</si>
  <si>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</si>
  <si>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</si>
  <si>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</si>
  <si>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</si>
  <si>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</si>
  <si>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</si>
  <si>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</si>
  <si>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</si>
  <si>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</si>
  <si>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</si>
  <si>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</si>
  <si>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</si>
  <si>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</si>
  <si>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</si>
  <si>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</si>
  <si>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</si>
  <si>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</si>
  <si>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</si>
  <si>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</si>
  <si>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</si>
  <si>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</si>
  <si>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</si>
  <si>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</si>
  <si>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</si>
  <si>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</si>
  <si>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</si>
  <si>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</si>
  <si>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</si>
  <si>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</si>
  <si>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</si>
  <si>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</si>
  <si>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</si>
  <si>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</si>
  <si>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</si>
  <si>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</si>
  <si>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</si>
  <si>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</si>
  <si>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</si>
  <si>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</si>
  <si>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</si>
  <si>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</si>
  <si>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</si>
  <si>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</si>
  <si>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</si>
  <si>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</si>
  <si>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</si>
  <si>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</si>
  <si>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</si>
  <si>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</si>
  <si>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</si>
  <si>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</si>
  <si>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</si>
  <si>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</si>
  <si>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</si>
  <si>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</si>
  <si>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</si>
  <si>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</si>
  <si>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</si>
  <si>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</si>
  <si>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</si>
  <si>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</si>
  <si>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</si>
  <si>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</si>
  <si>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</si>
  <si>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</si>
  <si>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</si>
  <si>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</si>
  <si>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</si>
  <si>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</si>
  <si>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</si>
  <si>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</si>
  <si>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</si>
  <si>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</si>
  <si>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</si>
  <si>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</si>
  <si>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</si>
  <si>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</si>
  <si>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</si>
  <si>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</si>
  <si>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</si>
  <si>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</si>
  <si>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</si>
  <si>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</si>
  <si>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</si>
  <si>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</si>
  <si>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</si>
  <si>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</si>
  <si>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</si>
  <si>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</si>
  <si>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</si>
  <si>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</si>
  <si>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</si>
  <si>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</si>
  <si>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</si>
  <si>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</si>
  <si>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</si>
  <si>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</si>
  <si>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</si>
  <si>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</si>
  <si>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</si>
  <si>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</si>
  <si>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</si>
  <si>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</si>
  <si>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</si>
  <si>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</si>
  <si>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</si>
  <si>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</si>
  <si>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</si>
  <si>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</si>
  <si>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</si>
  <si>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</si>
  <si>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</si>
  <si>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</si>
  <si>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</si>
  <si>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</si>
  <si>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</si>
  <si>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</si>
  <si>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</si>
  <si>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</si>
  <si>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</si>
  <si>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</si>
  <si>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</si>
  <si>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</si>
  <si>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</si>
  <si>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</si>
  <si>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</si>
  <si>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</si>
  <si>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</si>
  <si>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</si>
  <si>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</si>
  <si>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</si>
  <si>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</si>
  <si>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</si>
  <si>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</si>
  <si>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</si>
  <si>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</si>
  <si>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</si>
  <si>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</si>
  <si>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</si>
  <si>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</si>
  <si>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</si>
  <si>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</si>
  <si>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</si>
  <si>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</si>
  <si>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</si>
  <si>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</si>
  <si>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</si>
  <si>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</si>
  <si>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</si>
  <si>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</si>
  <si>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</si>
  <si>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</si>
  <si>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</si>
  <si>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</si>
  <si>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</si>
  <si>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</si>
  <si>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</si>
  <si>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</si>
  <si>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</si>
  <si>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</si>
  <si>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</si>
  <si>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</si>
  <si>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</si>
  <si>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</si>
  <si>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</si>
  <si>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</si>
  <si>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</si>
  <si>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</si>
  <si>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</si>
  <si>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</si>
  <si>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</si>
  <si>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</si>
  <si>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</si>
  <si>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</si>
  <si>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</si>
  <si>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</si>
  <si>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</si>
  <si>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</si>
  <si>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</si>
  <si>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</si>
  <si>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</si>
  <si>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</si>
  <si>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</si>
  <si>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</si>
  <si>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</si>
  <si>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</si>
  <si>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</si>
  <si>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</si>
  <si>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</si>
  <si>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</si>
  <si>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</si>
  <si>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</si>
  <si>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</si>
  <si>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</si>
  <si>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</si>
  <si>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</si>
  <si>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</si>
  <si>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</si>
  <si>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</si>
  <si>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</si>
  <si>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</si>
  <si>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</si>
  <si>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</si>
  <si>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</si>
  <si>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</si>
  <si>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</si>
  <si>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</si>
  <si>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</si>
  <si>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</si>
  <si>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</si>
  <si>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</si>
  <si>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</si>
  <si>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</si>
  <si>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</si>
  <si>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</si>
  <si>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</si>
  <si>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</si>
  <si>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</si>
  <si>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</si>
  <si>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</si>
  <si>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</si>
  <si>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</si>
  <si>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</si>
  <si>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</si>
  <si>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</si>
  <si>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</si>
  <si>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</si>
  <si>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</si>
  <si>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</si>
  <si>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</si>
  <si>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</si>
  <si>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</si>
  <si>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</si>
  <si>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</si>
  <si>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</si>
  <si>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</si>
  <si>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</si>
  <si>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</si>
  <si>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</si>
  <si>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</si>
  <si>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</si>
  <si>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</si>
  <si>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</si>
  <si>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</si>
  <si>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</si>
  <si>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</si>
  <si>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</si>
  <si>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</si>
  <si>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</si>
  <si>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</si>
  <si>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</si>
  <si>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</si>
  <si>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</si>
  <si>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</si>
  <si>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</si>
  <si>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</si>
  <si>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</si>
  <si>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</si>
  <si>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</si>
  <si>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</si>
  <si>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</si>
  <si>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</si>
  <si>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</si>
  <si>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</si>
  <si>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</si>
  <si>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</si>
  <si>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</si>
  <si>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</si>
  <si>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</si>
  <si>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</si>
  <si>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</si>
  <si>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</si>
  <si>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</si>
  <si>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</si>
  <si>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</si>
  <si>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</si>
  <si>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</si>
  <si>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</si>
  <si>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</si>
  <si>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</si>
  <si>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</si>
  <si>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</si>
  <si>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</si>
  <si>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</si>
  <si>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</si>
  <si>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</si>
  <si>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</si>
  <si>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</si>
  <si>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</si>
  <si>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</si>
  <si>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</si>
  <si>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</si>
  <si>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</si>
  <si>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</si>
  <si>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</si>
  <si>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</si>
  <si>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</si>
  <si>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</si>
  <si>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</si>
  <si>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</si>
  <si>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</si>
  <si>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</si>
  <si>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</si>
  <si>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</si>
  <si>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</si>
  <si>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</si>
  <si>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</si>
  <si>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</si>
  <si>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</si>
  <si>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</si>
  <si>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</si>
  <si>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</si>
  <si>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</si>
  <si>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</si>
  <si>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</si>
  <si>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</si>
  <si>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</si>
  <si>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</si>
  <si>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</si>
  <si>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</si>
  <si>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</si>
  <si>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</si>
  <si>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</si>
  <si>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</si>
  <si>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</si>
  <si>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</si>
  <si>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</si>
  <si>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</si>
  <si>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</si>
  <si>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</si>
  <si>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</si>
  <si>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</si>
  <si>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</si>
  <si>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</si>
  <si>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</si>
  <si>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</si>
  <si>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</si>
  <si>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</si>
  <si>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</si>
  <si>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</si>
  <si>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</si>
  <si>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</si>
  <si>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</si>
  <si>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</si>
  <si>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</si>
  <si>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</si>
  <si>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</si>
  <si>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</si>
  <si>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</si>
  <si>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</si>
  <si>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</si>
  <si>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</si>
  <si>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</si>
  <si>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</si>
  <si>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</si>
  <si>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</si>
  <si>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</si>
  <si>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</si>
  <si>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</si>
  <si>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</si>
  <si>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</si>
  <si>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</si>
  <si>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</si>
  <si>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</si>
  <si>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</si>
  <si>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</si>
  <si>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</si>
  <si>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</si>
  <si>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</si>
  <si>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</si>
  <si>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</si>
  <si>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</si>
  <si>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</si>
  <si>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</si>
  <si>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</si>
  <si>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</si>
  <si>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</si>
  <si>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</si>
  <si>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</si>
  <si>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</si>
  <si>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</si>
  <si>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</si>
  <si>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</si>
  <si>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</si>
  <si>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</si>
  <si>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</si>
  <si>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</si>
  <si>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</si>
  <si>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</si>
  <si>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</si>
  <si>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</si>
  <si>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</si>
  <si>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</si>
  <si>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</si>
  <si>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</si>
  <si>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</si>
  <si>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</si>
  <si>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</si>
  <si>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</si>
  <si>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</si>
  <si>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</si>
  <si>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</si>
  <si>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</si>
  <si>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</si>
  <si>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</si>
  <si>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</si>
  <si>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</si>
  <si>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</si>
  <si>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</si>
  <si>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</si>
  <si>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</si>
  <si>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</si>
  <si>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</si>
  <si>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</si>
  <si>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</si>
  <si>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</si>
  <si>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</si>
  <si>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</si>
  <si>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</si>
  <si>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</si>
  <si>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</si>
  <si>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</si>
  <si>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</si>
  <si>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</si>
  <si>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</si>
  <si>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</si>
  <si>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</si>
  <si>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</si>
  <si>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</si>
  <si>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</si>
  <si>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</si>
  <si>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</si>
  <si>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</si>
  <si>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</si>
  <si>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</si>
  <si>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</si>
  <si>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</si>
  <si>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</si>
  <si>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</si>
  <si>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</si>
  <si>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</si>
  <si>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</si>
  <si>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</si>
  <si>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</si>
  <si>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</si>
  <si>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</si>
  <si>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</si>
  <si>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</si>
  <si>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</si>
  <si>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</si>
  <si>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</si>
  <si>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</si>
  <si>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</si>
  <si>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</si>
  <si>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</si>
  <si>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</si>
  <si>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</si>
  <si>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</si>
  <si>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</si>
  <si>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</si>
  <si>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</si>
  <si>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</si>
  <si>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</si>
  <si>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</si>
  <si>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</si>
  <si>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</si>
  <si>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</si>
  <si>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</si>
  <si>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</si>
  <si>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</si>
  <si>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</si>
  <si>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</si>
  <si>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</si>
  <si>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</si>
  <si>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</si>
  <si>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</si>
  <si>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</si>
  <si>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</si>
  <si>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</si>
  <si>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</si>
  <si>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</si>
  <si>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</si>
  <si>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</si>
  <si>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</si>
  <si>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</si>
  <si>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</si>
  <si>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</si>
  <si>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</si>
  <si>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</si>
  <si>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</si>
  <si>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</si>
  <si>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</si>
  <si>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</si>
  <si>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</si>
  <si>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</si>
  <si>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</si>
  <si>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</si>
  <si>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</si>
  <si>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</si>
  <si>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</si>
  <si>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</si>
  <si>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</si>
  <si>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</si>
  <si>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</si>
  <si>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</si>
  <si>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</si>
  <si>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</si>
  <si>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</si>
  <si>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</si>
  <si>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</si>
  <si>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</si>
  <si>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</si>
  <si>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</si>
  <si>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</si>
  <si>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</si>
  <si>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</si>
  <si>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</si>
  <si>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</si>
  <si>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</si>
  <si>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</si>
  <si>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</si>
  <si>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</si>
  <si>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</si>
  <si>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</si>
  <si>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</si>
  <si>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</si>
  <si>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</si>
  <si>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</si>
  <si>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</si>
  <si>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</si>
  <si>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</si>
  <si>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</si>
  <si>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</si>
  <si>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</si>
  <si>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</si>
  <si>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</si>
  <si>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</si>
  <si>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</si>
  <si>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</si>
  <si>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</si>
  <si>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</si>
  <si>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</si>
  <si>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</si>
  <si>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</si>
  <si>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</si>
  <si>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</si>
  <si>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</si>
  <si>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</si>
  <si>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</si>
  <si>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</si>
  <si>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</si>
  <si>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</si>
  <si>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</si>
  <si>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</si>
  <si>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</si>
  <si>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</si>
  <si>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</si>
  <si>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</si>
  <si>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</si>
  <si>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</si>
  <si>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</si>
  <si>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</si>
  <si>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</si>
  <si>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</si>
  <si>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</si>
  <si>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</si>
  <si>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</si>
  <si>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</si>
  <si>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</si>
  <si>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</si>
  <si>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</si>
  <si>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</si>
  <si>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</si>
  <si>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</si>
  <si>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</si>
  <si>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</si>
  <si>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</si>
  <si>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</si>
  <si>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</si>
  <si>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</si>
  <si>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</si>
  <si>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</si>
  <si>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</si>
  <si>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</si>
  <si>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</si>
  <si>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</si>
  <si>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</si>
  <si>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</si>
  <si>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</si>
  <si>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</si>
  <si>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</si>
  <si>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</si>
  <si>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</si>
  <si>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</si>
  <si>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</si>
  <si>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</si>
  <si>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</si>
  <si>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</si>
  <si>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</si>
  <si>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</si>
  <si>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</si>
  <si>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</si>
  <si>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</si>
  <si>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</si>
  <si>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</si>
  <si>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</si>
  <si>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</si>
  <si>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</si>
  <si>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</si>
  <si>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</si>
  <si>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</si>
  <si>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</si>
  <si>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</si>
  <si>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</si>
  <si>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</si>
  <si>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</si>
  <si>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</si>
  <si>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</si>
  <si>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</si>
  <si>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</si>
  <si>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</si>
  <si>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</si>
  <si>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</si>
  <si>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</si>
  <si>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</si>
  <si>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</si>
  <si>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</si>
  <si>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</si>
  <si>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</si>
  <si>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</si>
  <si>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</si>
  <si>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</si>
  <si>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</si>
  <si>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</si>
  <si>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</si>
  <si>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</si>
  <si>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</si>
  <si>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</si>
  <si>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</si>
  <si>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</si>
  <si>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</si>
  <si>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</si>
  <si>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</si>
  <si>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</si>
  <si>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</si>
  <si>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</si>
  <si>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</si>
  <si>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</si>
  <si>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</si>
  <si>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</si>
  <si>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</si>
  <si>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</si>
  <si>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</si>
  <si>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</si>
  <si>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</si>
  <si>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</si>
  <si>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</si>
  <si>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</si>
  <si>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</si>
  <si>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</si>
  <si>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</si>
  <si>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</si>
  <si>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</si>
  <si>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</si>
  <si>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</si>
  <si>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</si>
  <si>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</si>
  <si>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</si>
  <si>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</si>
  <si>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</si>
  <si>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</si>
  <si>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</si>
  <si>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</si>
  <si>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</si>
  <si>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</si>
  <si>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</si>
  <si>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</si>
  <si>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</si>
  <si>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</si>
  <si>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</si>
  <si>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</si>
  <si>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</si>
  <si>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</si>
  <si>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</si>
  <si>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</si>
  <si>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</si>
  <si>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</si>
  <si>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</si>
  <si>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</si>
  <si>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</si>
  <si>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</si>
  <si>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</si>
  <si>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</si>
  <si>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</si>
  <si>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</si>
  <si>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</si>
  <si>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</si>
  <si>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</si>
  <si>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</si>
  <si>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</si>
  <si>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</si>
  <si>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</si>
  <si>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</si>
  <si>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</si>
  <si>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</si>
  <si>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</si>
  <si>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</si>
  <si>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</si>
  <si>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</si>
  <si>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</si>
  <si>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</si>
  <si>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</si>
  <si>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</si>
  <si>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</si>
  <si>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</si>
  <si>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</si>
  <si>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</si>
  <si>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</si>
  <si>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</si>
  <si>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</si>
  <si>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</si>
  <si>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</si>
  <si>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</si>
  <si>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</si>
  <si>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</si>
  <si>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</si>
  <si>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</si>
  <si>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</si>
  <si>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</si>
  <si>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</si>
  <si>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</si>
  <si>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</si>
  <si>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</si>
  <si>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</si>
  <si>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</si>
  <si>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</si>
  <si>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</si>
  <si>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</si>
  <si>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</si>
  <si>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</si>
  <si>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</si>
  <si>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</si>
  <si>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</si>
  <si>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</si>
  <si>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</si>
  <si>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</si>
  <si>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</si>
  <si>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</si>
  <si>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</si>
  <si>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</si>
  <si>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</si>
  <si>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</si>
  <si>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</si>
  <si>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</si>
  <si>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</si>
  <si>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</si>
  <si>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</si>
  <si>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</si>
  <si>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</si>
  <si>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</si>
  <si>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</si>
  <si>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</si>
  <si>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</si>
  <si>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</si>
  <si>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</si>
  <si>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</si>
  <si>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</si>
  <si>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</si>
  <si>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</si>
  <si>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</si>
  <si>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</si>
  <si>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</si>
  <si>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</si>
  <si>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</si>
  <si>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</si>
  <si>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</si>
  <si>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</si>
  <si>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</si>
  <si>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</si>
  <si>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</si>
  <si>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</si>
  <si>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</si>
  <si>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</si>
  <si>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</si>
  <si>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</si>
  <si>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</si>
  <si>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</si>
  <si>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</si>
  <si>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</si>
  <si>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</si>
  <si>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</si>
  <si>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</si>
  <si>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</si>
  <si>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</si>
  <si>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</si>
  <si>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</si>
  <si>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</si>
  <si>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</si>
  <si>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</si>
  <si>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</si>
  <si>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</si>
  <si>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</si>
  <si>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</si>
  <si>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</si>
  <si>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</si>
  <si>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</si>
  <si>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</si>
  <si>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</si>
  <si>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</si>
  <si>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</si>
  <si>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</si>
  <si>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</si>
  <si>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</si>
  <si>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</si>
  <si>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</si>
  <si>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</si>
  <si>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</si>
  <si>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</si>
  <si>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</si>
  <si>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</si>
  <si>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</si>
  <si>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</si>
  <si>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</si>
  <si>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</si>
  <si>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</si>
  <si>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</si>
  <si>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</si>
  <si>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</si>
  <si>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</si>
  <si>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</si>
  <si>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</si>
  <si>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</si>
  <si>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</si>
  <si>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</si>
  <si>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</si>
  <si>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</si>
  <si>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</si>
  <si>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</si>
  <si>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</si>
  <si>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</si>
  <si>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</si>
  <si>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</si>
  <si>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</si>
  <si>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</si>
  <si>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</si>
  <si>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</si>
  <si>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</si>
  <si>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</si>
  <si>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</si>
  <si>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</si>
  <si>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</si>
  <si>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</si>
  <si>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</si>
  <si>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</si>
  <si>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</si>
  <si>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</si>
  <si>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</si>
  <si>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</si>
  <si>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</si>
  <si>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</si>
  <si>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</si>
  <si>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</si>
  <si>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</si>
  <si>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</si>
  <si>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</si>
  <si>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</si>
  <si>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</si>
  <si>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</si>
  <si>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</si>
  <si>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</si>
  <si>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</si>
  <si>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</si>
  <si>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</si>
  <si>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</si>
  <si>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</si>
  <si>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</si>
  <si>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</si>
  <si>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</si>
  <si>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</si>
  <si>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</si>
  <si>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</si>
  <si>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</si>
  <si>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</si>
  <si>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</si>
  <si>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</si>
  <si>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</si>
  <si>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</si>
  <si>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</si>
  <si>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</si>
  <si>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</si>
  <si>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</si>
  <si>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</si>
  <si>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</si>
  <si>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</si>
  <si>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</si>
  <si>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</si>
  <si>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</si>
  <si>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</si>
  <si>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</si>
  <si>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</si>
  <si>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</si>
  <si>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</si>
  <si>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</si>
  <si>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</si>
  <si>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</si>
  <si>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</si>
  <si>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</si>
  <si>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</si>
  <si>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</si>
  <si>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</si>
  <si>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</si>
  <si>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</si>
  <si>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</si>
  <si>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</si>
  <si>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</si>
  <si>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</si>
  <si>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</si>
  <si>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t>顶层/9</t>
    <phoneticPr fontId="4" type="noConversion"/>
  </si>
  <si>
    <t>高楼层/9</t>
    <phoneticPr fontId="4" type="noConversion"/>
  </si>
  <si>
    <t>高楼层/9</t>
    <phoneticPr fontId="4" type="noConversion"/>
  </si>
  <si>
    <t>板楼</t>
  </si>
  <si>
    <t>专业</t>
  </si>
  <si>
    <t>跃层</t>
  </si>
  <si>
    <t>高楼层/9</t>
    <phoneticPr fontId="4" type="noConversion"/>
  </si>
  <si>
    <t>顶层/9</t>
    <phoneticPr fontId="4" type="noConversion"/>
  </si>
  <si>
    <t>北京市朝阳区十八里店乡周庄山水文园（山水文园一期）</t>
    <phoneticPr fontId="4" type="noConversion"/>
  </si>
  <si>
    <t>估价对象紧邻城市支路——弘燕南一路，周边地铁10、14号线（十里河站）、有8、29、34、51、53、513、680路公交线路等，综合评价交通便捷度较好</t>
    <phoneticPr fontId="4" type="noConversion"/>
  </si>
  <si>
    <t>北京市朝阳区十八里店乡周庄山水文园9号楼4-301号（山水文园一期）</t>
    <phoneticPr fontId="4" type="noConversion"/>
  </si>
  <si>
    <r>
      <t>3/9</t>
    </r>
    <r>
      <rPr>
        <sz val="11"/>
        <rFont val="宋体"/>
        <family val="3"/>
        <charset val="134"/>
      </rPr>
      <t>（低楼层）</t>
    </r>
    <phoneticPr fontId="4" type="noConversion"/>
  </si>
  <si>
    <r>
      <t>3/9</t>
    </r>
    <r>
      <rPr>
        <sz val="11"/>
        <color indexed="8"/>
        <rFont val="宋体"/>
        <family val="3"/>
        <charset val="134"/>
      </rPr>
      <t>（低楼层）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</si>
</sst>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417763</xdr:colOff>
      <xdr:row>33</xdr:row>
      <xdr:rowOff>46912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04763" cy="5704762"/>
        </a:xfrm>
        <a:prstGeom prst="rect">
          <a:avLst/>
        </a:prstGeom>
      </xdr:spPr>
    </xdr:pic>
    <xdr:clientData/>
  </xdr:twoCellAnchor>
  <xdr:twoCellAnchor editAs="oneCell">
    <xdr:from>
      <xdr:col>1</xdr:col>
      <xdr:colOff>0</xdr:colOff>
      <xdr:row>34</xdr:row>
      <xdr:rowOff>0</xdr:rowOff>
    </xdr:from>
    <xdr:to>
      <xdr:col>10</xdr:col>
      <xdr:colOff>532562</xdr:colOff>
      <xdr:row>57</xdr:row>
      <xdr:rowOff>104269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829300"/>
          <a:ext cx="6704762" cy="4047619"/>
        </a:xfrm>
        <a:prstGeom prst="rect">
          <a:avLst/>
        </a:prstGeom>
      </xdr:spPr>
    </xdr:pic>
    <xdr:clientData/>
  </xdr:twoCellAnchor>
  <xdr:twoCellAnchor editAs="oneCell">
    <xdr:from>
      <xdr:col>1</xdr:col>
      <xdr:colOff>0</xdr:colOff>
      <xdr:row>59</xdr:row>
      <xdr:rowOff>0</xdr:rowOff>
    </xdr:from>
    <xdr:to>
      <xdr:col>15</xdr:col>
      <xdr:colOff>455944</xdr:colOff>
      <xdr:row>91</xdr:row>
      <xdr:rowOff>75505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0115550"/>
          <a:ext cx="10057144" cy="5561905"/>
        </a:xfrm>
        <a:prstGeom prst="rect">
          <a:avLst/>
        </a:prstGeom>
      </xdr:spPr>
    </xdr:pic>
    <xdr:clientData/>
  </xdr:twoCellAnchor>
  <xdr:twoCellAnchor editAs="oneCell">
    <xdr:from>
      <xdr:col>1</xdr:col>
      <xdr:colOff>0</xdr:colOff>
      <xdr:row>93</xdr:row>
      <xdr:rowOff>0</xdr:rowOff>
    </xdr:from>
    <xdr:to>
      <xdr:col>10</xdr:col>
      <xdr:colOff>142086</xdr:colOff>
      <xdr:row>118</xdr:row>
      <xdr:rowOff>66131</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944850"/>
          <a:ext cx="6314286" cy="4352381"/>
        </a:xfrm>
        <a:prstGeom prst="rect">
          <a:avLst/>
        </a:prstGeom>
      </xdr:spPr>
    </xdr:pic>
    <xdr:clientData/>
  </xdr:twoCellAnchor>
  <xdr:twoCellAnchor editAs="oneCell">
    <xdr:from>
      <xdr:col>1</xdr:col>
      <xdr:colOff>0</xdr:colOff>
      <xdr:row>120</xdr:row>
      <xdr:rowOff>0</xdr:rowOff>
    </xdr:from>
    <xdr:to>
      <xdr:col>15</xdr:col>
      <xdr:colOff>636896</xdr:colOff>
      <xdr:row>155</xdr:row>
      <xdr:rowOff>27822</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20574000"/>
          <a:ext cx="10238096" cy="6028572"/>
        </a:xfrm>
        <a:prstGeom prst="rect">
          <a:avLst/>
        </a:prstGeom>
      </xdr:spPr>
    </xdr:pic>
    <xdr:clientData/>
  </xdr:twoCellAnchor>
  <xdr:twoCellAnchor editAs="oneCell">
    <xdr:from>
      <xdr:col>2</xdr:col>
      <xdr:colOff>0</xdr:colOff>
      <xdr:row>156</xdr:row>
      <xdr:rowOff>0</xdr:rowOff>
    </xdr:from>
    <xdr:to>
      <xdr:col>11</xdr:col>
      <xdr:colOff>256372</xdr:colOff>
      <xdr:row>180</xdr:row>
      <xdr:rowOff>113772</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26746200"/>
          <a:ext cx="6428572" cy="4228572"/>
        </a:xfrm>
        <a:prstGeom prst="rect">
          <a:avLst/>
        </a:prstGeom>
      </xdr:spPr>
    </xdr:pic>
    <xdr:clientData/>
  </xdr:twoCellAnchor>
  <xdr:twoCellAnchor editAs="oneCell">
    <xdr:from>
      <xdr:col>0</xdr:col>
      <xdr:colOff>0</xdr:colOff>
      <xdr:row>184</xdr:row>
      <xdr:rowOff>0</xdr:rowOff>
    </xdr:from>
    <xdr:to>
      <xdr:col>11</xdr:col>
      <xdr:colOff>599058</xdr:colOff>
      <xdr:row>203</xdr:row>
      <xdr:rowOff>142450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1546800"/>
          <a:ext cx="8142858" cy="3400000"/>
        </a:xfrm>
        <a:prstGeom prst="rect">
          <a:avLst/>
        </a:prstGeom>
      </xdr:spPr>
    </xdr:pic>
    <xdr:clientData/>
  </xdr:twoCellAnchor>
  <xdr:twoCellAnchor editAs="oneCell">
    <xdr:from>
      <xdr:col>0</xdr:col>
      <xdr:colOff>0</xdr:colOff>
      <xdr:row>205</xdr:row>
      <xdr:rowOff>0</xdr:rowOff>
    </xdr:from>
    <xdr:to>
      <xdr:col>16</xdr:col>
      <xdr:colOff>74820</xdr:colOff>
      <xdr:row>245</xdr:row>
      <xdr:rowOff>37239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5147250"/>
          <a:ext cx="11047620" cy="6895239"/>
        </a:xfrm>
        <a:prstGeom prst="rect">
          <a:avLst/>
        </a:prstGeom>
      </xdr:spPr>
    </xdr:pic>
    <xdr:clientData/>
  </xdr:twoCellAnchor>
  <xdr:twoCellAnchor editAs="oneCell">
    <xdr:from>
      <xdr:col>0</xdr:col>
      <xdr:colOff>0</xdr:colOff>
      <xdr:row>247</xdr:row>
      <xdr:rowOff>0</xdr:rowOff>
    </xdr:from>
    <xdr:to>
      <xdr:col>15</xdr:col>
      <xdr:colOff>160620</xdr:colOff>
      <xdr:row>281</xdr:row>
      <xdr:rowOff>94510</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2348150"/>
          <a:ext cx="10447620" cy="5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15172162</v>
      </c>
    </row>
    <row r="20" spans="1:2">
      <c r="A20" s="1702" t="s">
        <v>1164</v>
      </c>
      <c r="B20" s="1689" t="str">
        <f>'预评函-2（1）'!C7</f>
        <v>总价（元）</v>
      </c>
    </row>
    <row r="21" spans="1:2">
      <c r="A21" s="1702" t="s">
        <v>1127</v>
      </c>
      <c r="B21" s="1689">
        <f ca="1">'预评函-2（1）'!D9</f>
        <v>84534</v>
      </c>
    </row>
    <row r="22" spans="1:2">
      <c r="A22" s="1702" t="s">
        <v>1128</v>
      </c>
      <c r="B22" s="1689" t="str">
        <f ca="1">'预评函-2（1）'!D8</f>
        <v>壹仟伍佰壹拾柒万贰仟壹佰陆拾贰元整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15172162</v>
      </c>
    </row>
    <row r="30" spans="1:2">
      <c r="A30" s="1702" t="s">
        <v>1134</v>
      </c>
      <c r="B30" s="1689" t="str">
        <f ca="1">'预评函-2（1）'!D16</f>
        <v>壹仟伍佰壹拾柒万贰仟壹佰陆拾贰元整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14125255</v>
      </c>
    </row>
    <row r="38" spans="1:2">
      <c r="A38" s="1702" t="s">
        <v>1142</v>
      </c>
      <c r="B38" s="1689">
        <f ca="1">'预评函-2（2）'!E4</f>
        <v>78701</v>
      </c>
    </row>
    <row r="39" spans="1:2">
      <c r="A39" s="1702" t="s">
        <v>1143</v>
      </c>
      <c r="B39" s="1689" t="str">
        <f ca="1">'预评函-2（2）'!D5</f>
        <v>壹仟肆佰壹拾贰万伍仟贰佰伍拾伍元整</v>
      </c>
    </row>
    <row r="40" spans="1:2">
      <c r="A40" s="1702" t="s">
        <v>1144</v>
      </c>
      <c r="B40" s="1689">
        <f ca="1">'预评函-2（2）'!F4</f>
        <v>1046907</v>
      </c>
    </row>
    <row r="41" spans="1:2">
      <c r="A41" s="1702" t="s">
        <v>1145</v>
      </c>
      <c r="B41" s="1689">
        <f ca="1">'预评函-2（2）'!G4</f>
        <v>5833</v>
      </c>
    </row>
    <row r="42" spans="1:2" s="1699" customFormat="1" ht="15.75" thickBot="1">
      <c r="A42" s="1703" t="s">
        <v>1146</v>
      </c>
      <c r="B42" s="1691" t="str">
        <f ca="1">'预评函-2（2）'!F5</f>
        <v>壹佰零肆万陆仟玖佰零柒元整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84534</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F25" sqref="F2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2821</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179.48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538440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43207</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2146602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11960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625488</v>
      </c>
      <c r="D33" s="183"/>
      <c r="E33" s="1532"/>
      <c r="F33" s="191"/>
      <c r="G33" s="184"/>
    </row>
    <row r="34" spans="1:7" s="206" customFormat="1" ht="13.5" customHeight="1">
      <c r="A34" s="176" t="s">
        <v>2044</v>
      </c>
      <c r="B34" s="177" t="s">
        <v>2066</v>
      </c>
      <c r="C34" s="199">
        <f>IF(B1="仅计算典型户型",'数据-取费表'!F18,'数据-取费表'!E18)</f>
        <v>538440</v>
      </c>
      <c r="D34" s="1533"/>
      <c r="E34" s="199"/>
      <c r="F34" s="1544" t="str">
        <f>IF('数据-取费表'!B25=0,"",'数据-取费表'!E20)</f>
        <v/>
      </c>
      <c r="G34" s="179"/>
    </row>
    <row r="35" spans="1:7" ht="13.5" customHeight="1">
      <c r="A35" s="176" t="s">
        <v>2018</v>
      </c>
      <c r="B35" s="177" t="s">
        <v>2067</v>
      </c>
      <c r="C35" s="199">
        <f>ROUND(C34*F35,0)</f>
        <v>16153</v>
      </c>
      <c r="D35" s="199"/>
      <c r="E35" s="199"/>
      <c r="F35" s="1545">
        <f>'数据-取费表'!E21</f>
        <v>0.03</v>
      </c>
      <c r="G35" s="179" t="s">
        <v>2068</v>
      </c>
    </row>
    <row r="36" spans="1:7" ht="24">
      <c r="A36" s="176" t="s">
        <v>2020</v>
      </c>
      <c r="B36" s="177" t="s">
        <v>2069</v>
      </c>
      <c r="C36" s="199">
        <f>ROUND(IF('数据-取费表'!B10="住宅",C34*F36,0),0)</f>
        <v>26922</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8077</v>
      </c>
      <c r="D38" s="199"/>
      <c r="E38" s="199"/>
      <c r="F38" s="1545">
        <f>'数据-取费表'!E24</f>
        <v>1.4999999999999999E-2</v>
      </c>
      <c r="G38" s="179" t="s">
        <v>2068</v>
      </c>
    </row>
    <row r="39" spans="1:7" s="175" customFormat="1" ht="13.5" customHeight="1">
      <c r="A39" s="204" t="s">
        <v>2033</v>
      </c>
      <c r="B39" s="173" t="s">
        <v>2036</v>
      </c>
      <c r="C39" s="183">
        <f>ROUND(C33*F20,0)</f>
        <v>12510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22596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22153</v>
      </c>
      <c r="D42" s="188"/>
      <c r="E42" s="188"/>
      <c r="F42" s="189"/>
      <c r="G42" s="2978" t="s">
        <v>2078</v>
      </c>
    </row>
    <row r="43" spans="1:7" ht="13.5" customHeight="1">
      <c r="A43" s="176" t="s">
        <v>2018</v>
      </c>
      <c r="B43" s="177" t="s">
        <v>2047</v>
      </c>
      <c r="C43" s="188">
        <f ca="1">ROUND(IF('数据-取费表'!B23&lt;=1,C39*F22*'数据-取费表'!B22/2,C39*(POWER((1+F22),'数据-取费表'!B22/2)-1)),0)</f>
        <v>443</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159500</v>
      </c>
      <c r="D45" s="185">
        <f>C47</f>
        <v>5.0000000000000001E-3</v>
      </c>
      <c r="E45" s="186" t="s">
        <v>2076</v>
      </c>
      <c r="F45" s="196"/>
      <c r="G45" s="197" t="s">
        <v>2079</v>
      </c>
    </row>
    <row r="46" spans="1:7" s="175" customFormat="1" ht="13.5" customHeight="1">
      <c r="A46" s="176" t="s">
        <v>2044</v>
      </c>
      <c r="B46" s="198" t="s">
        <v>2080</v>
      </c>
      <c r="C46" s="199">
        <f>ROUND((C33+C39)*F27,0)</f>
        <v>159500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890439</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667829</v>
      </c>
      <c r="D51" s="183"/>
      <c r="E51" s="183"/>
      <c r="F51" s="210"/>
      <c r="G51" s="184" t="s">
        <v>2092</v>
      </c>
    </row>
    <row r="52" spans="1:7" s="172" customFormat="1" ht="16.5" thickBot="1">
      <c r="A52" s="211" t="s">
        <v>2093</v>
      </c>
      <c r="B52" s="212"/>
      <c r="C52" s="213">
        <f ca="1">C31+C51</f>
        <v>2146602</v>
      </c>
      <c r="D52" s="212"/>
      <c r="E52" s="212"/>
      <c r="F52" s="212"/>
      <c r="G52" s="214"/>
    </row>
    <row r="55" spans="1:7" ht="15">
      <c r="B55" s="216" t="s">
        <v>2094</v>
      </c>
      <c r="C55" s="217"/>
    </row>
    <row r="56" spans="1:7">
      <c r="B56" s="219" t="s">
        <v>2095</v>
      </c>
      <c r="C56" s="220">
        <f ca="1">ROUND(C51/C52,3)</f>
        <v>0.311</v>
      </c>
    </row>
    <row r="57" spans="1:7">
      <c r="B57" s="219" t="s">
        <v>2096</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9710582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54104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262528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262200</v>
      </c>
      <c r="D6" s="80" t="s">
        <v>2805</v>
      </c>
      <c r="E6" s="319" t="s">
        <v>2109</v>
      </c>
      <c r="F6" s="320">
        <f>'数据-取费表'!B29</f>
        <v>23000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328</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667829</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538440</v>
      </c>
      <c r="D14" s="1888" t="s">
        <v>2128</v>
      </c>
      <c r="E14" s="1889"/>
      <c r="F14" s="979"/>
      <c r="G14" s="1239"/>
      <c r="H14" s="337" t="s">
        <v>2107</v>
      </c>
      <c r="I14" s="319" t="s">
        <v>2129</v>
      </c>
      <c r="J14" s="14">
        <f ca="1">C29</f>
        <v>890439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16153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26922</v>
      </c>
      <c r="D16" s="319" t="s">
        <v>2132</v>
      </c>
      <c r="E16" s="319" t="s">
        <v>2133</v>
      </c>
      <c r="F16" s="342">
        <f>IF('数据-取费表'!B10="住宅",'数据-取费表'!E22,0)</f>
        <v>0.05</v>
      </c>
      <c r="G16" s="1239"/>
      <c r="H16" s="1420" t="s">
        <v>14</v>
      </c>
      <c r="I16" s="1421" t="s">
        <v>2138</v>
      </c>
      <c r="J16" s="327">
        <f ca="1">ROUND(J17+J22+J23+J24,0)</f>
        <v>8904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8077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625488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12510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8904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22596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-8904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159500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890439</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25323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13126.4</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53426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8904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668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2625</v>
      </c>
      <c r="D38" s="1433" t="s">
        <v>2180</v>
      </c>
      <c r="E38" s="1431" t="s">
        <v>2176</v>
      </c>
      <c r="F38" s="1426">
        <f>'数据-取费表'!B46</f>
        <v>0.01</v>
      </c>
      <c r="G38" s="791"/>
      <c r="H38" s="1230"/>
      <c r="I38" s="365" t="s">
        <v>2218</v>
      </c>
      <c r="J38" s="220">
        <f ca="1">ROUND(J34/C39,3)</f>
        <v>0.22500000000000001</v>
      </c>
      <c r="K38" s="1235"/>
      <c r="L38" s="1230"/>
      <c r="M38" s="1230"/>
    </row>
    <row r="39" spans="1:18" ht="18" customHeight="1" thickTop="1">
      <c r="A39" s="1420" t="s">
        <v>22</v>
      </c>
      <c r="B39" s="1435" t="s">
        <v>2219</v>
      </c>
      <c r="C39" s="327">
        <f ca="1">C5-C30</f>
        <v>237205</v>
      </c>
      <c r="D39" s="1436" t="s">
        <v>2220</v>
      </c>
      <c r="E39" s="1437"/>
      <c r="F39" s="1438"/>
      <c r="G39" s="791"/>
      <c r="H39" s="1230"/>
      <c r="I39" s="365" t="s">
        <v>2221</v>
      </c>
      <c r="J39" s="220">
        <f ca="1">1-J38</f>
        <v>0.77500000000000002</v>
      </c>
      <c r="K39" s="1235"/>
      <c r="L39" s="1230"/>
      <c r="M39" s="1230"/>
    </row>
    <row r="40" spans="1:18" s="791" customFormat="1" ht="18" customHeight="1">
      <c r="A40" s="316" t="s">
        <v>23</v>
      </c>
      <c r="B40" s="317" t="s">
        <v>2222</v>
      </c>
      <c r="C40" s="318">
        <f ca="1">ROUND(C39*(1-((1+F42)/(1+F40))^F41)/(F40-F42),0)</f>
        <v>9710582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6.9000000000000006E-2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0.93100000000000005</v>
      </c>
      <c r="K42" s="1234"/>
      <c r="L42" s="1237"/>
      <c r="M42" s="1237"/>
      <c r="Q42" s="795"/>
    </row>
    <row r="43" spans="1:18" s="791" customFormat="1" ht="18" customHeight="1" thickBot="1">
      <c r="A43" s="356" t="s">
        <v>24</v>
      </c>
      <c r="B43" s="357" t="s">
        <v>2225</v>
      </c>
      <c r="C43" s="358">
        <f ca="1">ROUND(C40/F43,0)</f>
        <v>54104</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9710582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-9921658</v>
      </c>
      <c r="D47" s="2345" t="str">
        <f>C2</f>
        <v>元</v>
      </c>
      <c r="E47" s="776"/>
      <c r="F47" s="776"/>
      <c r="I47" s="2346" t="s">
        <v>2238</v>
      </c>
      <c r="J47" s="1343"/>
      <c r="K47" s="1344"/>
      <c r="L47" s="1357">
        <f>IF(M48="住宅",0,IF(L49&gt;J52,L61,J61))</f>
        <v>0</v>
      </c>
      <c r="O47" s="1371" t="s">
        <v>960</v>
      </c>
      <c r="P47" s="1368" t="s">
        <v>2239</v>
      </c>
      <c r="Q47" s="1369">
        <f ca="1">C29</f>
        <v>890439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9710582</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212953334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9710582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667829</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890439</v>
      </c>
      <c r="D58" s="1294"/>
      <c r="E58" s="1295"/>
      <c r="F58" s="1302"/>
      <c r="I58" s="2366" t="s">
        <v>2274</v>
      </c>
      <c r="J58" s="1354" t="str">
        <f>IF(OR(M48="住宅",J52&lt;L49,J57="是"),"——",J52-L49)</f>
        <v>——</v>
      </c>
      <c r="K58" s="2350" t="s">
        <v>2275</v>
      </c>
      <c r="L58" s="1128">
        <f ca="1">IF(L49&lt;J52,"——",IF(L56="比较法",L50,IF(L56="基准地价",L51,L52)))</f>
        <v>212953334</v>
      </c>
      <c r="O58" s="1371" t="s">
        <v>962</v>
      </c>
      <c r="P58" s="1368" t="s">
        <v>2276</v>
      </c>
      <c r="Q58" s="1369" t="e">
        <f>L59</f>
        <v>#DIV/0!</v>
      </c>
      <c r="R58" s="1370" t="s">
        <v>2277</v>
      </c>
    </row>
    <row r="59" spans="1:18" s="791" customFormat="1" ht="29.25" thickBot="1">
      <c r="A59" s="332" t="s">
        <v>14</v>
      </c>
      <c r="B59" s="333" t="s">
        <v>2205</v>
      </c>
      <c r="C59" s="334">
        <f ca="1">ROUND(C60+C65+C66+C67,0)</f>
        <v>9572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9710582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9710582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8904</v>
      </c>
      <c r="D65" s="1893" t="s">
        <v>2215</v>
      </c>
      <c r="E65" s="319" t="s">
        <v>2159</v>
      </c>
      <c r="F65" s="350">
        <f t="shared" si="0"/>
        <v>0.01</v>
      </c>
      <c r="I65" s="2369" t="s">
        <v>2296</v>
      </c>
      <c r="J65" s="1874">
        <v>50</v>
      </c>
      <c r="K65" s="1874">
        <v>35</v>
      </c>
      <c r="L65" s="1874">
        <v>60</v>
      </c>
      <c r="M65" s="1873">
        <v>0</v>
      </c>
      <c r="O65" s="1371" t="s">
        <v>960</v>
      </c>
      <c r="P65" s="1368" t="s">
        <v>2270</v>
      </c>
      <c r="Q65" s="1373">
        <f ca="1">L52</f>
        <v>212953334</v>
      </c>
      <c r="R65" s="1374" t="s">
        <v>2297</v>
      </c>
    </row>
    <row r="66" spans="1:18" s="791" customFormat="1" ht="20.25" thickBot="1">
      <c r="A66" s="337" t="s">
        <v>20</v>
      </c>
      <c r="B66" s="319" t="s">
        <v>2174</v>
      </c>
      <c r="C66" s="14">
        <f ca="1">ROUND(C57*F66,0)</f>
        <v>668</v>
      </c>
      <c r="D66" s="1893" t="s">
        <v>2175</v>
      </c>
      <c r="E66" s="319" t="s">
        <v>2176</v>
      </c>
      <c r="F66" s="351">
        <f t="shared" si="0"/>
        <v>1E-3</v>
      </c>
      <c r="I66" s="2369" t="s">
        <v>2298</v>
      </c>
      <c r="J66" s="1874">
        <v>40</v>
      </c>
      <c r="K66" s="1874">
        <v>30</v>
      </c>
      <c r="L66" s="1874">
        <v>50</v>
      </c>
      <c r="M66" s="1872">
        <v>0.02</v>
      </c>
      <c r="O66" s="1371" t="s">
        <v>961</v>
      </c>
      <c r="P66" s="1375" t="s">
        <v>2299</v>
      </c>
      <c r="Q66" s="1369">
        <f ca="1">ROUND(Q67-Q68*Q69,0)</f>
        <v>183779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237205</v>
      </c>
      <c r="R67" s="1370" t="s">
        <v>2234</v>
      </c>
    </row>
    <row r="68" spans="1:18" ht="15.75" thickBot="1">
      <c r="A68" s="332" t="s">
        <v>22</v>
      </c>
      <c r="B68" s="89" t="s">
        <v>2184</v>
      </c>
      <c r="C68" s="334">
        <f ca="1">C49-C59</f>
        <v>-9572</v>
      </c>
      <c r="D68" s="1888" t="s">
        <v>2185</v>
      </c>
      <c r="E68" s="1892"/>
      <c r="F68" s="353"/>
      <c r="H68" s="791"/>
      <c r="I68" s="791"/>
      <c r="J68" s="791"/>
      <c r="K68" s="791"/>
      <c r="L68" s="791"/>
      <c r="M68" s="791"/>
      <c r="O68" s="1371" t="s">
        <v>967</v>
      </c>
      <c r="P68" s="1375" t="s">
        <v>2301</v>
      </c>
      <c r="Q68" s="1369">
        <f ca="1">C13</f>
        <v>667829</v>
      </c>
      <c r="R68" s="1370" t="s">
        <v>2234</v>
      </c>
    </row>
    <row r="69" spans="1:18" ht="15.75" thickBot="1">
      <c r="A69" s="316" t="s">
        <v>23</v>
      </c>
      <c r="B69" s="317" t="s">
        <v>2222</v>
      </c>
      <c r="C69" s="318">
        <f ca="1">ROUND(C68*(1-((1+F71)/(1+F69))^F70)/(F69-F71),0)</f>
        <v>-211076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-1176</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9710582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6" zoomScale="90" zoomScaleNormal="90" workbookViewId="0">
      <selection activeCell="E19" sqref="E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16537467</v>
      </c>
      <c r="C2" s="163" t="str">
        <f>'数据-取费表'!B3</f>
        <v>元</v>
      </c>
      <c r="D2" s="2385" t="s">
        <v>1255</v>
      </c>
      <c r="E2" s="1843">
        <f ca="1">SUMIF(INDIRECT("'"&amp;G2&amp;"'"&amp;"!A:A"),"承租人权益价值",INDIRECT("'"&amp;G2&amp;"'"&amp;"!c:c"))</f>
        <v>-9921658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92141</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2905</v>
      </c>
      <c r="D5" s="3029"/>
      <c r="E5" s="3054" t="s">
        <v>2903</v>
      </c>
      <c r="F5" s="3055"/>
      <c r="G5" s="3028" t="s">
        <v>2903</v>
      </c>
      <c r="H5" s="3029"/>
      <c r="I5" s="3028" t="s">
        <v>2903</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2904</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2894</v>
      </c>
      <c r="D26" s="415">
        <v>100</v>
      </c>
      <c r="E26" s="2411" t="s">
        <v>2894</v>
      </c>
      <c r="F26" s="442">
        <f>SUMIF(88:88,E26,89:89)-SUMIF(88:88,C26,89:89)+100</f>
        <v>100</v>
      </c>
      <c r="G26" s="2412" t="s">
        <v>2894</v>
      </c>
      <c r="H26" s="415">
        <f>SUMIF(88:88,G26,89:89)-SUMIF(88:88,C26,89:89)+100</f>
        <v>100</v>
      </c>
      <c r="I26" s="2411" t="s">
        <v>2894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2849</v>
      </c>
      <c r="C28" s="414" t="s">
        <v>2906</v>
      </c>
      <c r="D28" s="415">
        <v>100</v>
      </c>
      <c r="E28" s="2745" t="s">
        <v>2895</v>
      </c>
      <c r="F28" s="442">
        <f>SUMIF(92:92,E28,93:93)-SUMIF(92:92,C28,93:93)+100</f>
        <v>98.5</v>
      </c>
      <c r="G28" s="2745" t="s">
        <v>2896</v>
      </c>
      <c r="H28" s="415">
        <f>SUMIF(92:92,G28,93:93)-SUMIF(92:92,C28,93:93)+100</f>
        <v>103</v>
      </c>
      <c r="I28" s="2745" t="s">
        <v>2897</v>
      </c>
      <c r="J28" s="415">
        <f>SUMIF(92:92,I28,93:93)-SUMIF(92:92,C28,93:93)+100</f>
        <v>103</v>
      </c>
      <c r="K28" s="2401"/>
      <c r="L28" s="1253"/>
      <c r="M28" s="1244"/>
      <c r="N28" s="1244"/>
      <c r="O28" s="1244"/>
      <c r="P28" s="3018"/>
      <c r="Q28" s="1899" t="str">
        <f t="shared" si="11"/>
        <v>楼层</v>
      </c>
      <c r="R28" s="753" t="s">
        <v>28</v>
      </c>
      <c r="S28" s="754">
        <f t="shared" ref="S28:S46" si="12">F28</f>
        <v>98.5</v>
      </c>
      <c r="T28" s="753" t="s">
        <v>28</v>
      </c>
      <c r="U28" s="754">
        <f t="shared" ref="U28:U46" si="13">H28</f>
        <v>103</v>
      </c>
      <c r="V28" s="753" t="s">
        <v>28</v>
      </c>
      <c r="W28" s="754">
        <f t="shared" ref="W28:W46" si="14">J28</f>
        <v>103</v>
      </c>
      <c r="X28" s="1900"/>
      <c r="Y28" s="3020"/>
      <c r="Z28" s="1902" t="str">
        <f t="shared" ref="Z28:Z46" si="15">Q28</f>
        <v>楼层</v>
      </c>
      <c r="AA28" s="1903">
        <f t="shared" si="3"/>
        <v>1.015228426395939</v>
      </c>
      <c r="AB28" s="1903">
        <f t="shared" si="4"/>
        <v>0.970873786407767</v>
      </c>
      <c r="AC28" s="1903">
        <f t="shared" si="5"/>
        <v>0.970873786407767</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2898</v>
      </c>
      <c r="D32" s="448">
        <v>100</v>
      </c>
      <c r="E32" s="2415" t="s">
        <v>2898</v>
      </c>
      <c r="F32" s="442">
        <f>SUMIF(100:100,E32,101:101)-SUMIF(100:100,C32,101:101)+100</f>
        <v>100</v>
      </c>
      <c r="G32" s="2414" t="s">
        <v>2898</v>
      </c>
      <c r="H32" s="448">
        <f>SUMIF(100:100,G32,101:101)-SUMIF(100:100,C32,101:101)+100</f>
        <v>100</v>
      </c>
      <c r="I32" s="2415" t="s">
        <v>2898</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22"/>
      <c r="Q33" s="755" t="str">
        <f t="shared" si="11"/>
        <v>项目建筑规模</v>
      </c>
      <c r="R33" s="756" t="s">
        <v>28</v>
      </c>
      <c r="S33" s="757">
        <f t="shared" si="12"/>
        <v>100</v>
      </c>
      <c r="T33" s="756" t="s">
        <v>28</v>
      </c>
      <c r="U33" s="757">
        <f t="shared" si="13"/>
        <v>100</v>
      </c>
      <c r="V33" s="756" t="s">
        <v>28</v>
      </c>
      <c r="W33" s="757">
        <f t="shared" si="14"/>
        <v>102</v>
      </c>
      <c r="X33" s="758"/>
      <c r="Y33" s="3024"/>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2899</v>
      </c>
      <c r="D38" s="415">
        <v>100</v>
      </c>
      <c r="E38" s="2411" t="s">
        <v>2899</v>
      </c>
      <c r="F38" s="442">
        <f>SUMIF(114:114,E38,115:115)-SUMIF(114:114,C38,115:115)+100</f>
        <v>100</v>
      </c>
      <c r="G38" s="2412" t="s">
        <v>2899</v>
      </c>
      <c r="H38" s="415">
        <f>SUMIF(114:114,G38,115:115)-SUMIF(114:114,C38,115:115)+100</f>
        <v>100</v>
      </c>
      <c r="I38" s="2411" t="s">
        <v>2899</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2900</v>
      </c>
      <c r="F40" s="442">
        <f>SUMIF(118:118,E40,119:119)-SUMIF(118:118,C40,119:119)+100</f>
        <v>103</v>
      </c>
      <c r="G40" s="2412" t="s">
        <v>2883</v>
      </c>
      <c r="H40" s="415">
        <f>SUMIF(118:118,G40,119:119)-SUMIF(118:118,C40,119:119)+100</f>
        <v>100</v>
      </c>
      <c r="I40" s="2411" t="s">
        <v>2883</v>
      </c>
      <c r="J40" s="415">
        <f>SUMIF(118:118,I40,119:119)-SUMIF(118:118,C40,119:119)+100</f>
        <v>100</v>
      </c>
      <c r="K40" s="406">
        <v>3</v>
      </c>
      <c r="L40" s="1253"/>
      <c r="M40" s="1244"/>
      <c r="N40" s="1244"/>
      <c r="O40" s="1244"/>
      <c r="P40" s="3022"/>
      <c r="Q40" s="1899" t="str">
        <f t="shared" si="11"/>
        <v>房型</v>
      </c>
      <c r="R40" s="753" t="s">
        <v>28</v>
      </c>
      <c r="S40" s="754">
        <f t="shared" si="12"/>
        <v>103</v>
      </c>
      <c r="T40" s="753" t="s">
        <v>28</v>
      </c>
      <c r="U40" s="754">
        <f t="shared" si="13"/>
        <v>100</v>
      </c>
      <c r="V40" s="753" t="s">
        <v>28</v>
      </c>
      <c r="W40" s="754">
        <f t="shared" si="14"/>
        <v>100</v>
      </c>
      <c r="X40" s="1900"/>
      <c r="Y40" s="3024"/>
      <c r="Z40" s="1902" t="str">
        <f t="shared" si="15"/>
        <v>房型</v>
      </c>
      <c r="AA40" s="1903">
        <f t="shared" si="3"/>
        <v>0.970873786407767</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22"/>
      <c r="Q44" s="1887" t="str">
        <f t="shared" si="11"/>
        <v>建成年代</v>
      </c>
      <c r="R44" s="749" t="s">
        <v>28</v>
      </c>
      <c r="S44" s="750">
        <f t="shared" si="12"/>
        <v>99</v>
      </c>
      <c r="T44" s="749" t="s">
        <v>28</v>
      </c>
      <c r="U44" s="750">
        <f t="shared" si="13"/>
        <v>99</v>
      </c>
      <c r="V44" s="749" t="s">
        <v>28</v>
      </c>
      <c r="W44" s="750">
        <f t="shared" si="14"/>
        <v>99</v>
      </c>
      <c r="X44" s="751"/>
      <c r="Y44" s="3024"/>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16" t="str">
        <f>A47</f>
        <v>成交单价（元/平方米）</v>
      </c>
      <c r="Q47" s="3016"/>
      <c r="R47" s="3012">
        <f>E47</f>
        <v>95445</v>
      </c>
      <c r="S47" s="3012"/>
      <c r="T47" s="3012">
        <f>G47</f>
        <v>94801</v>
      </c>
      <c r="U47" s="3012"/>
      <c r="V47" s="3012">
        <f>I47</f>
        <v>91971</v>
      </c>
      <c r="W47" s="3012"/>
      <c r="X47" s="738"/>
      <c r="Y47" s="760"/>
      <c r="Z47" s="738"/>
      <c r="AA47" s="738"/>
      <c r="AB47" s="738"/>
      <c r="AC47" s="738"/>
    </row>
    <row r="48" spans="1:29" ht="15.75" thickBot="1">
      <c r="A48" s="467" t="s">
        <v>2385</v>
      </c>
      <c r="B48" s="468"/>
      <c r="C48" s="1508">
        <f>R49</f>
        <v>92141</v>
      </c>
      <c r="D48" s="1509"/>
      <c r="E48" s="1510">
        <f>R48</f>
        <v>95026</v>
      </c>
      <c r="F48" s="1510"/>
      <c r="G48" s="1508">
        <f>T48</f>
        <v>92970</v>
      </c>
      <c r="H48" s="1509"/>
      <c r="I48" s="1510">
        <f>V48</f>
        <v>88426</v>
      </c>
      <c r="J48" s="1509"/>
      <c r="K48" s="2419"/>
      <c r="L48" s="1256"/>
      <c r="M48" s="1257"/>
      <c r="N48" s="1257"/>
      <c r="O48" s="1257"/>
      <c r="P48" s="3016" t="str">
        <f>A48</f>
        <v>比较价值（元/平方米）</v>
      </c>
      <c r="Q48" s="3016"/>
      <c r="R48" s="3012">
        <f>IF(E1="售价",ROUND(PRODUCT(R47,AA7:AA46),0),ROUND(PRODUCT(R47,AA7:AA46),1))</f>
        <v>95026</v>
      </c>
      <c r="S48" s="3012"/>
      <c r="T48" s="3010">
        <f>IF(E1="售价",ROUND(PRODUCT(T47,AB7:AB46),0),ROUND(PRODUCT(T47,AB7:AB46),1))</f>
        <v>92970</v>
      </c>
      <c r="U48" s="3011"/>
      <c r="V48" s="3012">
        <f>IF(E1="售价",ROUND(PRODUCT(V47,AC7:AC46),0),ROUND(PRODUCT(V47,AC7:AC46),1))</f>
        <v>88426</v>
      </c>
      <c r="W48" s="3012"/>
      <c r="X48" s="738"/>
      <c r="Y48" s="738"/>
      <c r="Z48" s="738"/>
      <c r="AA48" s="738"/>
      <c r="AB48" s="738"/>
      <c r="AC48" s="738"/>
    </row>
    <row r="49" spans="1:29" ht="15.75" thickBot="1">
      <c r="A49" s="473" t="s">
        <v>2386</v>
      </c>
      <c r="B49" s="474"/>
      <c r="C49" s="1511">
        <f>R49</f>
        <v>92141</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92141</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4.4093195546481834E-3</v>
      </c>
      <c r="F52" s="481" t="str">
        <f>IF(OR(E52&gt;=0.3,E52&lt;=-0.3),"超过30%","")</f>
        <v/>
      </c>
      <c r="G52" s="480">
        <f>IF(G47&lt;G48,G48/G47-1,G47/G48-1)</f>
        <v>1.9694525115628636E-2</v>
      </c>
      <c r="H52" s="481" t="str">
        <f>IF(OR(G52&gt;=0.3,G52&lt;=-0.3),"超过30%","")</f>
        <v/>
      </c>
      <c r="I52" s="480">
        <f>IF(I47&lt;I48,I48/I47-1,I47/I48-1)</f>
        <v>4.0090018772759084E-2</v>
      </c>
      <c r="J52" s="481" t="str">
        <f>IF(OR(I52&gt;=0.3,I52&lt;=-0.3),"超过30%","")</f>
        <v/>
      </c>
      <c r="K52" s="1262"/>
      <c r="L52" s="1258"/>
      <c r="M52" s="1257"/>
      <c r="N52" s="1257"/>
      <c r="O52" s="1257"/>
    </row>
    <row r="53" spans="1:29" ht="13.5" customHeight="1">
      <c r="A53" s="1257"/>
      <c r="B53" s="1257"/>
      <c r="C53" s="478" t="s">
        <v>2388</v>
      </c>
      <c r="D53" s="482"/>
      <c r="E53" s="480">
        <f>IF(E48&lt;G48,G48/E48-1,E48/G48-1)</f>
        <v>2.211466064321832E-2</v>
      </c>
      <c r="F53" s="481" t="str">
        <f>IF(OR(E53&gt;=0.2,E53&lt;=-0.2),"超过20%","")</f>
        <v/>
      </c>
      <c r="G53" s="480">
        <f>IF(G48&lt;I48,I48/G48-1,G48/I48-1)</f>
        <v>5.1387600931852573E-2</v>
      </c>
      <c r="H53" s="481" t="str">
        <f>IF(OR(G53&gt;=0.2,G53&lt;=-0.2),"超过20%","")</f>
        <v/>
      </c>
      <c r="I53" s="480">
        <f>IF(I48&lt;E48,E48/I48-1,I48/E48-1)</f>
        <v>7.4638680930947832E-2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2907</v>
      </c>
      <c r="D92" s="2746" t="s">
        <v>2901</v>
      </c>
      <c r="E92" s="2746" t="s">
        <v>2902</v>
      </c>
      <c r="F92" s="537"/>
      <c r="G92" s="567"/>
      <c r="H92" s="567"/>
      <c r="I92" s="567"/>
      <c r="J92" s="567"/>
      <c r="K92" s="568"/>
      <c r="L92" s="569"/>
      <c r="M92" s="570"/>
      <c r="N92" s="1267"/>
      <c r="O92" s="1267"/>
      <c r="P92" s="2427"/>
      <c r="Q92" s="485"/>
    </row>
    <row r="93" spans="1:17" ht="15.75" thickBot="1">
      <c r="A93" s="516"/>
      <c r="B93" s="526"/>
      <c r="C93" s="544">
        <v>100</v>
      </c>
      <c r="D93" s="544">
        <v>103</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300(含)-350</v>
      </c>
      <c r="J102" s="562" t="str">
        <f t="shared" si="23"/>
        <v>350(含)-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50</v>
      </c>
      <c r="E103" s="579">
        <v>100</v>
      </c>
      <c r="F103" s="579">
        <v>150</v>
      </c>
      <c r="G103" s="579">
        <v>200</v>
      </c>
      <c r="H103" s="579">
        <v>250</v>
      </c>
      <c r="I103" s="579">
        <v>300</v>
      </c>
      <c r="J103" s="580">
        <v>350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7" sqref="F3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2887</v>
      </c>
      <c r="D4" s="2199" t="s">
        <v>2829</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16537467</v>
      </c>
      <c r="D19" s="60">
        <f ca="1">SUMIF(INDIRECT("'"&amp;D4&amp;"'"&amp;"!A:A"),结果表!B19,INDIRECT("'"&amp;D4&amp;"'"&amp;"!B:B"))</f>
        <v>9710582</v>
      </c>
      <c r="E19" s="2206" t="s">
        <v>1796</v>
      </c>
      <c r="F19" s="2207" t="s">
        <v>1795</v>
      </c>
      <c r="G19" s="61">
        <f ca="1">ROUND(C19*$C$18+D19*$D$18,0)</f>
        <v>15172090</v>
      </c>
      <c r="H19" s="2208" t="str">
        <f>'数据-取费表'!B3</f>
        <v>元</v>
      </c>
      <c r="I19" s="2195"/>
    </row>
    <row r="20" spans="1:35" ht="15">
      <c r="A20" s="2209"/>
      <c r="B20" s="2210" t="s">
        <v>1797</v>
      </c>
      <c r="C20" s="62">
        <f ca="1">SUMIF(INDIRECT("'"&amp;C4&amp;"'"&amp;"!A:A"),结果表!B20,INDIRECT("'"&amp;C4&amp;"'"&amp;"!B:B"))</f>
        <v>92141</v>
      </c>
      <c r="D20" s="63">
        <f ca="1">SUMIF(INDIRECT("'"&amp;D4&amp;"'"&amp;"!A:A"),结果表!B20,INDIRECT("'"&amp;D4&amp;"'"&amp;"!B:B"))</f>
        <v>54104</v>
      </c>
      <c r="E20" s="2209"/>
      <c r="F20" s="2210" t="s">
        <v>1797</v>
      </c>
      <c r="G20" s="64">
        <f ca="1">ROUND(C20*$C$18+D20*$D$18,0)</f>
        <v>84534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0.70303561619684585</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84534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78701</v>
      </c>
      <c r="D34" s="1091">
        <f ca="1">IF(D33="自定义",ROUND(C34/C32,3),1-D35)</f>
        <v>0.93100000000000005</v>
      </c>
      <c r="E34" s="2233" t="s">
        <v>1810</v>
      </c>
      <c r="F34" s="1828">
        <v>2000</v>
      </c>
      <c r="G34" s="2195"/>
      <c r="H34" s="2195"/>
      <c r="I34" s="2195"/>
    </row>
    <row r="35" spans="1:16" ht="15.75" thickBot="1">
      <c r="A35" s="2234"/>
      <c r="B35" s="2235" t="s">
        <v>1811</v>
      </c>
      <c r="C35" s="73">
        <f ca="1">IF(D33="自定义",F35,ROUND(C32*D35,0))</f>
        <v>5833</v>
      </c>
      <c r="D35" s="1090">
        <f ca="1">IF(D33="自定义",ROUND(C35/C32,3),IF(D33="成本法成本比率",成本法!C56,IF(D33="收益法收益比率",收益法!J38,收益法!J41)))</f>
        <v>6.9000000000000006E-2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15172162</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43207</v>
      </c>
      <c r="N47" s="2976"/>
      <c r="O47" s="2976"/>
      <c r="P47" s="1845"/>
    </row>
    <row r="48" spans="1:16" ht="25.5">
      <c r="A48" s="2977" t="s">
        <v>1836</v>
      </c>
      <c r="B48" s="2942"/>
      <c r="C48" s="2942"/>
      <c r="D48" s="56">
        <f ca="1">IF(H48="情况1",0,IF(H48="情况2",D52,IF(H48="情况3",D53,IF(H48="情况4",D54))))</f>
        <v>809182</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15172162</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809182</v>
      </c>
      <c r="E52" s="10" t="s">
        <v>1853</v>
      </c>
      <c r="F52" s="100">
        <f>'数据-取费表'!E29</f>
        <v>5.6000000000000001E-2</v>
      </c>
      <c r="G52" s="2262"/>
      <c r="H52" s="2195"/>
      <c r="I52" s="2260"/>
      <c r="J52" s="1883">
        <v>1</v>
      </c>
      <c r="K52" s="2940" t="s">
        <v>1854</v>
      </c>
      <c r="L52" s="2940"/>
      <c r="M52" s="778">
        <f ca="1">D48</f>
        <v>809182</v>
      </c>
      <c r="N52" s="1883" t="str">
        <f>E48</f>
        <v>销售额×税（费）率</v>
      </c>
      <c r="O52" s="779">
        <f>F48</f>
        <v>5.6000000000000001E-2</v>
      </c>
      <c r="P52" s="1845"/>
    </row>
    <row r="53" spans="1:16" ht="12" customHeight="1">
      <c r="A53" s="99" t="s">
        <v>1855</v>
      </c>
      <c r="B53" s="2935" t="s">
        <v>1856</v>
      </c>
      <c r="C53" s="2823"/>
      <c r="D53" s="98">
        <f ca="1">ROUND(D45*'数据-取费表'!E29/(1+'数据-取费表'!F30),0)</f>
        <v>809182</v>
      </c>
      <c r="E53" s="10" t="s">
        <v>1853</v>
      </c>
      <c r="F53" s="100">
        <f>'数据-取费表'!E29</f>
        <v>5.6000000000000001E-2</v>
      </c>
      <c r="G53" s="2262"/>
      <c r="H53" s="2195"/>
      <c r="I53" s="2260"/>
      <c r="J53" s="1883">
        <v>2</v>
      </c>
      <c r="K53" s="2940" t="s">
        <v>1857</v>
      </c>
      <c r="L53" s="2940"/>
      <c r="M53" s="778">
        <f t="shared" ref="M53:O54" ca="1" si="1">D55</f>
        <v>7586</v>
      </c>
      <c r="N53" s="1883" t="str">
        <f t="shared" si="1"/>
        <v>销售额×税（费）率</v>
      </c>
      <c r="O53" s="779">
        <f t="shared" si="1"/>
        <v>5.0000000000000001E-4</v>
      </c>
      <c r="P53" s="1845"/>
    </row>
    <row r="54" spans="1:16" ht="12" customHeight="1">
      <c r="A54" s="99" t="s">
        <v>1858</v>
      </c>
      <c r="B54" s="2935" t="s">
        <v>1859</v>
      </c>
      <c r="C54" s="2823"/>
      <c r="D54" s="98">
        <f ca="1">C68</f>
        <v>809182</v>
      </c>
      <c r="E54" s="20" t="s">
        <v>1860</v>
      </c>
      <c r="F54" s="100">
        <f>'数据-取费表'!E29</f>
        <v>5.6000000000000001E-2</v>
      </c>
      <c r="G54" s="2262"/>
      <c r="H54" s="2263"/>
      <c r="I54" s="2260"/>
      <c r="J54" s="1883">
        <v>3</v>
      </c>
      <c r="K54" s="2940" t="s">
        <v>1861</v>
      </c>
      <c r="L54" s="2940"/>
      <c r="M54" s="778">
        <f t="shared" ca="1" si="1"/>
        <v>8587444</v>
      </c>
      <c r="N54" s="1883" t="str">
        <f t="shared" si="1"/>
        <v>增值额×税（费）率</v>
      </c>
      <c r="O54" s="780" t="str">
        <f t="shared" si="1"/>
        <v>——</v>
      </c>
      <c r="P54" s="1845"/>
    </row>
    <row r="55" spans="1:16" ht="24" customHeight="1">
      <c r="A55" s="2815" t="s">
        <v>1862</v>
      </c>
      <c r="B55" s="2942"/>
      <c r="C55" s="2942"/>
      <c r="D55" s="101">
        <f ca="1">IF(H55="个人住宅",0,ROUND(D45*I55,0))</f>
        <v>7586</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151722</v>
      </c>
      <c r="N55" s="1886" t="str">
        <f>E59</f>
        <v>销售额×税（费）率</v>
      </c>
      <c r="O55" s="782">
        <f>F59</f>
        <v>0.01</v>
      </c>
      <c r="P55" s="1845"/>
    </row>
    <row r="56" spans="1:16" ht="24.75">
      <c r="A56" s="2815" t="s">
        <v>1865</v>
      </c>
      <c r="B56" s="2942"/>
      <c r="C56" s="2942"/>
      <c r="D56" s="101">
        <f ca="1">IF(H56="个人住宅",D57,D58)</f>
        <v>8587444</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9555934</v>
      </c>
      <c r="O57" s="2267"/>
      <c r="P57" s="1841" t="e">
        <f ca="1">N57/M49</f>
        <v>#VALUE!</v>
      </c>
    </row>
    <row r="58" spans="1:16" ht="24.75">
      <c r="A58" s="99" t="s">
        <v>1851</v>
      </c>
      <c r="B58" s="2943" t="s">
        <v>1871</v>
      </c>
      <c r="C58" s="2952"/>
      <c r="D58" s="101">
        <f ca="1">IF(H58="转让取得",C81,C97)</f>
        <v>8587444</v>
      </c>
      <c r="E58" s="10" t="s">
        <v>1866</v>
      </c>
      <c r="F58" s="14" t="s">
        <v>48</v>
      </c>
      <c r="G58" s="2262"/>
      <c r="H58" s="2265" t="s">
        <v>1872</v>
      </c>
      <c r="I58" s="1022"/>
      <c r="J58" s="2940"/>
      <c r="K58" s="2940"/>
      <c r="L58" s="2266" t="s">
        <v>1873</v>
      </c>
      <c r="M58" s="785"/>
      <c r="N58" s="2268" t="str">
        <f ca="1">IF(H19="元",NUMBERSTRING(INT(N57),2)&amp;"元整",NUMBERSTRING(INT(N57*10000),2)&amp;"元整")</f>
        <v>玖佰伍拾伍万伍仟玖佰叁拾肆元整</v>
      </c>
      <c r="O58" s="2269"/>
      <c r="P58" s="1845"/>
    </row>
    <row r="59" spans="1:16" ht="26.25" thickBot="1">
      <c r="A59" s="2816" t="s">
        <v>1874</v>
      </c>
      <c r="B59" s="2819"/>
      <c r="C59" s="2819"/>
      <c r="D59" s="104">
        <f ca="1">IF(H59="非个人房产","——",IF(H59="个人住宅",0,ROUND(D45*I59,0)))</f>
        <v>151722</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14449678</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15172162</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14449678</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809182</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14449678</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86698</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86698</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14362980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165.66679738863641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8587444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14449678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86698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86698</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14362980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165.66679738863641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8587444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16537467</v>
      </c>
      <c r="D101" s="721">
        <f ca="1">D19</f>
        <v>9710582</v>
      </c>
      <c r="E101" s="2195"/>
      <c r="F101" s="2910" t="str">
        <f>项目基本情况!I1</f>
        <v>北京市房地产</v>
      </c>
      <c r="G101" s="2911"/>
      <c r="H101" s="2917">
        <f>项目基本情况!C12</f>
        <v>179.48</v>
      </c>
      <c r="I101" s="2913"/>
    </row>
    <row r="102" spans="1:35" ht="15.75">
      <c r="A102" s="3096"/>
      <c r="B102" s="2290" t="s">
        <v>1939</v>
      </c>
      <c r="C102" s="722">
        <f ca="1">C20</f>
        <v>92141</v>
      </c>
      <c r="D102" s="723">
        <f ca="1">D20</f>
        <v>54104</v>
      </c>
      <c r="E102" s="2195"/>
      <c r="F102" s="2918" t="s">
        <v>1940</v>
      </c>
      <c r="G102" s="2919"/>
      <c r="H102" s="2291" t="str">
        <f>C106</f>
        <v>总价（元）</v>
      </c>
      <c r="I102" s="1862">
        <f ca="1">H121</f>
        <v>15172162</v>
      </c>
    </row>
    <row r="103" spans="1:35" ht="15">
      <c r="A103" s="3096" t="s">
        <v>1941</v>
      </c>
      <c r="B103" s="2292" t="str">
        <f>B101</f>
        <v>总价（元）</v>
      </c>
      <c r="C103" s="724">
        <f ca="1">H121</f>
        <v>15172162</v>
      </c>
      <c r="D103" s="725"/>
      <c r="E103" s="2195"/>
      <c r="F103" s="2918"/>
      <c r="G103" s="2919"/>
      <c r="H103" s="2291" t="s">
        <v>1939</v>
      </c>
      <c r="I103" s="1050">
        <f ca="1">I121</f>
        <v>84534</v>
      </c>
    </row>
    <row r="104" spans="1:35" ht="16.5" thickBot="1">
      <c r="A104" s="2849"/>
      <c r="B104" s="2293" t="s">
        <v>1939</v>
      </c>
      <c r="C104" s="726">
        <f ca="1">I121</f>
        <v>84534</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15172162</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84534</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15172162</v>
      </c>
    </row>
    <row r="111" spans="1:35" ht="15">
      <c r="A111" s="2877" t="s">
        <v>1948</v>
      </c>
      <c r="B111" s="2878"/>
      <c r="C111" s="2294" t="str">
        <f>C108</f>
        <v>总额（元）</v>
      </c>
      <c r="D111" s="637">
        <f>C38</f>
        <v>0</v>
      </c>
      <c r="E111" s="2195"/>
      <c r="F111" s="2883"/>
      <c r="G111" s="2884"/>
      <c r="H111" s="2291" t="s">
        <v>1939</v>
      </c>
      <c r="I111" s="2297">
        <f ca="1">D113</f>
        <v>84534</v>
      </c>
    </row>
    <row r="112" spans="1:35" ht="26.25" customHeight="1">
      <c r="A112" s="2890" t="str">
        <f>IF(项目基本情况!F5="已注销","——","3.房地产抵押价值")</f>
        <v>3.房地产抵押价值</v>
      </c>
      <c r="B112" s="2891"/>
      <c r="C112" s="2291" t="str">
        <f>B101</f>
        <v>总价（元）</v>
      </c>
      <c r="D112" s="1051">
        <f ca="1">IF(A112="——","——",D106-D108)</f>
        <v>15172162</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84534</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14125255</v>
      </c>
      <c r="E121" s="1887">
        <f ca="1">ROUND(IF(B32="楼面单价",C34,IF(H19="元",D121/B121,D121*10000/B121)),0)</f>
        <v>78701</v>
      </c>
      <c r="F121" s="1887">
        <f ca="1">ROUND(IF(B32="总价",C35,IF('数据-取费表'!B3="万元",G121*B121/10000,G121*B121)),0)</f>
        <v>1046907</v>
      </c>
      <c r="G121" s="1887">
        <f ca="1">ROUND(IF(B32="楼面单价",C35,IF(H19="元",F121/B121,F121*10000/B121)),0)</f>
        <v>5833</v>
      </c>
      <c r="H121" s="1887">
        <f ca="1">ROUND(IF(B32="总价",C32,IF('数据-取费表'!B3="万元",I121*B121/10000,I121*B121)),0)</f>
        <v>15172162</v>
      </c>
      <c r="I121" s="637">
        <f ca="1">ROUND(IF(B32="楼面单价",C32,IF(H19="元",H121/B121,H121*10000/B121)),0)</f>
        <v>84534</v>
      </c>
    </row>
    <row r="122" spans="1:15" ht="14.25">
      <c r="A122" s="2856" t="s">
        <v>1958</v>
      </c>
      <c r="B122" s="2857"/>
      <c r="C122" s="2857"/>
      <c r="D122" s="2870" t="str">
        <f ca="1">IF(H19="元",NUMBERSTRING(INT(D121),2)&amp;"元整",NUMBERSTRING(INT(D121*10000),2)&amp;"元整")</f>
        <v>壹仟肆佰壹拾贰万伍仟贰佰伍拾伍元整</v>
      </c>
      <c r="E122" s="2871"/>
      <c r="F122" s="2870" t="str">
        <f ca="1">IF(H19="元",NUMBERSTRING(INT(F121),2)&amp;"元整",NUMBERSTRING(INT(F121*10000),2)&amp;"元整")</f>
        <v>壹佰零肆万陆仟玖佰零柒元整</v>
      </c>
      <c r="G122" s="2871"/>
      <c r="H122" s="2870" t="str">
        <f ca="1">IF(H19="元",NUMBERSTRING(INT(H121),2)&amp;"元整",NUMBERSTRING(INT(H121*10000),2)&amp;"元整")</f>
        <v>壹仟伍佰壹拾柒万贰仟壹佰陆拾贰元整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15172162</v>
      </c>
      <c r="E125" s="2868"/>
      <c r="F125" s="2868"/>
      <c r="G125" s="2868"/>
      <c r="H125" s="2868"/>
      <c r="I125" s="2869"/>
    </row>
    <row r="126" spans="1:15" ht="14.25">
      <c r="A126" s="2856" t="s">
        <v>1958</v>
      </c>
      <c r="B126" s="2857"/>
      <c r="C126" s="2857"/>
      <c r="D126" s="2865">
        <f ca="1">I111</f>
        <v>84534</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23" workbookViewId="0">
      <selection activeCell="A248" sqref="A24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1521.6673000000001</v>
      </c>
      <c r="C5" s="1830">
        <f>ROUND(B5*10000/$B$1,0)</f>
        <v>84782</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1521.6673000000001</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179.48</v>
      </c>
      <c r="D6" s="2775"/>
      <c r="E6" s="1927"/>
    </row>
    <row r="7" spans="1:5" ht="14.25">
      <c r="A7" s="1927"/>
      <c r="B7" s="2769" t="s">
        <v>785</v>
      </c>
      <c r="C7" s="1933" t="str">
        <f>IF('数据-取费表'!B3="万元","总价（万元）","总价（元）")</f>
        <v>总价（元）</v>
      </c>
      <c r="D7" s="1934">
        <f ca="1">IF('数据-取费表'!E3="否",结果表!I102,'结果表 (1修多)'!I103)</f>
        <v>15172162</v>
      </c>
      <c r="E7" s="1927"/>
    </row>
    <row r="8" spans="1:5" ht="28.5">
      <c r="A8" s="1927"/>
      <c r="B8" s="2769"/>
      <c r="C8" s="1935" t="s">
        <v>1176</v>
      </c>
      <c r="D8" s="1936" t="str">
        <f ca="1">IF('数据-取费表'!B3="万元",NUMBERSTRING(INT(D7*10000),2)&amp;"元整",NUMBERSTRING(INT(D7),2)&amp;"元整")</f>
        <v>壹仟伍佰壹拾柒万贰仟壹佰陆拾贰元整</v>
      </c>
      <c r="E8" s="1927"/>
    </row>
    <row r="9" spans="1:5" ht="14.25">
      <c r="A9" s="1927"/>
      <c r="B9" s="2769"/>
      <c r="C9" s="1937" t="s">
        <v>1275</v>
      </c>
      <c r="D9" s="1934">
        <f ca="1">IF('数据-取费表'!E3="否",结果表!I103,'结果表 (1修多)'!I104)</f>
        <v>84534</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15172162</v>
      </c>
      <c r="E15" s="1927"/>
    </row>
    <row r="16" spans="1:5" ht="28.5">
      <c r="A16" s="1927"/>
      <c r="B16" s="2776"/>
      <c r="C16" s="1935" t="s">
        <v>1176</v>
      </c>
      <c r="D16" s="1934" t="str">
        <f ca="1">IF('数据-取费表'!B3="万元",NUMBERSTRING(INT(D15*10000),2)&amp;"元整",NUMBERSTRING(INT(D15),2)&amp;"元整")</f>
        <v>壹仟伍佰壹拾柒万贰仟壹佰陆拾贰元整</v>
      </c>
      <c r="E16" s="1927"/>
    </row>
    <row r="17" spans="1:5" ht="14.25">
      <c r="A17" s="1927"/>
      <c r="B17" s="2776"/>
      <c r="C17" s="1937" t="s">
        <v>1275</v>
      </c>
      <c r="D17" s="1934">
        <f ca="1">IF('数据-取费表'!E3="否",结果表!I111,'结果表 (1修多)'!I112)</f>
        <v>84534</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15172162</v>
      </c>
      <c r="E28" s="1927"/>
    </row>
    <row r="29" spans="1:5" ht="28.5">
      <c r="A29" s="1927"/>
      <c r="B29" s="2755"/>
      <c r="C29" s="1946" t="s">
        <v>1176</v>
      </c>
      <c r="D29" s="1947" t="str">
        <f ca="1">IF('数据-取费表'!B3="万元",NUMBERSTRING(INT(D28*10000),2)&amp;"元整",NUMBERSTRING(INT(D28),2)&amp;"元整")</f>
        <v>壹仟伍佰壹拾柒万贰仟壹佰陆拾贰元整</v>
      </c>
      <c r="E29" s="1927"/>
    </row>
    <row r="30" spans="1:5" ht="14.25">
      <c r="A30" s="1927"/>
      <c r="B30" s="2756"/>
      <c r="C30" s="1937" t="s">
        <v>1179</v>
      </c>
      <c r="D30" s="1948">
        <f ca="1">IF('数据-取费表'!E3="否",结果表!I103,'结果表 (1修多)'!I104)</f>
        <v>84534</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15172162</v>
      </c>
      <c r="E36" s="1927"/>
    </row>
    <row r="37" spans="1:5" ht="28.5">
      <c r="A37" s="1927"/>
      <c r="B37" s="2757"/>
      <c r="C37" s="1946" t="s">
        <v>1176</v>
      </c>
      <c r="D37" s="1951" t="str">
        <f ca="1">IF('数据-取费表'!B3="万元",NUMBERSTRING(INT(D36*10000),2)&amp;"元整",NUMBERSTRING(INT(D36),2)&amp;"元整")</f>
        <v>壹仟伍佰壹拾柒万贰仟壹佰陆拾贰元整</v>
      </c>
      <c r="E37" s="1927"/>
    </row>
    <row r="38" spans="1:5" ht="14.25">
      <c r="A38" s="1927"/>
      <c r="B38" s="2757"/>
      <c r="C38" s="1937" t="s">
        <v>1180</v>
      </c>
      <c r="D38" s="1948">
        <f ca="1">IF('数据-取费表'!E3="否",结果表!D113,'结果表 (1修多)'!D116)</f>
        <v>84534</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14125255</v>
      </c>
      <c r="E4" s="1049">
        <f ca="1">IF('数据-取费表'!E3="否",结果表!E121,'结果表 (1修多)'!E124)</f>
        <v>78701</v>
      </c>
      <c r="F4" s="1049">
        <f ca="1">IF('数据-取费表'!E3="否",结果表!F121,'结果表 (1修多)'!F124)</f>
        <v>1046907</v>
      </c>
      <c r="G4" s="1049">
        <f ca="1">IF('数据-取费表'!E3="否",结果表!G121,'结果表 (1修多)'!G124)</f>
        <v>5833</v>
      </c>
      <c r="H4" s="1049">
        <f ca="1">IF('数据-取费表'!E3="否",结果表!H121,'结果表 (1修多)'!H124)</f>
        <v>15172162</v>
      </c>
      <c r="I4" s="1049">
        <f ca="1">IF('数据-取费表'!E3="否",结果表!I121,'结果表 (1修多)'!I124)</f>
        <v>84534</v>
      </c>
    </row>
    <row r="5" spans="1:9" ht="15">
      <c r="A5" s="2777" t="s">
        <v>1285</v>
      </c>
      <c r="B5" s="2777"/>
      <c r="C5" s="2777"/>
      <c r="D5" s="2778" t="str">
        <f ca="1">IF('数据-取费表'!E3="否",结果表!D122,'结果表 (1修多)'!D125)</f>
        <v>壹仟肆佰壹拾贰万伍仟贰佰伍拾伍元整</v>
      </c>
      <c r="E5" s="2778"/>
      <c r="F5" s="2778" t="str">
        <f ca="1">IF('数据-取费表'!E3="否",结果表!F122,'结果表 (1修多)'!F125)</f>
        <v>壹佰零肆万陆仟玖佰零柒元整</v>
      </c>
      <c r="G5" s="2778"/>
      <c r="H5" s="2778" t="str">
        <f ca="1">IF('数据-取费表'!E3="否",结果表!H122,'结果表 (1修多)'!H125)</f>
        <v>壹仟伍佰壹拾柒万贰仟壹佰陆拾贰元整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15172162</v>
      </c>
      <c r="E8" s="2779"/>
      <c r="F8" s="2779"/>
      <c r="G8" s="2779"/>
      <c r="H8" s="2779"/>
      <c r="I8" s="2779"/>
    </row>
    <row r="9" spans="1:9" ht="15">
      <c r="A9" s="2777" t="s">
        <v>1285</v>
      </c>
      <c r="B9" s="2777"/>
      <c r="C9" s="2777"/>
      <c r="D9" s="2778">
        <f ca="1">IF('数据-取费表'!E3="否",结果表!D126,'结果表 (1修多)'!D129)</f>
        <v>84534</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2018-05-02T06:57:35Z</dcterms:modified>
</cp:coreProperties>
</file>