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3"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1" i="1" l="1"/>
  <c r="D6" i="73"/>
  <c r="B22" i="1"/>
  <c r="E1" i="73"/>
  <c r="K1" i="73"/>
  <c r="D5" i="73"/>
  <c r="G1" i="73"/>
  <c r="B40" i="1"/>
  <c r="F22" i="68"/>
  <c r="B23" i="1"/>
  <c r="D81" i="39"/>
  <c r="E81" i="39"/>
  <c r="F11" i="39"/>
  <c r="AA11" i="39"/>
  <c r="AA10" i="39"/>
  <c r="B82" i="39"/>
  <c r="F12" i="39"/>
  <c r="AA12" i="39"/>
  <c r="B84" i="39"/>
  <c r="F13" i="39"/>
  <c r="AA13" i="39"/>
  <c r="B86" i="39"/>
  <c r="F14" i="39"/>
  <c r="AA14" i="39"/>
  <c r="F15" i="39"/>
  <c r="AA15" i="39"/>
  <c r="D91" i="39"/>
  <c r="E91" i="39"/>
  <c r="F17" i="39"/>
  <c r="AA17" i="39"/>
  <c r="R47" i="39"/>
  <c r="H11" i="39"/>
  <c r="AB11" i="39"/>
  <c r="AB10" i="39"/>
  <c r="H12" i="39"/>
  <c r="AB12" i="39"/>
  <c r="H13" i="39"/>
  <c r="AB13" i="39"/>
  <c r="H14" i="39"/>
  <c r="AB14" i="39"/>
  <c r="H15" i="39"/>
  <c r="AB15" i="39"/>
  <c r="H17" i="39"/>
  <c r="AB17" i="39"/>
  <c r="T47" i="39"/>
  <c r="J11" i="39"/>
  <c r="AC11" i="39"/>
  <c r="AC10" i="39"/>
  <c r="J12" i="39"/>
  <c r="AC12" i="39"/>
  <c r="J13" i="39"/>
  <c r="AC13" i="39"/>
  <c r="J14" i="39"/>
  <c r="AC14" i="39"/>
  <c r="J15" i="39"/>
  <c r="AC15" i="39"/>
  <c r="J17" i="39"/>
  <c r="AC1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C20" i="68"/>
  <c r="C25" i="68"/>
  <c r="C22" i="68"/>
  <c r="F27" i="68"/>
  <c r="C28" i="68"/>
  <c r="C27" i="68"/>
  <c r="F21" i="68"/>
  <c r="C26" i="68"/>
  <c r="D22" i="68"/>
  <c r="C21" i="68"/>
  <c r="C29" i="68"/>
  <c r="D27" i="68"/>
  <c r="C31" i="68"/>
  <c r="B24" i="1"/>
  <c r="F34" i="68"/>
  <c r="M6" i="1"/>
  <c r="M14" i="1"/>
  <c r="M16" i="1"/>
  <c r="C34" i="68"/>
  <c r="F35" i="68"/>
  <c r="C35" i="68"/>
  <c r="C36" i="68"/>
  <c r="D9" i="68"/>
  <c r="D10" i="68"/>
  <c r="D19" i="68"/>
  <c r="D37" i="68"/>
  <c r="C37" i="68"/>
  <c r="C38" i="68"/>
  <c r="C33" i="68"/>
  <c r="C39" i="68"/>
  <c r="C42" i="68"/>
  <c r="C43" i="68"/>
  <c r="C41" i="68"/>
  <c r="C46" i="68"/>
  <c r="C45" i="68"/>
  <c r="C40"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T6" i="1"/>
  <c r="C14" i="15"/>
  <c r="F15" i="15"/>
  <c r="C15" i="15"/>
  <c r="F16" i="15"/>
  <c r="C16" i="15"/>
  <c r="F43" i="15"/>
  <c r="C17" i="15"/>
  <c r="C18" i="15"/>
  <c r="C19" i="15"/>
  <c r="C20" i="15"/>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AL18" i="1"/>
  <c r="AK18" i="1"/>
  <c r="L22" i="1"/>
  <c r="F20" i="68"/>
  <c r="F20" i="15"/>
  <c r="AL19" i="1"/>
  <c r="D117" i="39"/>
  <c r="E117" i="39"/>
  <c r="F117" i="39"/>
  <c r="G117" i="39"/>
  <c r="H117" i="39"/>
  <c r="I117" i="39"/>
  <c r="J117" i="39"/>
  <c r="D118" i="39"/>
  <c r="D3" i="4"/>
  <c r="C1" i="73"/>
  <c r="J1" i="73"/>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F9" i="39"/>
  <c r="AA9" i="39"/>
  <c r="AN13" i="3"/>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F19" i="39"/>
  <c r="AA19" i="39"/>
  <c r="D95" i="39"/>
  <c r="E95" i="39"/>
  <c r="F21" i="39"/>
  <c r="AA21" i="39"/>
  <c r="D97" i="39"/>
  <c r="F23" i="39"/>
  <c r="AA23" i="39"/>
  <c r="D99" i="39"/>
  <c r="F25" i="39"/>
  <c r="AA25" i="39"/>
  <c r="D101" i="39"/>
  <c r="E101" i="39"/>
  <c r="F27" i="39"/>
  <c r="AA27" i="39"/>
  <c r="D103" i="39"/>
  <c r="F29" i="39"/>
  <c r="AA29" i="39"/>
  <c r="B104" i="39"/>
  <c r="F31" i="39"/>
  <c r="AA31" i="39"/>
  <c r="F32" i="39"/>
  <c r="AA32" i="39"/>
  <c r="F34" i="39"/>
  <c r="AA34" i="39"/>
  <c r="B110" i="39"/>
  <c r="F35" i="39"/>
  <c r="AA35" i="39"/>
  <c r="B112" i="39"/>
  <c r="F36" i="39"/>
  <c r="AA36" i="39"/>
  <c r="B114" i="39"/>
  <c r="F37" i="39"/>
  <c r="AA37" i="39"/>
  <c r="E38" i="39"/>
  <c r="E118" i="39"/>
  <c r="F118" i="39"/>
  <c r="G118" i="39"/>
  <c r="F38" i="39"/>
  <c r="AA38" i="39"/>
  <c r="D120" i="39"/>
  <c r="F39" i="39"/>
  <c r="AA39" i="39"/>
  <c r="F40" i="39"/>
  <c r="AA40" i="39"/>
  <c r="D124" i="39"/>
  <c r="E124" i="39"/>
  <c r="F41" i="39"/>
  <c r="AA41" i="39"/>
  <c r="F42" i="39"/>
  <c r="AA42" i="39"/>
  <c r="B127" i="39"/>
  <c r="F43" i="39"/>
  <c r="AA43" i="39"/>
  <c r="B129" i="39"/>
  <c r="F44" i="39"/>
  <c r="AA44" i="39"/>
  <c r="B131" i="39"/>
  <c r="F45" i="39"/>
  <c r="AA45" i="39"/>
  <c r="C19" i="68"/>
  <c r="A6" i="1"/>
  <c r="K6" i="1"/>
  <c r="A7" i="1"/>
  <c r="K7" i="1"/>
  <c r="M7" i="1"/>
  <c r="A8" i="1"/>
  <c r="K8" i="1"/>
  <c r="M8" i="1"/>
  <c r="A9" i="1"/>
  <c r="K9" i="1"/>
  <c r="M9" i="1"/>
  <c r="A10" i="1"/>
  <c r="K10" i="1"/>
  <c r="M10" i="1"/>
  <c r="A11" i="1"/>
  <c r="K11" i="1"/>
  <c r="M11" i="1"/>
  <c r="A12" i="1"/>
  <c r="K12" i="1"/>
  <c r="M12" i="1"/>
  <c r="A13" i="1"/>
  <c r="K13" i="1"/>
  <c r="M13" i="1"/>
  <c r="K14" i="1"/>
  <c r="C42" i="1"/>
  <c r="F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37" i="68"/>
  <c r="F38" i="68"/>
  <c r="G1" i="15"/>
  <c r="L1" i="73"/>
  <c r="B43" i="1"/>
  <c r="B41" i="1"/>
  <c r="F32" i="15"/>
  <c r="F33" i="15"/>
  <c r="E27" i="6"/>
  <c r="K19" i="6"/>
  <c r="L19" i="6"/>
  <c r="M19" i="6"/>
  <c r="I19" i="6"/>
  <c r="H19" i="6"/>
  <c r="R19" i="6"/>
  <c r="B52" i="1"/>
  <c r="F34" i="15"/>
  <c r="S6" i="1"/>
  <c r="F17" i="15"/>
  <c r="F18" i="15"/>
  <c r="F28" i="15"/>
  <c r="C28" i="15"/>
  <c r="N6" i="1"/>
  <c r="Y6" i="1"/>
  <c r="E15" i="4"/>
  <c r="F6" i="1"/>
  <c r="M47" i="15"/>
  <c r="J50" i="15"/>
  <c r="J51" i="15"/>
  <c r="C17" i="9"/>
  <c r="D17" i="9"/>
  <c r="C18" i="9"/>
  <c r="D18" i="9"/>
  <c r="N14" i="1"/>
  <c r="N25" i="77"/>
  <c r="N26" i="77"/>
  <c r="N28" i="77"/>
  <c r="N17" i="77"/>
  <c r="N16" i="77"/>
  <c r="N15" i="77"/>
  <c r="N12" i="77"/>
  <c r="N14" i="77"/>
  <c r="N13" i="77"/>
  <c r="N11" i="77"/>
  <c r="N10" i="77"/>
  <c r="N9" i="77"/>
  <c r="N8" i="77"/>
  <c r="N7" i="77"/>
  <c r="K15" i="1"/>
  <c r="K16" i="1"/>
  <c r="B29" i="1"/>
  <c r="L24" i="77"/>
  <c r="L26" i="77"/>
  <c r="L25" i="77"/>
  <c r="G38" i="39"/>
  <c r="H38" i="39"/>
  <c r="AB38" i="39"/>
  <c r="G46" i="39"/>
  <c r="T46" i="39"/>
  <c r="G7" i="39"/>
  <c r="H7" i="39"/>
  <c r="AB7" i="39"/>
  <c r="H8" i="39"/>
  <c r="AB8" i="39"/>
  <c r="H9" i="39"/>
  <c r="AB9"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I38" i="39"/>
  <c r="H118" i="39"/>
  <c r="I118" i="39"/>
  <c r="J38" i="39"/>
  <c r="AC38" i="39"/>
  <c r="I46" i="39"/>
  <c r="V46" i="39"/>
  <c r="I7" i="39"/>
  <c r="J7" i="39"/>
  <c r="AC7" i="39"/>
  <c r="J8" i="39"/>
  <c r="AC8" i="39"/>
  <c r="J9" i="39"/>
  <c r="AC9"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E56" i="39"/>
  <c r="E57" i="39"/>
  <c r="E11" i="6"/>
  <c r="E61" i="39"/>
  <c r="E12" i="6"/>
  <c r="E62" i="39"/>
  <c r="E13" i="6"/>
  <c r="E63" i="39"/>
  <c r="E14" i="6"/>
  <c r="E64" i="39"/>
  <c r="E15" i="6"/>
  <c r="E65" i="39"/>
  <c r="J118" i="39"/>
  <c r="I5" i="39"/>
  <c r="G5" i="39"/>
  <c r="E5" i="39"/>
  <c r="G1" i="67"/>
  <c r="F7" i="1"/>
  <c r="L48" i="67"/>
  <c r="M47" i="67"/>
  <c r="J50" i="67"/>
  <c r="J51" i="67"/>
  <c r="J53" i="67"/>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Q27" i="71"/>
  <c r="AB5" i="71"/>
  <c r="P6" i="71"/>
  <c r="P7" i="71"/>
  <c r="P8" i="71"/>
  <c r="P9" i="71"/>
  <c r="P10" i="71"/>
  <c r="P11" i="71"/>
  <c r="P12" i="71"/>
  <c r="P13" i="71"/>
  <c r="P14" i="71"/>
  <c r="P15" i="71"/>
  <c r="P16" i="71"/>
  <c r="P17" i="71"/>
  <c r="P18" i="71"/>
  <c r="P19" i="71"/>
  <c r="P20" i="71"/>
  <c r="P21" i="71"/>
  <c r="P22" i="71"/>
  <c r="P23" i="71"/>
  <c r="P24" i="71"/>
  <c r="P25" i="71"/>
  <c r="P26" i="71"/>
  <c r="P27" i="71"/>
  <c r="AA5" i="71"/>
  <c r="O6" i="71"/>
  <c r="O7" i="71"/>
  <c r="O8" i="71"/>
  <c r="O9" i="71"/>
  <c r="O10" i="71"/>
  <c r="O11" i="71"/>
  <c r="O12" i="71"/>
  <c r="O13" i="71"/>
  <c r="O14" i="71"/>
  <c r="O15" i="71"/>
  <c r="O16" i="71"/>
  <c r="O17" i="71"/>
  <c r="O18" i="71"/>
  <c r="O19" i="71"/>
  <c r="O20" i="71"/>
  <c r="O21" i="71"/>
  <c r="O22" i="71"/>
  <c r="O23" i="71"/>
  <c r="O24" i="71"/>
  <c r="O25" i="71"/>
  <c r="O26" i="71"/>
  <c r="O27" i="71"/>
  <c r="Y5" i="71"/>
  <c r="N6" i="71"/>
  <c r="N7" i="71"/>
  <c r="N8" i="71"/>
  <c r="N9" i="71"/>
  <c r="N10" i="71"/>
  <c r="N11" i="71"/>
  <c r="N12" i="71"/>
  <c r="N13" i="71"/>
  <c r="N14" i="71"/>
  <c r="N15" i="71"/>
  <c r="N16" i="71"/>
  <c r="N17" i="71"/>
  <c r="N18" i="71"/>
  <c r="N19" i="71"/>
  <c r="N20" i="71"/>
  <c r="N21" i="71"/>
  <c r="N22" i="71"/>
  <c r="N23" i="71"/>
  <c r="N24" i="71"/>
  <c r="N25" i="71"/>
  <c r="N26" i="71"/>
  <c r="N27"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10" i="68"/>
  <c r="E9"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F124"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G30" i="6"/>
  <c r="G31" i="6"/>
  <c r="J56" i="9"/>
  <c r="J57" i="9"/>
  <c r="A24" i="51"/>
  <c r="B18" i="72"/>
  <c r="U29" i="34"/>
  <c r="C106" i="43"/>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9" i="49"/>
  <c r="C4" i="4"/>
  <c r="K4" i="4"/>
  <c r="B46" i="48"/>
  <c r="B4" i="72"/>
  <c r="AQ13" i="1"/>
  <c r="O6" i="1"/>
  <c r="P6" i="1"/>
  <c r="F30" i="68"/>
  <c r="F30" i="11"/>
  <c r="C48" i="11"/>
  <c r="F28" i="67"/>
  <c r="F52" i="9"/>
  <c r="M18" i="67"/>
  <c r="F32" i="67"/>
  <c r="F60" i="67"/>
  <c r="F30" i="69"/>
  <c r="C48" i="69"/>
  <c r="F60" i="15"/>
  <c r="M18" i="15"/>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M8" i="67"/>
  <c r="B3" i="15"/>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E7" i="49"/>
  <c r="B15" i="49"/>
  <c r="AB3" i="71"/>
  <c r="X3" i="71"/>
  <c r="C8" i="71"/>
  <c r="E8" i="71"/>
  <c r="E7" i="71"/>
  <c r="E10" i="49"/>
  <c r="B6" i="49"/>
  <c r="E14" i="49"/>
  <c r="D19" i="69"/>
  <c r="C19" i="69"/>
  <c r="P24" i="43"/>
  <c r="B66" i="40"/>
  <c r="P21" i="43"/>
  <c r="C12" i="12"/>
  <c r="P22" i="43"/>
  <c r="C14" i="12"/>
  <c r="C23" i="12"/>
  <c r="R16" i="1"/>
  <c r="B13" i="49"/>
  <c r="B4" i="49"/>
  <c r="E22" i="49"/>
  <c r="E16" i="49"/>
  <c r="E11" i="49"/>
  <c r="B10" i="49"/>
  <c r="E6" i="49"/>
  <c r="E8" i="49"/>
  <c r="E5" i="49"/>
  <c r="B8" i="49"/>
  <c r="B5" i="49"/>
  <c r="E21" i="49"/>
  <c r="E4" i="49"/>
  <c r="B11"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C16" i="12"/>
  <c r="C21" i="12"/>
  <c r="C22" i="12"/>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66" i="15"/>
  <c r="C60" i="15"/>
  <c r="C60" i="67"/>
  <c r="C66" i="67"/>
  <c r="C38" i="67"/>
  <c r="C25" i="69"/>
  <c r="C43" i="69"/>
  <c r="C26" i="11"/>
  <c r="D22" i="11"/>
  <c r="C23" i="67"/>
  <c r="C29" i="67"/>
  <c r="J19" i="67"/>
  <c r="C42" i="11"/>
  <c r="C24" i="69"/>
  <c r="C44" i="69"/>
  <c r="D41" i="69"/>
  <c r="C25" i="11"/>
  <c r="C23" i="11"/>
  <c r="J19" i="15"/>
  <c r="J17" i="15"/>
  <c r="C27" i="12"/>
  <c r="C25"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L46" i="67"/>
  <c r="Q49" i="67"/>
  <c r="C13" i="67"/>
  <c r="C37" i="67"/>
  <c r="Q49" i="15"/>
  <c r="C22"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8" i="15"/>
  <c r="C67" i="15"/>
  <c r="C68" i="15"/>
  <c r="C71" i="15"/>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H10" i="39"/>
  <c r="J10" i="39"/>
  <c r="B3" i="39"/>
  <c r="E47" i="39"/>
  <c r="E51" i="39"/>
  <c r="F51" i="39"/>
  <c r="G47" i="39"/>
  <c r="E52" i="39"/>
  <c r="F52" i="39"/>
  <c r="C47" i="39"/>
  <c r="I47" i="39"/>
  <c r="G52" i="39"/>
  <c r="H52" i="39"/>
  <c r="G51" i="39"/>
  <c r="H51" i="39"/>
  <c r="I52" i="39"/>
  <c r="J52" i="39"/>
  <c r="I51" i="39"/>
  <c r="J51" i="39"/>
  <c r="Q16" i="1"/>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C20" i="9"/>
  <c r="C103" i="9"/>
  <c r="G20" i="9"/>
  <c r="C56" i="68"/>
  <c r="D34" i="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<sst xmlns="http://schemas.openxmlformats.org/spreadsheetml/2006/main" count="9158" uniqueCount="3423">
  <si>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</si>
  <si>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</si>
  <si>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</si>
  <si>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</si>
  <si>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</si>
  <si>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</si>
  <si>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</si>
  <si>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</si>
  <si>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</si>
  <si>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</si>
  <si>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</si>
  <si>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</si>
  <si>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</si>
  <si>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</si>
  <si>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</si>
  <si>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</si>
  <si>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</si>
  <si>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</si>
  <si>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</si>
  <si>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</si>
  <si>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</si>
  <si>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</si>
  <si>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</si>
  <si>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</si>
  <si>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</si>
  <si>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</si>
  <si>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</si>
  <si>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</si>
  <si>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</si>
  <si>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</si>
  <si>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</si>
  <si>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</si>
  <si>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</si>
  <si>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</si>
  <si>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</si>
  <si>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</si>
  <si>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</si>
  <si>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</si>
  <si>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</si>
  <si>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</si>
  <si>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</si>
  <si>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</si>
  <si>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</si>
  <si>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</si>
  <si>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</si>
  <si>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</si>
  <si>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</si>
  <si>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</si>
  <si>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</si>
  <si>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</si>
  <si>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</si>
  <si>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</si>
  <si>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</si>
  <si>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</si>
  <si>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</si>
  <si>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</si>
  <si>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</si>
  <si>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</si>
  <si>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</si>
  <si>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</si>
  <si>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</si>
  <si>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</si>
  <si>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</si>
  <si>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</si>
  <si>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</si>
  <si>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</si>
  <si>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</si>
  <si>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</si>
  <si>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</si>
  <si>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</si>
  <si>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</si>
  <si>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</si>
  <si>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</si>
  <si>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</si>
  <si>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</si>
  <si>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</si>
  <si>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</si>
  <si>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</si>
  <si>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</si>
  <si>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</si>
  <si>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</si>
  <si>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</si>
  <si>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</si>
  <si>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</si>
  <si>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</si>
  <si>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</si>
  <si>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</si>
  <si>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</si>
  <si>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</si>
  <si>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</si>
  <si>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</si>
  <si>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</si>
  <si>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</si>
  <si>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</si>
  <si>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</si>
  <si>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</si>
  <si>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</si>
  <si>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</si>
  <si>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</si>
  <si>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</si>
  <si>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</si>
  <si>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</si>
  <si>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</si>
  <si>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</si>
  <si>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</si>
  <si>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</si>
  <si>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</si>
  <si>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</si>
  <si>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</si>
  <si>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</si>
  <si>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</si>
  <si>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</si>
  <si>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</si>
  <si>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</si>
  <si>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</si>
  <si>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</si>
  <si>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</si>
  <si>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</si>
  <si>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</si>
  <si>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</si>
  <si>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</si>
  <si>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</si>
  <si>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</si>
  <si>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</si>
  <si>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</si>
  <si>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</si>
  <si>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</si>
  <si>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</si>
  <si>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</si>
  <si>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</si>
  <si>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</si>
  <si>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</si>
  <si>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</si>
  <si>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</si>
  <si>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</si>
  <si>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</si>
  <si>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</si>
  <si>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</si>
  <si>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</si>
  <si>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</si>
  <si>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</si>
  <si>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</si>
  <si>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</si>
  <si>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</si>
  <si>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</si>
  <si>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</si>
  <si>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</si>
  <si>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</si>
  <si>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</si>
  <si>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</si>
  <si>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</si>
  <si>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</si>
  <si>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</si>
  <si>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</si>
  <si>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</si>
  <si>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</si>
  <si>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</si>
  <si>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</si>
  <si>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</si>
  <si>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</si>
  <si>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</si>
  <si>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</si>
  <si>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</si>
  <si>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</si>
  <si>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</si>
  <si>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</si>
  <si>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</si>
  <si>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</si>
  <si>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</si>
  <si>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</si>
  <si>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</si>
  <si>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</si>
  <si>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</si>
  <si>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</si>
  <si>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</si>
  <si>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</si>
  <si>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</si>
  <si>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</si>
  <si>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</si>
  <si>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</si>
  <si>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</si>
  <si>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</si>
  <si>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</si>
  <si>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</si>
  <si>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</si>
  <si>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</si>
  <si>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</si>
  <si>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</si>
  <si>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</si>
  <si>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</si>
  <si>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</si>
  <si>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</si>
  <si>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</si>
  <si>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</si>
  <si>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</si>
  <si>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</si>
  <si>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</si>
  <si>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</si>
  <si>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</si>
  <si>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</si>
  <si>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</si>
  <si>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</si>
  <si>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</si>
  <si>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</si>
  <si>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</si>
  <si>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</si>
  <si>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</si>
  <si>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</si>
  <si>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</si>
  <si>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</si>
  <si>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</si>
  <si>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</si>
  <si>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</si>
  <si>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</si>
  <si>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</si>
  <si>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</si>
  <si>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</si>
  <si>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</si>
  <si>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</si>
  <si>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</si>
  <si>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</si>
  <si>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</si>
  <si>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</si>
  <si>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</si>
  <si>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</si>
  <si>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</si>
  <si>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</si>
  <si>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</si>
  <si>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</si>
  <si>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</si>
  <si>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</si>
  <si>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</si>
  <si>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</si>
  <si>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</si>
  <si>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</si>
  <si>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</si>
  <si>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</si>
  <si>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</si>
  <si>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</si>
  <si>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</si>
  <si>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</si>
  <si>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</si>
  <si>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</si>
  <si>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</si>
  <si>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</si>
  <si>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</si>
  <si>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</si>
  <si>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</si>
  <si>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</si>
  <si>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</si>
  <si>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</si>
  <si>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</si>
  <si>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</si>
  <si>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</si>
  <si>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</si>
  <si>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</si>
  <si>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</si>
  <si>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</si>
  <si>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</si>
  <si>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</si>
  <si>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</si>
  <si>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</si>
  <si>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</si>
  <si>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</si>
  <si>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</si>
  <si>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</si>
  <si>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</si>
  <si>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</si>
  <si>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</si>
  <si>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</si>
  <si>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</si>
  <si>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</si>
  <si>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</si>
  <si>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</si>
  <si>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</si>
  <si>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</si>
  <si>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</si>
  <si>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</si>
  <si>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</si>
  <si>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</si>
  <si>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</si>
  <si>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</si>
  <si>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</si>
  <si>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</si>
  <si>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</si>
  <si>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</si>
  <si>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</si>
  <si>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</si>
  <si>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</si>
  <si>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</si>
  <si>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</si>
  <si>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</si>
  <si>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</si>
  <si>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</si>
  <si>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</si>
  <si>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</si>
  <si>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</si>
  <si>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</si>
  <si>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</si>
  <si>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</si>
  <si>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</si>
  <si>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</si>
  <si>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</si>
  <si>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</si>
  <si>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</si>
  <si>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</si>
  <si>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</si>
  <si>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</si>
  <si>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</si>
  <si>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</si>
  <si>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</si>
  <si>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</si>
  <si>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</si>
  <si>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</si>
  <si>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</si>
  <si>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</si>
  <si>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</si>
  <si>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</si>
  <si>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</si>
  <si>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</si>
  <si>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</si>
  <si>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</si>
  <si>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</si>
  <si>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</si>
  <si>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</si>
  <si>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</si>
  <si>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</si>
  <si>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</si>
  <si>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</si>
  <si>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</si>
  <si>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</si>
  <si>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</si>
  <si>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</si>
  <si>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</si>
  <si>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</si>
  <si>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</si>
  <si>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</si>
  <si>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</si>
  <si>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</si>
  <si>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</si>
  <si>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</si>
  <si>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</si>
  <si>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</si>
  <si>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</si>
  <si>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</si>
  <si>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</si>
  <si>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</si>
  <si>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</si>
  <si>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</si>
  <si>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</si>
  <si>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</si>
  <si>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</si>
  <si>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</si>
  <si>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</si>
  <si>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</si>
  <si>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</si>
  <si>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</si>
  <si>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</si>
  <si>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</si>
  <si>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</si>
  <si>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</si>
  <si>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</si>
  <si>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</si>
  <si>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</si>
  <si>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</si>
  <si>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</si>
  <si>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</si>
  <si>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</si>
  <si>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</si>
  <si>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</si>
  <si>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</si>
  <si>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</si>
  <si>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</si>
  <si>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</si>
  <si>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</si>
  <si>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</si>
  <si>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</si>
  <si>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</si>
  <si>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</si>
  <si>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</si>
  <si>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</si>
  <si>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</si>
  <si>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</si>
  <si>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</si>
  <si>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</si>
  <si>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</si>
  <si>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</si>
  <si>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</si>
  <si>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</si>
  <si>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</si>
  <si>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</si>
  <si>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</si>
  <si>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</si>
  <si>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</si>
  <si>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</si>
  <si>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</si>
  <si>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</si>
  <si>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</si>
  <si>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</si>
  <si>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</si>
  <si>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</si>
  <si>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</si>
  <si>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</si>
  <si>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</si>
  <si>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</si>
  <si>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</si>
  <si>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</si>
  <si>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</si>
  <si>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</si>
  <si>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</si>
  <si>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</si>
  <si>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</si>
  <si>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</si>
  <si>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</si>
  <si>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</si>
  <si>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</si>
  <si>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</si>
  <si>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</si>
  <si>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</si>
  <si>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</si>
  <si>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</si>
  <si>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</si>
  <si>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</si>
  <si>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</si>
  <si>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</si>
  <si>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</si>
  <si>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</si>
  <si>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</si>
  <si>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</si>
  <si>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</si>
  <si>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</si>
  <si>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</si>
  <si>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</si>
  <si>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</si>
  <si>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</si>
  <si>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</si>
  <si>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</si>
  <si>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</si>
  <si>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</si>
  <si>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</si>
  <si>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</si>
  <si>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</si>
  <si>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</si>
  <si>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</si>
  <si>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</si>
  <si>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</si>
  <si>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</si>
  <si>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</si>
  <si>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</si>
  <si>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</si>
  <si>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</si>
  <si>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</si>
  <si>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</si>
  <si>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</si>
  <si>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</si>
  <si>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</si>
  <si>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</si>
  <si>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</si>
  <si>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</si>
  <si>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</si>
  <si>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</si>
  <si>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</si>
  <si>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</si>
  <si>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</si>
  <si>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</si>
  <si>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</si>
  <si>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</si>
  <si>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</si>
  <si>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</si>
  <si>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</si>
  <si>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</si>
  <si>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</si>
  <si>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</si>
  <si>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</si>
  <si>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</si>
  <si>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</si>
  <si>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</si>
  <si>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</si>
  <si>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</si>
  <si>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</si>
  <si>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</si>
  <si>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</si>
  <si>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</si>
  <si>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</si>
  <si>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</si>
  <si>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</si>
  <si>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</si>
  <si>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</si>
  <si>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</si>
  <si>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</si>
  <si>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</si>
  <si>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</si>
  <si>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</si>
  <si>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</si>
  <si>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</si>
  <si>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</si>
  <si>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</si>
  <si>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</si>
  <si>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</si>
  <si>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</si>
  <si>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</si>
  <si>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</si>
  <si>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</si>
  <si>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</si>
  <si>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</si>
  <si>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</si>
  <si>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</si>
  <si>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</si>
  <si>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</si>
  <si>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</si>
  <si>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</si>
  <si>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</si>
  <si>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</si>
  <si>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</si>
  <si>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</si>
  <si>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</si>
  <si>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</si>
  <si>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</si>
  <si>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</si>
  <si>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</si>
  <si>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</si>
  <si>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</si>
  <si>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</si>
  <si>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</si>
  <si>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</si>
  <si>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</si>
  <si>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</si>
  <si>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</si>
  <si>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</si>
  <si>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</si>
  <si>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</si>
  <si>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</si>
  <si>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</si>
  <si>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</si>
  <si>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</si>
  <si>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</si>
  <si>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</si>
  <si>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</si>
  <si>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</si>
  <si>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</si>
  <si>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</si>
  <si>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</si>
  <si>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</si>
  <si>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</si>
  <si>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</si>
  <si>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</si>
  <si>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</si>
  <si>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</si>
  <si>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</si>
  <si>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</si>
  <si>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</si>
  <si>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</si>
  <si>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</si>
  <si>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</si>
  <si>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</si>
  <si>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</si>
  <si>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</si>
  <si>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</si>
  <si>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</si>
  <si>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</si>
  <si>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</si>
  <si>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</si>
  <si>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</si>
  <si>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</si>
  <si>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</si>
  <si>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</si>
  <si>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</si>
  <si>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</si>
  <si>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</si>
  <si>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</si>
  <si>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</si>
  <si>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</si>
  <si>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</si>
  <si>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</si>
  <si>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</si>
  <si>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</si>
  <si>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</si>
  <si>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</si>
  <si>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</si>
  <si>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</si>
  <si>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</si>
  <si>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</si>
  <si>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</si>
  <si>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</si>
  <si>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</si>
  <si>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</si>
  <si>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</si>
  <si>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</si>
  <si>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</si>
  <si>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</si>
  <si>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</si>
  <si>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</si>
  <si>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</si>
  <si>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</si>
  <si>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</si>
  <si>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</si>
  <si>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</si>
  <si>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</si>
  <si>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</si>
  <si>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</si>
  <si>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</si>
  <si>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</si>
  <si>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</si>
  <si>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</si>
  <si>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</si>
  <si>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</si>
  <si>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</si>
  <si>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</si>
  <si>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</si>
  <si>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</si>
  <si>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</si>
  <si>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</si>
  <si>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</si>
  <si>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</si>
  <si>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</si>
  <si>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</si>
  <si>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</si>
  <si>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</si>
  <si>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</si>
  <si>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</si>
  <si>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</si>
  <si>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</si>
  <si>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</si>
  <si>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</si>
  <si>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</si>
  <si>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</si>
  <si>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</si>
  <si>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</si>
  <si>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</si>
  <si>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</si>
  <si>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</si>
  <si>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</si>
  <si>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</si>
  <si>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</si>
  <si>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</si>
  <si>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</si>
  <si>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</si>
  <si>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</si>
  <si>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</si>
  <si>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</si>
  <si>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</si>
  <si>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</si>
  <si>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</si>
  <si>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</si>
  <si>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</si>
  <si>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</si>
  <si>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</si>
  <si>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</si>
  <si>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</si>
  <si>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</si>
  <si>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</si>
  <si>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</si>
  <si>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</si>
  <si>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</si>
  <si>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</si>
  <si>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</si>
  <si>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</si>
  <si>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</si>
  <si>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</si>
  <si>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</si>
  <si>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</si>
  <si>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</si>
  <si>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</si>
  <si>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</si>
  <si>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</si>
  <si>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</si>
  <si>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</si>
  <si>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</si>
  <si>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</si>
  <si>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</si>
  <si>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</si>
  <si>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</si>
  <si>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</si>
  <si>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</si>
  <si>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</si>
  <si>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</si>
  <si>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</si>
  <si>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</si>
  <si>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</si>
  <si>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</si>
  <si>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</si>
  <si>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</si>
  <si>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</si>
  <si>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</si>
  <si>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</si>
  <si>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</si>
  <si>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</si>
  <si>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</si>
  <si>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</si>
  <si>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</si>
  <si>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</si>
  <si>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</si>
  <si>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</si>
  <si>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</si>
  <si>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</si>
  <si>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</si>
  <si>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</si>
  <si>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</si>
  <si>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</si>
  <si>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</si>
  <si>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</si>
  <si>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</si>
  <si>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</si>
  <si>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</si>
  <si>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</si>
  <si>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</si>
  <si>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</si>
  <si>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</si>
  <si>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</si>
  <si>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</si>
  <si>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</si>
  <si>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</si>
  <si>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</si>
  <si>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</si>
  <si>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</si>
  <si>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</si>
  <si>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</si>
  <si>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</si>
  <si>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</si>
  <si>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</si>
  <si>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</si>
  <si>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</si>
  <si>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</si>
  <si>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</si>
  <si>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</si>
  <si>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</si>
  <si>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</si>
  <si>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</si>
  <si>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</si>
  <si>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</si>
  <si>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</si>
  <si>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</si>
  <si>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</si>
  <si>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</si>
  <si>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</si>
  <si>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</si>
  <si>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</si>
  <si>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</si>
  <si>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</si>
  <si>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</si>
  <si>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</si>
  <si>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</si>
  <si>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</si>
  <si>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</si>
  <si>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</si>
  <si>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</si>
  <si>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</si>
  <si>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</si>
  <si>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</si>
  <si>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</si>
  <si>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</si>
  <si>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</si>
  <si>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</si>
  <si>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</si>
  <si>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</si>
  <si>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</si>
  <si>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</si>
  <si>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</si>
  <si>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</si>
  <si>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</si>
  <si>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</si>
  <si>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</si>
  <si>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</si>
  <si>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</si>
  <si>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</si>
  <si>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</si>
  <si>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</si>
  <si>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</si>
  <si>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</si>
  <si>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</si>
  <si>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</si>
  <si>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</si>
  <si>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</si>
  <si>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</si>
  <si>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</si>
  <si>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</si>
  <si>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</si>
  <si>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</si>
  <si>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</si>
  <si>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</si>
  <si>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</si>
  <si>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</si>
  <si>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</si>
  <si>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</si>
  <si>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</si>
  <si>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</si>
  <si>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</si>
  <si>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</si>
  <si>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</si>
  <si>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</si>
  <si>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</si>
  <si>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</si>
  <si>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</si>
  <si>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</si>
  <si>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</si>
  <si>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</si>
  <si>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</si>
  <si>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</si>
  <si>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</si>
  <si>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</si>
  <si>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</si>
  <si>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</si>
  <si>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</si>
  <si>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</si>
  <si>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</si>
  <si>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</si>
  <si>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</si>
  <si>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</si>
  <si>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</si>
  <si>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</si>
  <si>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</si>
  <si>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</si>
  <si>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</si>
  <si>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</si>
  <si>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</si>
  <si>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</si>
  <si>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</si>
  <si>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</si>
  <si>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</si>
  <si>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</si>
  <si>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</si>
  <si>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</si>
  <si>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</si>
  <si>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</si>
  <si>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</si>
  <si>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</si>
  <si>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</si>
  <si>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</si>
  <si>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</si>
  <si>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</si>
  <si>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</si>
  <si>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</si>
  <si>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</si>
  <si>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</si>
  <si>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</si>
  <si>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</si>
  <si>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</si>
  <si>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</si>
  <si>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</si>
  <si>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</si>
  <si>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</si>
  <si>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</si>
  <si>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</si>
  <si>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</si>
  <si>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</si>
  <si>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</si>
  <si>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</si>
  <si>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</si>
  <si>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</si>
  <si>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</si>
  <si>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</si>
  <si>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</si>
  <si>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</si>
  <si>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</si>
  <si>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</si>
  <si>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</si>
  <si>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</si>
  <si>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</si>
  <si>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</si>
  <si>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</si>
  <si>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</si>
  <si>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</si>
  <si>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</si>
  <si>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</si>
  <si>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</si>
  <si>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</si>
  <si>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</si>
  <si>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</si>
  <si>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</si>
  <si>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</si>
  <si>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</si>
  <si>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</si>
  <si>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</si>
  <si>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</si>
  <si>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</si>
  <si>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</si>
  <si>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</si>
  <si>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</si>
  <si>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</si>
  <si>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</si>
  <si>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</si>
  <si>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</si>
  <si>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</si>
  <si>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</si>
  <si>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</si>
  <si>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</si>
  <si>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</si>
  <si>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</si>
  <si>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</si>
  <si>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</si>
  <si>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</si>
  <si>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</si>
  <si>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</si>
  <si>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</si>
  <si>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</si>
  <si>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</si>
  <si>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</si>
  <si>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</si>
  <si>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</si>
  <si>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</si>
  <si>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</si>
  <si>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</si>
  <si>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</si>
  <si>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</si>
  <si>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</si>
  <si>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</si>
  <si>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</si>
  <si>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</si>
  <si>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</si>
  <si>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</si>
  <si>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</si>
  <si>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</si>
  <si>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</si>
  <si>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</si>
  <si>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</si>
  <si>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</si>
  <si>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</si>
  <si>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</si>
  <si>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</si>
  <si>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</si>
  <si>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</si>
  <si>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</si>
  <si>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</si>
  <si>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</si>
  <si>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</si>
  <si>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</si>
  <si>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</si>
  <si>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</si>
  <si>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</si>
  <si>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</si>
  <si>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</si>
  <si>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</si>
  <si>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</si>
  <si>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</si>
  <si>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</si>
  <si>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</si>
  <si>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</si>
  <si>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</si>
  <si>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</si>
  <si>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</si>
  <si>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</si>
  <si>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</si>
  <si>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</si>
  <si>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</si>
  <si>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</si>
  <si>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</si>
  <si>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</si>
  <si>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</si>
  <si>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</si>
  <si>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</si>
  <si>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</si>
  <si>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</si>
  <si>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</si>
  <si>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</si>
  <si>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</si>
  <si>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</si>
  <si>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</si>
  <si>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</si>
  <si>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</si>
  <si>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</si>
  <si>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</si>
  <si>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</si>
  <si>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</si>
  <si>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</si>
  <si>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</si>
  <si>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</si>
  <si>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</si>
  <si>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</si>
  <si>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</si>
  <si>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</si>
  <si>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</si>
  <si>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</si>
  <si>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</si>
  <si>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</si>
  <si>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</si>
  <si>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</si>
  <si>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</si>
  <si>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</si>
  <si>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</si>
  <si>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</si>
  <si>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</si>
  <si>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</si>
  <si>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</si>
  <si>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</si>
  <si>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</si>
  <si>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</si>
  <si>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</si>
  <si>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</si>
  <si>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</si>
  <si>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</si>
  <si>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</si>
  <si>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</si>
  <si>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</si>
  <si>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</si>
  <si>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</si>
  <si>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</si>
  <si>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</si>
  <si>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</si>
  <si>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</si>
  <si>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</si>
  <si>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</si>
  <si>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</si>
  <si>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</si>
  <si>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</si>
  <si>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</si>
  <si>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</si>
  <si>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</si>
  <si>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</si>
  <si>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</si>
  <si>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</si>
  <si>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</si>
  <si>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</si>
  <si>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</si>
  <si>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</si>
  <si>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</si>
  <si>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</si>
  <si>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</si>
  <si>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</si>
  <si>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</si>
  <si>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</si>
  <si>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</si>
  <si>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</si>
  <si>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</si>
  <si>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</si>
  <si>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</si>
  <si>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</si>
  <si>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</si>
  <si>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</si>
  <si>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</si>
  <si>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</si>
  <si>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</si>
  <si>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</si>
  <si>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</si>
  <si>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</si>
  <si>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</si>
  <si>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</si>
  <si>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</si>
  <si>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</si>
  <si>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</si>
  <si>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</si>
  <si>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</si>
  <si>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</si>
  <si>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</si>
  <si>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</si>
  <si>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</si>
  <si>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</si>
  <si>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</si>
  <si>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</si>
  <si>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</si>
  <si>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</si>
  <si>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</si>
  <si>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</si>
  <si>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</si>
  <si>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</si>
  <si>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</si>
  <si>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</si>
  <si>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</si>
  <si>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</si>
  <si>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</si>
  <si>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</si>
  <si>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</si>
  <si>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</si>
  <si>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</si>
  <si>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</si>
  <si>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</si>
  <si>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</si>
  <si>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</si>
  <si>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</si>
  <si>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</si>
  <si>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</si>
  <si>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</si>
  <si>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</si>
  <si>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</si>
  <si>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</si>
  <si>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</si>
  <si>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</si>
  <si>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</si>
  <si>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</si>
  <si>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</si>
  <si>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</si>
  <si>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</si>
  <si>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</si>
  <si>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</si>
  <si>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</si>
  <si>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</si>
  <si>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</si>
  <si>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</si>
  <si>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</si>
  <si>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</si>
  <si>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</si>
  <si>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</si>
  <si>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</si>
  <si>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</si>
  <si>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</si>
  <si>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</si>
  <si>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</si>
  <si>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</si>
  <si>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</si>
  <si>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</si>
  <si>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</si>
  <si>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</si>
  <si>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</si>
  <si>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</si>
  <si>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</si>
  <si>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</si>
  <si>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</si>
  <si>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</si>
  <si>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</si>
  <si>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</si>
  <si>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</si>
  <si>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</si>
  <si>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</si>
  <si>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</si>
  <si>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</si>
  <si>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</si>
  <si>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</si>
  <si>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</si>
  <si>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</si>
  <si>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</si>
  <si>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</si>
  <si>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</si>
  <si>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</si>
  <si>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</si>
  <si>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</si>
  <si>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</si>
  <si>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</si>
  <si>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</si>
  <si>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</si>
  <si>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</si>
  <si>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</si>
  <si>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</si>
  <si>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</si>
  <si>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</si>
  <si>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</si>
  <si>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</si>
  <si>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</si>
  <si>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</si>
  <si>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</si>
  <si>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</si>
  <si>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</si>
  <si>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</si>
  <si>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</si>
  <si>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</si>
  <si>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</si>
  <si>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</si>
  <si>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</si>
  <si>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</si>
  <si>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</si>
  <si>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</si>
  <si>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</si>
  <si>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</si>
  <si>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</si>
  <si>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</si>
  <si>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</si>
  <si>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</si>
  <si>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</si>
  <si>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</si>
  <si>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</si>
  <si>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</si>
  <si>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</si>
  <si>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</si>
  <si>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</si>
  <si>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</si>
  <si>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</si>
  <si>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</si>
  <si>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</si>
  <si>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</si>
  <si>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</si>
  <si>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</si>
  <si>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</si>
  <si>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</si>
  <si>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</si>
  <si>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</si>
  <si>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</si>
  <si>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</si>
  <si>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</si>
  <si>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</si>
  <si>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</si>
  <si>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</si>
  <si>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</si>
  <si>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</si>
  <si>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</si>
  <si>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</si>
  <si>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</si>
  <si>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</si>
  <si>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</si>
  <si>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</si>
  <si>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</si>
  <si>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</si>
  <si>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</si>
  <si>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</si>
  <si>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</si>
  <si>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</si>
  <si>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</si>
  <si>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</si>
  <si>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</si>
  <si>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</si>
  <si>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</si>
  <si>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</si>
  <si>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</si>
  <si>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</si>
  <si>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</si>
  <si>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</si>
  <si>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</si>
  <si>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</si>
  <si>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</si>
  <si>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</si>
  <si>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</si>
  <si>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</si>
  <si>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</si>
  <si>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</si>
  <si>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</si>
  <si>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</si>
  <si>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</si>
  <si>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</si>
  <si>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</si>
  <si>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</si>
  <si>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</si>
  <si>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</si>
  <si>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</si>
  <si>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</si>
  <si>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</si>
  <si>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</si>
  <si>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</si>
  <si>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</si>
  <si>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</si>
  <si>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</si>
  <si>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</si>
  <si>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</si>
  <si>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</si>
  <si>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</si>
  <si>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</si>
  <si>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</si>
  <si>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</si>
  <si>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</si>
  <si>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</si>
  <si>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</si>
  <si>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</si>
  <si>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</si>
  <si>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</si>
  <si>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</si>
  <si>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</si>
  <si>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</si>
  <si>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</si>
  <si>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</si>
  <si>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</si>
  <si>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</si>
  <si>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</si>
  <si>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</si>
  <si>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</si>
  <si>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</si>
  <si>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</si>
  <si>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</si>
  <si>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</si>
  <si>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</si>
  <si>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</si>
  <si>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</si>
  <si>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</si>
  <si>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</si>
  <si>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</si>
  <si>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</si>
  <si>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</si>
  <si>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</si>
  <si>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</si>
  <si>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</si>
  <si>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</si>
  <si>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</si>
  <si>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</si>
  <si>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</si>
  <si>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</si>
  <si>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</si>
  <si>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</si>
  <si>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</si>
  <si>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</si>
  <si>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</si>
  <si>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</si>
  <si>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</si>
  <si>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</si>
  <si>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</si>
  <si>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</si>
  <si>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</si>
  <si>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</si>
  <si>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</si>
  <si>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</si>
  <si>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</si>
  <si>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</si>
  <si>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</si>
  <si>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</si>
  <si>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</si>
  <si>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</si>
  <si>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</si>
  <si>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</si>
  <si>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</si>
  <si>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</si>
  <si>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</si>
  <si>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</si>
  <si>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</si>
  <si>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</si>
  <si>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</si>
  <si>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</si>
  <si>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</si>
  <si>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</si>
  <si>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</si>
  <si>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</si>
  <si>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</si>
  <si>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</si>
  <si>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</si>
  <si>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</si>
  <si>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</si>
  <si>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</si>
  <si>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</si>
  <si>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</si>
  <si>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</si>
  <si>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</si>
  <si>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</si>
  <si>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</si>
  <si>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</si>
  <si>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</si>
  <si>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</si>
  <si>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</si>
  <si>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</si>
  <si>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</si>
  <si>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</si>
  <si>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</si>
  <si>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</si>
  <si>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</si>
  <si>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</si>
  <si>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</si>
  <si>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</si>
  <si>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</si>
  <si>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</si>
  <si>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</si>
  <si>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</si>
  <si>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</si>
  <si>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</si>
  <si>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</si>
  <si>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</si>
  <si>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</si>
  <si>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</si>
  <si>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</si>
  <si>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</si>
  <si>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</si>
  <si>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</si>
  <si>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</si>
  <si>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</si>
  <si>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</si>
  <si>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</si>
  <si>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</si>
  <si>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</si>
  <si>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</si>
  <si>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</si>
  <si>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</si>
  <si>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</si>
  <si>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</si>
  <si>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</si>
  <si>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</si>
  <si>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</si>
  <si>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</si>
  <si>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</si>
  <si>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</si>
  <si>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</si>
  <si>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</si>
  <si>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</si>
  <si>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</si>
  <si>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</si>
  <si>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</si>
  <si>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</si>
  <si>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</si>
  <si>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</si>
  <si>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</si>
  <si>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</si>
  <si>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</si>
  <si>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</si>
  <si>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</si>
  <si>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</si>
  <si>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</si>
  <si>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</si>
  <si>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</si>
  <si>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</si>
  <si>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</si>
  <si>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</si>
  <si>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</si>
  <si>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</si>
  <si>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</si>
  <si>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</si>
  <si>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</si>
  <si>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</si>
  <si>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</si>
  <si>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</si>
  <si>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</si>
  <si>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</si>
  <si>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</si>
  <si>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</si>
  <si>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</si>
  <si>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</si>
  <si>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</si>
  <si>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</si>
  <si>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</si>
  <si>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</si>
  <si>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</si>
  <si>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</si>
  <si>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</si>
  <si>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</si>
  <si>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</si>
  <si>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</si>
  <si>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</si>
  <si>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</si>
  <si>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</si>
  <si>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</si>
  <si>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</si>
  <si>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</si>
  <si>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</si>
  <si>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</si>
  <si>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</si>
  <si>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</si>
  <si>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</si>
  <si>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</si>
  <si>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</si>
  <si>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</si>
  <si>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</si>
  <si>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</si>
  <si>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</si>
  <si>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</si>
  <si>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</si>
  <si>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</si>
  <si>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</si>
  <si>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</si>
  <si>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</si>
  <si>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</si>
  <si>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</si>
  <si>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</si>
  <si>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</si>
  <si>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</si>
  <si>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</si>
  <si>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</si>
  <si>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</si>
  <si>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</si>
  <si>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</si>
  <si>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</si>
  <si>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</si>
  <si>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</si>
  <si>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</si>
  <si>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</si>
  <si>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</si>
  <si>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</si>
  <si>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</si>
  <si>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</si>
  <si>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</si>
  <si>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</si>
  <si>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</si>
  <si>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</si>
  <si>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</si>
  <si>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</si>
  <si>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</si>
  <si>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</si>
  <si>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</si>
  <si>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</si>
  <si>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</si>
  <si>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</si>
  <si>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</si>
  <si>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</si>
  <si>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</si>
  <si>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</si>
  <si>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</si>
  <si>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</si>
  <si>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</si>
  <si>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</si>
  <si>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</si>
  <si>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</si>
  <si>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</si>
  <si>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</si>
  <si>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</si>
  <si>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</si>
  <si>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</si>
  <si>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</si>
  <si>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</si>
  <si>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</si>
  <si>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</si>
  <si>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</si>
  <si>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</si>
  <si>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</si>
  <si>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</si>
  <si>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</si>
  <si>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</si>
  <si>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</si>
  <si>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</si>
  <si>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</si>
  <si>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</si>
  <si>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</si>
  <si>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</si>
  <si>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</si>
  <si>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</si>
  <si>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</si>
  <si>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</si>
  <si>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</si>
  <si>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</si>
  <si>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</si>
  <si>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</si>
  <si>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</si>
  <si>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</si>
  <si>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</si>
  <si>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</si>
  <si>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</si>
  <si>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</si>
  <si>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</si>
  <si>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</si>
  <si>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</si>
  <si>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</si>
  <si>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</si>
  <si>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</si>
  <si>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</si>
  <si>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</si>
  <si>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</si>
  <si>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</si>
  <si>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</si>
  <si>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</si>
  <si>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</si>
  <si>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</si>
  <si>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</si>
  <si>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</si>
  <si>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</si>
  <si>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</si>
  <si>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</si>
  <si>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</si>
  <si>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</si>
  <si>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</si>
  <si>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</si>
  <si>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</si>
  <si>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</si>
  <si>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</si>
  <si>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</si>
  <si>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</si>
  <si>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</si>
  <si>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</si>
  <si>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</si>
  <si>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</si>
  <si>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</si>
  <si>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</si>
  <si>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</si>
  <si>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</si>
  <si>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</si>
  <si>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</si>
  <si>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</si>
  <si>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</si>
  <si>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</si>
  <si>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</si>
  <si>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</si>
  <si>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</si>
  <si>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</si>
  <si>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</si>
  <si>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</si>
  <si>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</si>
  <si>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</si>
  <si>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</si>
  <si>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</si>
  <si>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</si>
  <si>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</si>
  <si>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</si>
  <si>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</si>
  <si>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</si>
  <si>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</si>
  <si>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</si>
  <si>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</si>
  <si>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</si>
  <si>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</si>
  <si>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</si>
  <si>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</si>
  <si>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</si>
  <si>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</si>
  <si>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</si>
  <si>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</si>
  <si>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</si>
  <si>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</si>
  <si>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</si>
  <si>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</si>
  <si>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</si>
  <si>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</si>
  <si>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</si>
  <si>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</si>
  <si>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</si>
  <si>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</si>
  <si>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</si>
  <si>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</si>
  <si>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</si>
  <si>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</si>
  <si>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</si>
  <si>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</si>
  <si>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</si>
  <si>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</si>
  <si>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</si>
  <si>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</si>
  <si>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</si>
  <si>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</si>
  <si>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</si>
  <si>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</si>
  <si>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</si>
  <si>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</si>
  <si>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</si>
  <si>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</si>
  <si>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</si>
  <si>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</si>
  <si>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</si>
  <si>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</si>
  <si>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</si>
  <si>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</si>
  <si>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</si>
  <si>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</si>
  <si>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</si>
  <si>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</si>
  <si>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</si>
  <si>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</si>
  <si>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</si>
  <si>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</si>
  <si>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</si>
  <si>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</si>
  <si>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</si>
  <si>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</si>
  <si>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</si>
  <si>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</si>
  <si>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</si>
  <si>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</si>
  <si>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</si>
  <si>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</si>
  <si>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</si>
  <si>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</si>
  <si>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</si>
  <si>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</si>
  <si>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</si>
  <si>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</si>
  <si>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</si>
  <si>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</si>
  <si>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</si>
  <si>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</si>
  <si>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</si>
  <si>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</si>
  <si>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</si>
  <si>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</si>
  <si>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</si>
  <si>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</si>
  <si>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</si>
  <si>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</si>
  <si>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</si>
  <si>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</si>
  <si>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</si>
  <si>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</si>
  <si>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</si>
  <si>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</si>
  <si>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</si>
  <si>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</si>
  <si>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</si>
  <si>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</si>
  <si>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</si>
  <si>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</si>
  <si>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</si>
  <si>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</si>
  <si>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</si>
  <si>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</si>
  <si>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</si>
  <si>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</si>
  <si>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</si>
  <si>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</si>
  <si>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</si>
  <si>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</si>
  <si>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</si>
  <si>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</si>
  <si>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</si>
  <si>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</si>
  <si>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</si>
  <si>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</si>
  <si>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</si>
  <si>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</si>
  <si>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</si>
  <si>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</si>
  <si>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</si>
  <si>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</si>
  <si>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</si>
  <si>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</si>
  <si>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</si>
  <si>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</si>
  <si>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</si>
  <si>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</si>
  <si>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</si>
  <si>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</si>
  <si>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</si>
  <si>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</si>
  <si>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</si>
  <si>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</si>
  <si>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</si>
  <si>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</si>
  <si>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</si>
  <si>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</si>
  <si>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</si>
  <si>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</si>
  <si>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</si>
  <si>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</si>
  <si>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</si>
  <si>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</si>
  <si>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</si>
  <si>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</si>
  <si>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</si>
  <si>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</si>
  <si>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</si>
  <si>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</si>
  <si>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</si>
  <si>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</si>
  <si>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</si>
  <si>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</si>
  <si>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</si>
  <si>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</si>
  <si>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</si>
  <si>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</si>
  <si>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</si>
  <si>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</si>
  <si>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</si>
  <si>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</si>
  <si>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</si>
  <si>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</si>
  <si>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</si>
  <si>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</si>
  <si>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</si>
  <si>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</si>
  <si>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</si>
  <si>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</si>
  <si>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</si>
  <si>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</si>
  <si>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</si>
  <si>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</si>
  <si>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</si>
  <si>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</si>
  <si>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</si>
  <si>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</si>
  <si>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</si>
  <si>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</si>
  <si>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</si>
  <si>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</si>
  <si>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</si>
  <si>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</si>
  <si>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</si>
  <si>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</si>
  <si>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</si>
  <si>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</si>
  <si>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</si>
  <si>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</si>
  <si>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</si>
  <si>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</si>
  <si>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</si>
  <si>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</si>
  <si>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</si>
  <si>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</si>
  <si>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</si>
  <si>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</si>
  <si>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</si>
  <si>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</si>
  <si>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</si>
  <si>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</si>
  <si>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</si>
  <si>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</si>
  <si>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</si>
  <si>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</si>
  <si>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</si>
  <si>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</si>
  <si>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</si>
  <si>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</si>
  <si>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</si>
  <si>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</si>
  <si>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</si>
  <si>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</si>
  <si>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</si>
  <si>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</si>
  <si>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</si>
  <si>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</si>
  <si>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</si>
  <si>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</si>
  <si>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</si>
  <si>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</si>
  <si>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</si>
  <si>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</si>
  <si>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</si>
  <si>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</si>
  <si>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</si>
  <si>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</si>
  <si>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</si>
  <si>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</si>
  <si>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</si>
  <si>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</si>
  <si>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</si>
  <si>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</si>
  <si>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</si>
  <si>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</si>
  <si>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</si>
  <si>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</si>
  <si>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</si>
  <si>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</si>
  <si>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</si>
  <si>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</si>
  <si>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</si>
  <si>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</si>
  <si>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</si>
  <si>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</si>
  <si>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</si>
  <si>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</si>
  <si>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</si>
  <si>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</si>
  <si>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</si>
  <si>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</si>
  <si>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</si>
  <si>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</si>
  <si>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</si>
  <si>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</si>
  <si>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</si>
  <si>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</si>
  <si>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</si>
  <si>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</si>
  <si>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</si>
  <si>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</si>
  <si>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</si>
  <si>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</si>
  <si>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</si>
  <si>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</si>
  <si>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</si>
  <si>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</si>
  <si>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</si>
  <si>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</si>
  <si>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</si>
  <si>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</si>
  <si>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</si>
  <si>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</si>
  <si>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</si>
  <si>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</si>
  <si>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</si>
  <si>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</si>
  <si>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</si>
  <si>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</si>
  <si>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</si>
  <si>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</si>
  <si>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</si>
  <si>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</si>
  <si>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</si>
  <si>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</si>
  <si>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</si>
  <si>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</si>
  <si>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</si>
  <si>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</si>
  <si>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</si>
  <si>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</si>
  <si>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</si>
  <si>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</si>
  <si>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</si>
  <si>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</si>
  <si>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</si>
  <si>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</si>
  <si>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</si>
  <si>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</si>
  <si>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</si>
  <si>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</si>
  <si>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</si>
  <si>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</si>
  <si>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</si>
  <si>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</si>
  <si>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</si>
  <si>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</si>
  <si>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</si>
  <si>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</si>
  <si>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</si>
  <si>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</si>
  <si>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</si>
  <si>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</si>
  <si>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</si>
  <si>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</si>
  <si>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</si>
  <si>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</si>
  <si>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</si>
  <si>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</si>
  <si>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</si>
  <si>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</si>
  <si>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</si>
  <si>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</si>
  <si>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</si>
  <si>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</si>
  <si>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</si>
  <si>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</si>
  <si>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</si>
  <si>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</si>
  <si>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</si>
  <si>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</si>
  <si>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</si>
  <si>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</si>
  <si>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</si>
  <si>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</si>
  <si>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</si>
  <si>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</si>
  <si>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</si>
  <si>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</si>
  <si>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</si>
  <si>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</si>
  <si>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</si>
  <si>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</si>
  <si>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</si>
  <si>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</si>
  <si>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</si>
  <si>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</si>
  <si>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</si>
  <si>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</si>
  <si>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</si>
  <si>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</si>
  <si>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</si>
  <si>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</si>
  <si>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</si>
  <si>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</si>
  <si>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</si>
  <si>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</si>
  <si>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</si>
  <si>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</si>
  <si>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</si>
  <si>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</si>
  <si>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</si>
  <si>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</si>
  <si>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</si>
  <si>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</si>
  <si>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</si>
  <si>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</si>
  <si>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</si>
  <si>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</si>
  <si>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</si>
  <si>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</si>
  <si>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</si>
  <si>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</si>
  <si>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</si>
  <si>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</si>
  <si>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</si>
  <si>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</si>
  <si>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</si>
  <si>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</si>
  <si>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</si>
  <si>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</si>
  <si>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</si>
  <si>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</si>
  <si>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</si>
  <si>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</si>
  <si>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</si>
  <si>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</si>
  <si>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</si>
  <si>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</si>
  <si>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</si>
  <si>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</si>
  <si>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</si>
  <si>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</si>
  <si>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</si>
  <si>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</si>
  <si>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</si>
  <si>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</si>
  <si>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</si>
  <si>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</si>
  <si>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</si>
  <si>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</si>
  <si>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</si>
  <si>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</si>
  <si>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</si>
  <si>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</si>
  <si>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</si>
  <si>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</si>
  <si>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</si>
  <si>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</si>
  <si>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</si>
  <si>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</si>
  <si>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</si>
  <si>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</si>
  <si>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</si>
  <si>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</si>
  <si>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</si>
  <si>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</si>
  <si>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</si>
  <si>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</si>
  <si>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</si>
  <si>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</si>
  <si>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</si>
  <si>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</si>
  <si>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</si>
  <si>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</si>
  <si>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</si>
  <si>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</si>
  <si>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</si>
  <si>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</si>
  <si>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</si>
  <si>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</si>
  <si>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</si>
  <si>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</si>
  <si>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</si>
  <si>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</si>
  <si>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</si>
  <si>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</si>
  <si>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</si>
  <si>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</si>
  <si>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</si>
  <si>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</si>
  <si>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</si>
  <si>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</si>
  <si>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</si>
  <si>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</si>
  <si>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</si>
  <si>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</si>
  <si>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</si>
  <si>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</si>
  <si>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</si>
  <si>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</si>
  <si>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</si>
  <si>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</si>
  <si>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</si>
  <si>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</si>
  <si>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</si>
  <si>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</si>
  <si>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</si>
  <si>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</si>
  <si>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</si>
  <si>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</si>
  <si>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</si>
  <si>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</si>
  <si>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</si>
  <si>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</si>
  <si>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</si>
  <si>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</si>
  <si>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</si>
  <si>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</si>
  <si>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</si>
  <si>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</si>
  <si>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</si>
  <si>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</si>
  <si>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</si>
  <si>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</si>
  <si>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</si>
  <si>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</si>
  <si>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</si>
  <si>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</si>
  <si>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</si>
  <si>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</si>
  <si>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</si>
  <si>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</si>
  <si>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</si>
  <si>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</si>
  <si>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</si>
  <si>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</si>
  <si>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</si>
  <si>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</si>
  <si>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</si>
  <si>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</si>
  <si>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</si>
  <si>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</si>
  <si>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</si>
  <si>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</si>
  <si>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</si>
  <si>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</si>
  <si>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</si>
  <si>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</si>
  <si>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</si>
  <si>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</si>
  <si>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</si>
  <si>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</si>
  <si>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</si>
  <si>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</si>
  <si>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</si>
  <si>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</si>
  <si>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</si>
  <si>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</si>
  <si>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</si>
  <si>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</si>
  <si>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</si>
  <si>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</si>
  <si>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</si>
  <si>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</si>
  <si>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</si>
  <si>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</si>
  <si>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</si>
  <si>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</si>
  <si>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</si>
  <si>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</si>
  <si>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</si>
  <si>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</si>
  <si>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</si>
  <si>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</si>
  <si>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</si>
  <si>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</si>
  <si>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</si>
  <si>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</si>
  <si>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</si>
  <si>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</si>
  <si>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</si>
  <si>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</si>
  <si>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</si>
  <si>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</si>
  <si>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</si>
  <si>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</si>
  <si>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</si>
  <si>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</si>
  <si>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</si>
  <si>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</si>
  <si>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</si>
  <si>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</si>
  <si>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</si>
  <si>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</si>
  <si>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</si>
  <si>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</si>
  <si>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</si>
  <si>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</si>
  <si>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</si>
  <si>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</si>
  <si>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</si>
  <si>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</si>
  <si>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</si>
  <si>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</si>
  <si>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</si>
  <si>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</si>
  <si>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</si>
  <si>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</si>
  <si>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</si>
  <si>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</si>
  <si>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</si>
  <si>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</si>
  <si>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</si>
  <si>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</si>
  <si>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</si>
  <si>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</si>
  <si>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</si>
  <si>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</si>
  <si>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</si>
  <si>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</si>
  <si>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</si>
  <si>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</si>
  <si>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</si>
  <si>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</si>
  <si>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</si>
  <si>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</si>
  <si>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</si>
  <si>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</si>
  <si>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</si>
  <si>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</si>
  <si>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</si>
  <si>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</si>
  <si>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</si>
  <si>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</si>
  <si>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</si>
  <si>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</si>
  <si>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</si>
  <si>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</si>
  <si>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</si>
  <si>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</si>
  <si>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</si>
  <si>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</si>
  <si>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</si>
  <si>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</si>
  <si>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</si>
  <si>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</si>
  <si>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</si>
  <si>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</si>
  <si>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</si>
  <si>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</si>
  <si>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</si>
  <si>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</si>
  <si>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</si>
  <si>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</si>
  <si>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</si>
  <si>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</si>
  <si>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</si>
  <si>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</si>
  <si>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</si>
  <si>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</si>
  <si>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</si>
  <si>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</si>
  <si>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</si>
  <si>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</si>
  <si>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</si>
  <si>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</si>
  <si>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</si>
  <si>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</si>
  <si>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</si>
  <si>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</si>
  <si>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</si>
  <si>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</si>
  <si>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</si>
  <si>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</si>
  <si>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</si>
  <si>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</si>
  <si>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</si>
  <si>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</si>
  <si>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</si>
  <si>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</si>
  <si>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</si>
  <si>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</si>
  <si>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</si>
  <si>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</si>
  <si>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</si>
  <si>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</si>
  <si>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</si>
  <si>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</si>
  <si>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</si>
  <si>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</si>
  <si>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</si>
  <si>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</si>
  <si>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</si>
  <si>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</si>
  <si>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</si>
  <si>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</si>
  <si>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</si>
  <si>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</si>
  <si>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</si>
  <si>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</si>
  <si>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</si>
  <si>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</si>
  <si>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</si>
  <si>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</si>
  <si>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</si>
  <si>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</si>
  <si>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</si>
  <si>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</si>
  <si>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</si>
  <si>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</si>
  <si>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</si>
  <si>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</si>
  <si>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</si>
  <si>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</si>
  <si>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</si>
  <si>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</si>
  <si>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</si>
  <si>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</si>
  <si>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</si>
  <si>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</si>
  <si>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</si>
  <si>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</si>
  <si>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</si>
  <si>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</si>
  <si>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</si>
  <si>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</si>
  <si>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</si>
  <si>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</si>
  <si>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</si>
  <si>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</si>
  <si>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</si>
  <si>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</si>
  <si>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</si>
  <si>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</si>
  <si>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</si>
  <si>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</si>
  <si>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</si>
  <si>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</si>
  <si>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</si>
  <si>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</si>
  <si>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</si>
  <si>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</si>
  <si>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</si>
  <si>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</si>
  <si>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</si>
  <si>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</si>
  <si>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</si>
  <si>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</si>
  <si>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</si>
  <si>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</si>
  <si>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</si>
  <si>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</si>
  <si>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</si>
  <si>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</si>
  <si>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</si>
  <si>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</si>
  <si>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</si>
  <si>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</si>
  <si>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</si>
  <si>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</si>
  <si>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</si>
  <si>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</si>
  <si>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</si>
  <si>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</si>
  <si>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</si>
  <si>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</si>
  <si>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</si>
  <si>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</si>
  <si>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</si>
  <si>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</si>
  <si>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</si>
  <si>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</si>
  <si>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</si>
  <si>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</si>
  <si>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</si>
  <si>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</si>
  <si>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</si>
  <si>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</si>
  <si>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</si>
  <si>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</si>
  <si>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</si>
  <si>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</si>
  <si>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</si>
  <si>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</si>
  <si>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</si>
  <si>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</si>
  <si>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</si>
  <si>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</si>
  <si>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</si>
  <si>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</si>
  <si>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</si>
  <si>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</si>
  <si>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</si>
  <si>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</si>
  <si>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</si>
  <si>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</si>
  <si>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</si>
  <si>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</si>
  <si>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</si>
  <si>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</si>
  <si>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</si>
  <si>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</si>
  <si>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</si>
  <si>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</si>
  <si>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</si>
  <si>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</si>
  <si>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</si>
  <si>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</si>
  <si>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</si>
  <si>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</si>
  <si>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</si>
  <si>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</si>
  <si>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</si>
  <si>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</si>
  <si>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</si>
  <si>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</si>
  <si>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</si>
  <si>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</si>
  <si>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</si>
  <si>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</si>
  <si>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</si>
  <si>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</si>
  <si>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</si>
  <si>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</si>
  <si>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</si>
  <si>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</si>
  <si>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</si>
  <si>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</si>
  <si>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</si>
  <si>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</si>
  <si>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</si>
  <si>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</si>
  <si>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</si>
  <si>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</si>
  <si>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</si>
  <si>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</si>
  <si>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</si>
  <si>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</si>
  <si>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</si>
  <si>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</si>
  <si>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</si>
  <si>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</si>
  <si>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</si>
  <si>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</si>
  <si>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</si>
  <si>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</si>
  <si>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</si>
  <si>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</si>
  <si>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</si>
  <si>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</si>
  <si>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</si>
  <si>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</si>
  <si>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</si>
  <si>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</si>
  <si>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</si>
  <si>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</si>
  <si>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</si>
  <si>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</si>
  <si>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</si>
  <si>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</si>
  <si>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</si>
  <si>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</si>
  <si>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</si>
  <si>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</si>
  <si>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</si>
  <si>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</si>
  <si>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</si>
  <si>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</si>
  <si>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</si>
  <si>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</si>
  <si>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</si>
  <si>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</si>
  <si>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</si>
  <si>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</si>
  <si>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</si>
  <si>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</si>
  <si>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</si>
  <si>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</si>
  <si>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</si>
  <si>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</si>
  <si>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</si>
  <si>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</si>
  <si>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</si>
  <si>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</si>
  <si>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</si>
  <si>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</si>
  <si>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</si>
  <si>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</si>
  <si>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</si>
  <si>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</si>
  <si>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</si>
  <si>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</si>
  <si>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</si>
  <si>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</si>
  <si>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</si>
  <si>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</si>
  <si>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</si>
  <si>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</si>
  <si>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</si>
  <si>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</si>
  <si>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</si>
  <si>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</si>
  <si>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</si>
  <si>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</si>
  <si>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</si>
  <si>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</si>
  <si>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</si>
  <si>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</si>
  <si>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</si>
  <si>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</si>
  <si>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</si>
  <si>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</si>
  <si>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</si>
  <si>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</si>
  <si>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</si>
  <si>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</si>
  <si>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</si>
  <si>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</si>
  <si>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</si>
  <si>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</si>
  <si>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</si>
  <si>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</si>
  <si>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</si>
  <si>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</si>
  <si>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</si>
  <si>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</si>
  <si>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</si>
  <si>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</si>
  <si>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</si>
  <si>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</si>
  <si>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</si>
  <si>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</si>
  <si>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</si>
  <si>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</si>
  <si>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</si>
  <si>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</si>
  <si>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</si>
  <si>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</si>
  <si>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</si>
  <si>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</si>
  <si>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</si>
  <si>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</si>
  <si>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</si>
  <si>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</si>
  <si>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</si>
  <si>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</si>
  <si>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</si>
  <si>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</si>
  <si>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</si>
  <si>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</si>
  <si>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</si>
  <si>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</si>
  <si>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</si>
  <si>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</si>
  <si>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</si>
  <si>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</si>
  <si>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</si>
  <si>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</si>
  <si>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</si>
  <si>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</si>
  <si>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</si>
  <si>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</si>
  <si>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</si>
  <si>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</si>
  <si>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</si>
  <si>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</si>
  <si>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</si>
  <si>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</si>
  <si>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</si>
  <si>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</si>
  <si>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</si>
  <si>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</si>
  <si>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</si>
  <si>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</si>
  <si>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</si>
  <si>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</si>
  <si>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</si>
  <si>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</si>
  <si>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</si>
  <si>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</si>
  <si>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</si>
  <si>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</si>
  <si>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</si>
  <si>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</si>
  <si>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</si>
  <si>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</si>
  <si>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</si>
  <si>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</si>
  <si>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</si>
  <si>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</si>
  <si>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</si>
  <si>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</si>
  <si>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</si>
  <si>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</si>
  <si>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</si>
  <si>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</si>
  <si>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</si>
  <si>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</si>
  <si>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</si>
  <si>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</si>
  <si>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</si>
  <si>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</si>
  <si>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</si>
  <si>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</si>
  <si>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</si>
  <si>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</si>
  <si>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</si>
  <si>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</si>
  <si>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</si>
  <si>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</si>
  <si>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</si>
  <si>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</si>
  <si>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</si>
  <si>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</si>
  <si>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</si>
  <si>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</si>
  <si>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</si>
  <si>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</si>
  <si>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</si>
  <si>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</si>
  <si>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</si>
  <si>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</si>
  <si>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</si>
  <si>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</si>
  <si>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</si>
  <si>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</si>
  <si>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</si>
  <si>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</si>
  <si>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</si>
  <si>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</si>
  <si>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</si>
  <si>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</si>
  <si>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</si>
  <si>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</si>
  <si>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</si>
  <si>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</si>
  <si>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</si>
  <si>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</si>
  <si>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</si>
  <si>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</si>
  <si>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</si>
  <si>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</si>
  <si>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</si>
  <si>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</si>
  <si>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</si>
  <si>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</si>
  <si>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</si>
  <si>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</si>
  <si>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</si>
  <si>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</si>
  <si>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</si>
  <si>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</si>
  <si>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</si>
  <si>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</si>
  <si>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</si>
  <si>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</si>
  <si>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</si>
  <si>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</si>
  <si>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</si>
  <si>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</si>
  <si>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</si>
  <si>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</si>
  <si>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</si>
  <si>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</si>
  <si>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</si>
  <si>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</si>
  <si>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</si>
  <si>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</si>
  <si>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</si>
  <si>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</si>
  <si>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</si>
  <si>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</si>
  <si>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</si>
  <si>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</si>
  <si>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</si>
  <si>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</si>
  <si>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</si>
  <si>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</si>
  <si>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</si>
  <si>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</si>
  <si>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</si>
  <si>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</si>
  <si>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</si>
  <si>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</si>
  <si>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</si>
  <si>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</si>
  <si>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</si>
  <si>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</si>
  <si>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</si>
  <si>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</si>
  <si>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</si>
  <si>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</si>
  <si>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</si>
  <si>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</si>
  <si>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</si>
  <si>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</si>
  <si>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</si>
  <si>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</si>
  <si>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</si>
  <si>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</si>
  <si>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</si>
  <si>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</si>
  <si>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</si>
  <si>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</si>
  <si>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</si>
  <si>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</si>
  <si>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</si>
  <si>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</si>
  <si>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</si>
  <si>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</si>
  <si>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</si>
  <si>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</si>
  <si>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</si>
  <si>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</si>
  <si>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</si>
  <si>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</si>
  <si>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</si>
  <si>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</si>
  <si>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</si>
  <si>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</si>
  <si>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</si>
  <si>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</si>
  <si>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</si>
  <si>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</si>
  <si>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</si>
  <si>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</si>
  <si>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</si>
  <si>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</si>
  <si>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</si>
  <si>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</si>
  <si>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</si>
  <si>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</si>
  <si>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</si>
  <si>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</si>
  <si>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</si>
  <si>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</si>
  <si>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</si>
  <si>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</si>
  <si>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</si>
  <si>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</si>
  <si>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</si>
  <si>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</si>
  <si>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</si>
  <si>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</si>
  <si>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</si>
  <si>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</si>
  <si>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</si>
  <si>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</si>
  <si>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</si>
  <si>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</si>
  <si>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</si>
  <si>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</si>
  <si>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</si>
  <si>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</si>
  <si>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</si>
  <si>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</si>
  <si>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</si>
  <si>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</si>
  <si>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</si>
  <si>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</si>
  <si>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</si>
  <si>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</si>
  <si>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</si>
  <si>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</si>
  <si>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</si>
  <si>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</si>
  <si>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</si>
  <si>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</si>
  <si>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</si>
  <si>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</si>
  <si>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</si>
  <si>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</si>
  <si>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</si>
  <si>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</si>
  <si>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</si>
  <si>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</si>
  <si>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</si>
  <si>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</si>
  <si>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</si>
  <si>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</si>
  <si>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</si>
  <si>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</si>
  <si>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</si>
  <si>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</si>
  <si>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</si>
  <si>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</si>
  <si>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</si>
  <si>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</si>
  <si>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</si>
  <si>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</si>
  <si>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</si>
  <si>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</si>
  <si>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</si>
  <si>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</si>
  <si>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</si>
  <si>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</si>
  <si>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</si>
  <si>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</si>
  <si>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</si>
  <si>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</si>
  <si>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</si>
  <si>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</si>
  <si>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</si>
  <si>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</si>
  <si>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</si>
  <si>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</si>
  <si>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</si>
  <si>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</si>
  <si>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</si>
  <si>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</si>
  <si>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</si>
  <si>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</si>
  <si>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</si>
  <si>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</si>
  <si>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</si>
  <si>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</si>
  <si>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</si>
  <si>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</si>
  <si>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</si>
  <si>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</si>
  <si>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</si>
  <si>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</si>
  <si>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</si>
  <si>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</si>
  <si>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</si>
  <si>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</si>
  <si>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</si>
  <si>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</si>
  <si>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</si>
  <si>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</si>
  <si>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</si>
  <si>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</si>
  <si>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</si>
  <si>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</si>
  <si>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</si>
  <si>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</si>
  <si>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</si>
  <si>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</si>
  <si>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</si>
  <si>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</si>
  <si>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</si>
  <si>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</si>
  <si>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</si>
  <si>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</si>
  <si>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</si>
  <si>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</si>
  <si>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</si>
  <si>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</si>
  <si>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</si>
  <si>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</si>
  <si>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</si>
  <si>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</si>
  <si>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</si>
  <si>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</si>
  <si>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</si>
  <si>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</si>
  <si>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</si>
  <si>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</si>
  <si>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</si>
  <si>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</si>
  <si>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</si>
  <si>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</si>
  <si>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</si>
  <si>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</si>
  <si>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</si>
  <si>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</si>
  <si>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</si>
  <si>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</si>
  <si>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</si>
  <si>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</si>
  <si>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</si>
  <si>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</si>
  <si>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</si>
  <si>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</si>
  <si>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</si>
  <si>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</si>
  <si>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</si>
  <si>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</si>
  <si>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</si>
  <si>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</si>
  <si>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</si>
  <si>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</si>
  <si>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</si>
  <si>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</si>
  <si>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</si>
  <si>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</si>
  <si>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</si>
  <si>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</si>
  <si>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</si>
  <si>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</si>
  <si>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</si>
  <si>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</si>
  <si>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</si>
  <si>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</si>
  <si>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</si>
  <si>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</si>
  <si>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</si>
  <si>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</si>
  <si>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</si>
  <si>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</si>
  <si>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</si>
  <si>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</si>
  <si>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</si>
  <si>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</si>
  <si>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</si>
  <si>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</si>
  <si>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</si>
  <si>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</si>
  <si>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</si>
  <si>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</si>
  <si>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</si>
  <si>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</si>
  <si>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</si>
  <si>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</si>
  <si>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</si>
  <si>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</si>
  <si>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</si>
  <si>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</si>
  <si>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</si>
  <si>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</si>
  <si>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</si>
  <si>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</si>
  <si>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</si>
  <si>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</si>
  <si>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</si>
  <si>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</si>
  <si>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</si>
  <si>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</si>
  <si>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</si>
  <si>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</si>
  <si>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</si>
  <si>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</si>
  <si>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</si>
  <si>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</si>
  <si>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</si>
  <si>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</si>
  <si>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</si>
  <si>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</si>
  <si>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</si>
  <si>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</si>
  <si>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</si>
  <si>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</si>
  <si>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</si>
  <si>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</si>
  <si>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</si>
  <si>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</si>
  <si>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</si>
  <si>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</si>
  <si>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</si>
  <si>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</si>
  <si>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</si>
  <si>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</si>
  <si>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</si>
  <si>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</si>
  <si>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</si>
  <si>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</si>
  <si>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</si>
  <si>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</si>
  <si>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</si>
  <si>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</si>
  <si>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</si>
  <si>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</si>
  <si>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</si>
  <si>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</si>
  <si>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</si>
  <si>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</si>
  <si>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</si>
  <si>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</si>
  <si>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</si>
  <si>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</si>
  <si>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</si>
  <si>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</si>
  <si>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</si>
  <si>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</si>
  <si>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</si>
  <si>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</si>
  <si>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</si>
  <si>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</si>
  <si>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</si>
  <si>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</si>
  <si>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</si>
  <si>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</si>
  <si>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</si>
  <si>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</si>
  <si>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</si>
  <si>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</si>
  <si>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</si>
  <si>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</si>
  <si>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</si>
  <si>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</si>
  <si>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</si>
  <si>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</si>
  <si>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</si>
  <si>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</si>
  <si>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</si>
  <si>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</si>
  <si>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</si>
  <si>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</si>
  <si>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</si>
  <si>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</si>
  <si>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</si>
  <si>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</si>
  <si>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</si>
  <si>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</si>
  <si>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</si>
  <si>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</si>
  <si>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</si>
  <si>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</si>
  <si>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</si>
  <si>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</si>
  <si>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</si>
  <si>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</si>
  <si>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</si>
  <si>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</si>
  <si>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</si>
  <si>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</si>
  <si>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</si>
  <si>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</si>
  <si>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</si>
  <si>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</si>
  <si>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</si>
  <si>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</si>
  <si>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</si>
  <si>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</si>
  <si>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</si>
  <si>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</si>
  <si>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</si>
  <si>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</si>
  <si>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</si>
  <si>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</si>
  <si>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</si>
  <si>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</si>
  <si>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</si>
  <si>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</si>
  <si>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</si>
  <si>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</si>
  <si>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</si>
  <si>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</si>
  <si>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</si>
  <si>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</si>
  <si>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</si>
  <si>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</si>
  <si>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</si>
  <si>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</si>
  <si>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</si>
  <si>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</si>
  <si>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</si>
  <si>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</si>
  <si>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</si>
  <si>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</si>
  <si>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</si>
  <si>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</si>
  <si>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</si>
  <si>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</si>
  <si>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</si>
  <si>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</si>
  <si>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</si>
  <si>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</si>
  <si>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</si>
  <si>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</si>
  <si>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</si>
  <si>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</si>
  <si>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</si>
  <si>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</si>
  <si>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</si>
  <si>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</si>
  <si>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</si>
  <si>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</si>
  <si>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</si>
  <si>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</si>
  <si>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</si>
  <si>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</si>
  <si>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</si>
  <si>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</si>
  <si>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</si>
  <si>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</si>
  <si>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</si>
  <si>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</si>
  <si>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</si>
  <si>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</si>
  <si>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</si>
  <si>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</si>
  <si>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</si>
  <si>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</si>
  <si>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</si>
  <si>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</si>
  <si>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</si>
  <si>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</si>
  <si>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</si>
  <si>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</si>
  <si>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</si>
  <si>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</si>
  <si>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</si>
  <si>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</si>
  <si>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</si>
  <si>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</si>
  <si>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</si>
  <si>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</si>
  <si>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</si>
  <si>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</si>
  <si>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</si>
  <si>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</si>
  <si>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</si>
  <si>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</si>
  <si>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</si>
  <si>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</si>
  <si>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</si>
  <si>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</si>
  <si>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</si>
  <si>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</si>
  <si>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</si>
  <si>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</si>
  <si>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</si>
  <si>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</si>
  <si>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</si>
  <si>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</si>
  <si>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</si>
  <si>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</si>
  <si>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</si>
  <si>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</si>
  <si>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</si>
  <si>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</si>
  <si>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</si>
  <si>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</si>
  <si>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</si>
  <si>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</si>
  <si>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</si>
  <si>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</si>
  <si>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</si>
  <si>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</si>
  <si>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</si>
  <si>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</si>
  <si>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</si>
  <si>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</si>
  <si>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</si>
  <si>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</si>
  <si>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</si>
  <si>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</si>
  <si>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</si>
  <si>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</si>
  <si>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</si>
  <si>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</si>
  <si>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</si>
  <si>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</si>
  <si>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</si>
  <si>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</si>
  <si>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</si>
  <si>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</si>
  <si>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</si>
  <si>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王鹏</t>
  </si>
  <si>
    <t>出让</t>
  </si>
  <si>
    <t>房地产抵押价值</t>
  </si>
  <si>
    <t>其他：</t>
  </si>
  <si>
    <t>山东省</t>
    <phoneticPr fontId="6" type="noConversion"/>
  </si>
  <si>
    <r>
      <rPr>
        <sz val="12"/>
        <color theme="9" tint="-0.249977111117893"/>
        <rFont val="宋体"/>
        <family val="3"/>
        <charset val="134"/>
      </rPr>
      <t>青岛市黄岛区开发区汉江路</t>
    </r>
    <r>
      <rPr>
        <sz val="12"/>
        <color theme="9" tint="-0.249977111117893"/>
        <rFont val="Arial"/>
        <family val="2"/>
      </rPr>
      <t>3</t>
    </r>
    <r>
      <rPr>
        <sz val="12"/>
        <color theme="9" tint="-0.249977111117893"/>
        <rFont val="宋体"/>
        <family val="3"/>
        <charset val="134"/>
      </rPr>
      <t>号万达广场全幢、地下</t>
    </r>
    <phoneticPr fontId="6" type="noConversion"/>
  </si>
  <si>
    <t>企业</t>
  </si>
  <si>
    <t>青岛融创游艇产业投资有限公司</t>
    <phoneticPr fontId="6" type="noConversion"/>
  </si>
  <si>
    <t>商业项目</t>
  </si>
  <si>
    <t>商场</t>
  </si>
  <si>
    <t>现房</t>
  </si>
  <si>
    <t>通路</t>
  </si>
  <si>
    <t>通电</t>
  </si>
  <si>
    <t>通讯</t>
  </si>
  <si>
    <t>通上水</t>
  </si>
  <si>
    <t>通下水</t>
  </si>
  <si>
    <t>是</t>
  </si>
  <si>
    <t>地上</t>
  </si>
  <si>
    <t>独立商业</t>
  </si>
  <si>
    <t>地下</t>
  </si>
  <si>
    <t>商业</t>
    <phoneticPr fontId="7" type="noConversion"/>
  </si>
  <si>
    <t>成新度</t>
  </si>
  <si>
    <t>商业案例</t>
    <phoneticPr fontId="143" type="noConversion"/>
  </si>
  <si>
    <t>楼层</t>
    <phoneticPr fontId="143" type="noConversion"/>
  </si>
  <si>
    <t>面积</t>
    <phoneticPr fontId="143" type="noConversion"/>
  </si>
  <si>
    <t>租金单价</t>
    <phoneticPr fontId="143" type="noConversion"/>
  </si>
  <si>
    <t>位置</t>
    <phoneticPr fontId="143" type="noConversion"/>
  </si>
  <si>
    <t>香江路</t>
    <phoneticPr fontId="143" type="noConversion"/>
  </si>
  <si>
    <t>较好</t>
    <phoneticPr fontId="3" type="noConversion"/>
  </si>
  <si>
    <t>一般</t>
    <phoneticPr fontId="3" type="noConversion"/>
  </si>
  <si>
    <t>六通</t>
    <phoneticPr fontId="3" type="noConversion"/>
  </si>
  <si>
    <t>商业</t>
    <phoneticPr fontId="31" type="noConversion"/>
  </si>
  <si>
    <t>规则</t>
    <phoneticPr fontId="3" type="noConversion"/>
  </si>
  <si>
    <t>较规则</t>
    <phoneticPr fontId="3" type="noConversion"/>
  </si>
  <si>
    <t>不规则</t>
    <phoneticPr fontId="3" type="noConversion"/>
  </si>
  <si>
    <t>七通</t>
    <phoneticPr fontId="3" type="noConversion"/>
  </si>
  <si>
    <t>六通</t>
    <phoneticPr fontId="3" type="noConversion"/>
  </si>
  <si>
    <t>五通</t>
    <phoneticPr fontId="3" type="noConversion"/>
  </si>
  <si>
    <t>较适宜</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</si>
  <si>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</si>
  <si>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</si>
  <si>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</si>
  <si>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</si>
  <si>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</si>
  <si>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</si>
  <si>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</si>
  <si>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</si>
  <si>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</si>
  <si>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</si>
  <si>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</si>
  <si>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</si>
  <si>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</si>
  <si>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</si>
  <si>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</si>
  <si>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</si>
  <si>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</si>
  <si>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</si>
  <si>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</si>
  <si>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</si>
  <si>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</si>
  <si>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</si>
  <si>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</si>
  <si>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</si>
  <si>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</si>
  <si>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</si>
  <si>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</si>
  <si>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</si>
  <si>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</si>
  <si>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</si>
  <si>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</si>
  <si>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</si>
  <si>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</si>
  <si>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</si>
  <si>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</si>
  <si>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</si>
  <si>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</si>
  <si>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</si>
  <si>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</si>
  <si>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</si>
  <si>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</si>
  <si>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</si>
  <si>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</si>
  <si>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</si>
  <si>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</si>
  <si>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黄岛区银沙滩路西、唐岛湾南岸</t>
  </si>
  <si>
    <t>青岛市</t>
  </si>
  <si>
    <t>商业/办公用地</t>
  </si>
  <si>
    <t>黄岛区</t>
  </si>
  <si>
    <t>拍卖</t>
  </si>
  <si>
    <t>HD2019-3092</t>
  </si>
  <si>
    <t>旅馆</t>
  </si>
  <si>
    <t>≤0.5</t>
  </si>
  <si>
    <t>≤50%</t>
  </si>
  <si>
    <t>未开工</t>
  </si>
  <si>
    <t>2019-06-21</t>
  </si>
  <si>
    <t>2019-07-16</t>
  </si>
  <si>
    <t>青黄自然资告字〔2019〕3092号</t>
  </si>
  <si>
    <t>已成交</t>
  </si>
  <si>
    <t>青岛嘉声文旅有限公司</t>
  </si>
  <si>
    <t>40年</t>
  </si>
  <si>
    <t>1星</t>
  </si>
  <si>
    <t>黄岛区月牙河路北、滨海大道西</t>
  </si>
  <si>
    <t>HD2019-3058</t>
  </si>
  <si>
    <t>商务金融用地</t>
  </si>
  <si>
    <t>≤2</t>
  </si>
  <si>
    <t>≤40%</t>
  </si>
  <si>
    <t>2019-05-21</t>
  </si>
  <si>
    <t>2019-06-13</t>
  </si>
  <si>
    <t>青黄自然资告字[2019]3056号-3</t>
  </si>
  <si>
    <t>青岛珠山书画院有限公司</t>
  </si>
  <si>
    <t>3星</t>
  </si>
  <si>
    <t>黄岛区月牙河路北、蓝海湾路西</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</si>
  <si>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</si>
  <si>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</si>
  <si>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</si>
  <si>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</si>
  <si>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</si>
  <si>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</si>
  <si>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</si>
  <si>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</si>
  <si>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</si>
  <si>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</si>
  <si>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</si>
  <si>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</si>
  <si>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</si>
  <si>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4星</t>
  </si>
  <si>
    <t>黄岛区前湾港路北、创智路东</t>
  </si>
  <si>
    <t>HD2019-3043</t>
  </si>
  <si>
    <t>文化设施用地、商务金融用地</t>
  </si>
  <si>
    <t>≤0.6</t>
  </si>
  <si>
    <t>≤30%</t>
  </si>
  <si>
    <t>2019-04-10</t>
  </si>
  <si>
    <t>2019-05-07</t>
  </si>
  <si>
    <t>青黄自然资告字[2019]3042号-2</t>
  </si>
  <si>
    <t>大地飞天(青岛)科普文化发展有限公司</t>
  </si>
  <si>
    <t>文化50年、商务40年</t>
  </si>
  <si>
    <t>黄岛区青连铁路东、玉溪路北</t>
  </si>
  <si>
    <t>HD2019-3039</t>
  </si>
  <si>
    <t>≤5.0</t>
  </si>
  <si>
    <t>2019-03-30</t>
  </si>
  <si>
    <t>2019-05-06</t>
  </si>
  <si>
    <t>青黄自然资告字[2019]3038号-2</t>
  </si>
  <si>
    <t>绿地海筑(青岛)置业有限公司</t>
  </si>
  <si>
    <t>黄岛区滨海大道西、世纪大道北</t>
  </si>
  <si>
    <t>HD2019-3026</t>
  </si>
  <si>
    <t>餐饮用地、旅馆用地、商务金融用地</t>
  </si>
  <si>
    <t>＞1且≤3.67</t>
  </si>
  <si>
    <t>限地价</t>
  </si>
  <si>
    <t>2019-02-14</t>
  </si>
  <si>
    <t>2019-03-11</t>
  </si>
  <si>
    <t>青黄土告字[2019]3025号-2</t>
  </si>
  <si>
    <t>青岛融创建晟投资有限公司</t>
  </si>
  <si>
    <t>黄岛区藏马山旅游度假区规划6号线以东、下丁家洼村北</t>
  </si>
  <si>
    <t>HD2019-3024</t>
  </si>
  <si>
    <t>娱乐、其他商服用地,旅馆用地,商务金融用地</t>
  </si>
  <si>
    <t>≤1.5</t>
  </si>
  <si>
    <t>≤45%</t>
  </si>
  <si>
    <t>2019-01-26</t>
  </si>
  <si>
    <t>2019-02-20</t>
  </si>
  <si>
    <t>青黄土告字[2019]3022号-2</t>
  </si>
  <si>
    <t>青岛融创西发文化发展有限公司</t>
  </si>
  <si>
    <t>黄岛区S293省道东、登台路南</t>
  </si>
  <si>
    <t>HD2018-3181</t>
  </si>
  <si>
    <t>≤1.0</t>
  </si>
  <si>
    <t>2018-12-29</t>
  </si>
  <si>
    <t>2019-01-23</t>
  </si>
  <si>
    <t>青黄土告字[2018]3178号-4</t>
  </si>
  <si>
    <t>青岛龙湾丽汀文化旅游发展有限公司</t>
  </si>
  <si>
    <t>黄岛区开城路东、藏南镇高戈庄村北</t>
  </si>
  <si>
    <t>HD2018-3169</t>
  </si>
  <si>
    <t>旅馆用地、商务金融用地</t>
  </si>
  <si>
    <t>2018-12-05</t>
  </si>
  <si>
    <t>2018-12-28</t>
  </si>
  <si>
    <t>青黄土告字[2018]3163号-7</t>
  </si>
  <si>
    <t>青岛佳诺华健康产业投资管理有限公司</t>
  </si>
  <si>
    <t>黄岛区二零四国道以南、东马河以东</t>
  </si>
  <si>
    <t>HD2018-3150</t>
  </si>
  <si>
    <t>零售商业用地</t>
  </si>
  <si>
    <t>≤1.2</t>
  </si>
  <si>
    <t>2018-11-23</t>
  </si>
  <si>
    <t>2018-12-18</t>
  </si>
  <si>
    <t>青黄土告字[2018]3149号-2</t>
  </si>
  <si>
    <t>青岛锦昊泰恒置业有限公司</t>
  </si>
  <si>
    <t>黄岛区开城路东、藏南镇河西屯村北</t>
  </si>
  <si>
    <t>HD2018-3153</t>
  </si>
  <si>
    <t>青黄土告字[2018]3149号-5</t>
  </si>
  <si>
    <t>青岛隆岳置业有限公司</t>
  </si>
  <si>
    <t>黄岛区崮上村南、崮山路东</t>
  </si>
  <si>
    <t>HD2018-3152</t>
  </si>
  <si>
    <t>餐饮、旅馆用地,商务金融用地</t>
  </si>
  <si>
    <t>青黄土告字[2018]3149号-4</t>
  </si>
  <si>
    <t>青岛东方小镇文化旅游发展有限公司</t>
  </si>
  <si>
    <t>黄岛区海湾路南、融合路东</t>
  </si>
  <si>
    <t>HD2018-3146</t>
  </si>
  <si>
    <t>住宿餐饮用地</t>
  </si>
  <si>
    <t>开工中</t>
  </si>
  <si>
    <t>2018-11-10</t>
  </si>
  <si>
    <t>青黄土告字[2018]3146号</t>
  </si>
  <si>
    <t>青岛融发东达地产开发有限公司</t>
  </si>
  <si>
    <t>2星</t>
  </si>
  <si>
    <t>黄岛区团结路南侧、山东省青岛市第九中学(新校区)西侧</t>
  </si>
  <si>
    <t>HD2018-3138</t>
  </si>
  <si>
    <t>其他商服用地</t>
  </si>
  <si>
    <t>2018-10-27</t>
  </si>
  <si>
    <t>2018-11-21</t>
  </si>
  <si>
    <t>青黄土告字[2018]3127号-11</t>
  </si>
  <si>
    <t>青岛英创建设发展有限公司</t>
  </si>
  <si>
    <t>黄岛区海西三路东、东岳西路南</t>
  </si>
  <si>
    <t>HD2018-3141</t>
  </si>
  <si>
    <t>批发零售用地</t>
  </si>
  <si>
    <t>青黄土告字[2018]3127号-14</t>
  </si>
  <si>
    <t>青岛中农现代农业发展有限公司</t>
  </si>
  <si>
    <t>黄岛区开城路西、张家楼镇大山张村南</t>
  </si>
  <si>
    <t>HD2018-3128</t>
  </si>
  <si>
    <t>≤1</t>
  </si>
  <si>
    <t>青黄土告字[2018]3127号-2</t>
  </si>
  <si>
    <t>黄岛区开城路北、藏南镇贺吉沟村西</t>
  </si>
  <si>
    <t>HD2018-3129</t>
  </si>
  <si>
    <t>青黄土告字[2018]3127号-3</t>
  </si>
  <si>
    <t>HD2018-3136</t>
  </si>
  <si>
    <t>青黄土告字[2018]3127号-10</t>
  </si>
  <si>
    <t>HD2018-3135</t>
  </si>
  <si>
    <t>青黄土告字[2018]3127号-9</t>
  </si>
  <si>
    <t>HD2018-3131</t>
  </si>
  <si>
    <t>青黄土告字[2018]3127号-5</t>
  </si>
  <si>
    <t>黄岛区开城路西、藏南镇曾家官庄村北</t>
  </si>
  <si>
    <t>HD2018-3134</t>
  </si>
  <si>
    <t>青黄土告字[2018]3127号-8</t>
  </si>
  <si>
    <t>HD2018-3130</t>
  </si>
  <si>
    <t>青黄土告字[2018]3127号-4</t>
  </si>
  <si>
    <t>黄岛区开城路北、藏南镇长阡沟安置区西</t>
  </si>
  <si>
    <t>HD2018-3133</t>
  </si>
  <si>
    <t>青黄土告字[2018]3127号-7</t>
  </si>
  <si>
    <t>HD2018-3100</t>
  </si>
  <si>
    <t>≤40</t>
  </si>
  <si>
    <t>2018-09-15</t>
  </si>
  <si>
    <t>2018-10-10</t>
  </si>
  <si>
    <t>青黄土告字[2018]3076号-25</t>
  </si>
  <si>
    <t>HD2018-3077</t>
  </si>
  <si>
    <t>青黄土告字[2018]3076号-2</t>
  </si>
  <si>
    <t>HD2018-3089</t>
  </si>
  <si>
    <t>青黄土告字[2018]3076号-14</t>
  </si>
  <si>
    <t>HD2018-3083</t>
  </si>
  <si>
    <t>青黄土告字[2018]3076号-8</t>
  </si>
  <si>
    <t>黄岛区开城路西、藏南镇长阡沟安置区北</t>
  </si>
  <si>
    <t>HD2018-3092</t>
  </si>
  <si>
    <t>青黄土告字[2018]3076号-17</t>
  </si>
  <si>
    <t>黄岛区开城路西、藏南镇曾家官庄村南</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</si>
  <si>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</si>
  <si>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</si>
  <si>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</si>
  <si>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</si>
  <si>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</si>
  <si>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</si>
  <si>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</si>
  <si>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</si>
  <si>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</si>
  <si>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</si>
  <si>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黄岛区开城路西、藏南镇高戈庄村北</t>
  </si>
  <si>
    <t>HD2018-3095</t>
  </si>
  <si>
    <t>青黄土告字[2018]3076号-20</t>
  </si>
  <si>
    <t>HD2018-3099</t>
  </si>
  <si>
    <t>青黄土告字[2018]3076号-24</t>
  </si>
  <si>
    <t>HD2018-3080</t>
  </si>
  <si>
    <t>青黄土告字[2018]3076号-5</t>
  </si>
  <si>
    <t>黄岛区柏果树河以东、规划珠山路以北</t>
  </si>
  <si>
    <t>HD2018-3070</t>
  </si>
  <si>
    <t>≤2.4</t>
  </si>
  <si>
    <t>≤36</t>
  </si>
  <si>
    <t>限地价,竞自持</t>
  </si>
  <si>
    <t>2018-08-24</t>
  </si>
  <si>
    <t>2018-09-18</t>
  </si>
  <si>
    <t>青黄土告字[2018]3068号-3</t>
  </si>
  <si>
    <t>青岛时空文化集团有限公司</t>
  </si>
  <si>
    <t>黄岛区积米崖十号线南、昆仑山路西</t>
  </si>
  <si>
    <t>HD2018-3069</t>
  </si>
  <si>
    <t>青黄土告字[2018]3068号-2</t>
  </si>
  <si>
    <t>青岛弘健众和实业有限公司</t>
  </si>
  <si>
    <t>黄岛区珠江路北、银海路西</t>
  </si>
  <si>
    <t>HD2018-3067</t>
  </si>
  <si>
    <t>≤1.8</t>
  </si>
  <si>
    <t>≤55</t>
  </si>
  <si>
    <t>2018-08-17</t>
  </si>
  <si>
    <t>2018-09-11</t>
  </si>
  <si>
    <t>青黄土告字[2018]3064号-4</t>
  </si>
  <si>
    <t>青岛青科建联运营管理有限公司</t>
  </si>
  <si>
    <t>5星</t>
  </si>
  <si>
    <t>黄岛区华山路东、华山一路南</t>
  </si>
  <si>
    <t>HD2018-3063</t>
  </si>
  <si>
    <t>2018-08-07</t>
  </si>
  <si>
    <t>2018-08-30</t>
  </si>
  <si>
    <t>青黄土告字[2018]3062号-2</t>
  </si>
  <si>
    <t>青岛西海岸文化产业投资有限公司</t>
  </si>
  <si>
    <t>黄岛区泰薛路北、石山路东</t>
  </si>
  <si>
    <t>HD2018-3062</t>
  </si>
  <si>
    <t>青黄土告字[2018]3062号-1</t>
  </si>
  <si>
    <t>黄岛区碧玉路南、海军路西</t>
  </si>
  <si>
    <t>HD2018-3054</t>
  </si>
  <si>
    <t>≤45</t>
  </si>
  <si>
    <t>2018-07-31</t>
  </si>
  <si>
    <t>2018-08-23</t>
  </si>
  <si>
    <t>青黄土告字[2018]3054号-1</t>
  </si>
  <si>
    <t>青岛西海岸古镇置业有限公司</t>
  </si>
  <si>
    <t>黄岛区滨海大道北、琅琊台南路西</t>
  </si>
  <si>
    <t>HD2018-3057</t>
  </si>
  <si>
    <t>2018-07-27</t>
  </si>
  <si>
    <t>2018-08-21</t>
  </si>
  <si>
    <t>青黄土告字[2018]3057号-1</t>
  </si>
  <si>
    <t>青岛地铁资源开发有限公司,北京润置商业运营管理有限公司,青岛中嘉建设集团有限公司,中城新产业地产(深圳)有限公司</t>
  </si>
  <si>
    <t>黄岛区胶河经济区丰美路西、泰昌路北</t>
  </si>
  <si>
    <t>HD2018-3045</t>
  </si>
  <si>
    <t>2018-07-14</t>
  </si>
  <si>
    <t>2018-08-08</t>
  </si>
  <si>
    <t>青黄土告字[2018]3043号-3</t>
  </si>
  <si>
    <t>青岛黄发胶河文化旅游发展有限公司</t>
  </si>
  <si>
    <t>黄岛区淮河西路南、灵山路西</t>
  </si>
  <si>
    <t>HD2018-3030</t>
  </si>
  <si>
    <t>限房价,含人才住房</t>
  </si>
  <si>
    <t>含人才住房</t>
  </si>
  <si>
    <t>2018-04-29</t>
  </si>
  <si>
    <t>2018-05-23</t>
  </si>
  <si>
    <t>青黄土告字[2018]3026号-5</t>
  </si>
  <si>
    <t>青岛西海岸达智房地产开发有限公司</t>
  </si>
  <si>
    <t>黄岛区开城路(前湾港路)以南、两河路以东</t>
  </si>
  <si>
    <t>HD2018-3025</t>
  </si>
  <si>
    <t>2018-04-27</t>
  </si>
  <si>
    <t>青黄土告字[2018]3025号</t>
  </si>
  <si>
    <t>青岛利泰源中石油工程服务有限公司</t>
  </si>
  <si>
    <t>黄岛区泊里镇中心路西、纬十五路南</t>
  </si>
  <si>
    <t>HD2018-3014</t>
  </si>
  <si>
    <t>零售商业用地(加油加气站)</t>
  </si>
  <si>
    <t>≤0.2</t>
  </si>
  <si>
    <t>≤20</t>
  </si>
  <si>
    <t>2018-02-12</t>
  </si>
  <si>
    <t>2018-03-07</t>
  </si>
  <si>
    <t>青黄土告字[2018]3014号</t>
  </si>
  <si>
    <t>青岛港国际股份有限公司</t>
  </si>
  <si>
    <t>黄岛区珠江路北、萧山路东</t>
  </si>
  <si>
    <t>HD2017-3118</t>
  </si>
  <si>
    <t>≤4</t>
  </si>
  <si>
    <t>2017-12-31</t>
  </si>
  <si>
    <t>2018-01-24</t>
  </si>
  <si>
    <t>2018-02-28</t>
  </si>
  <si>
    <t>青黄土告字[2017]3118号-1</t>
  </si>
  <si>
    <t>中青鸿(青岛)实业有限公司</t>
  </si>
  <si>
    <t>万达广场</t>
    <phoneticPr fontId="3" type="noConversion"/>
  </si>
  <si>
    <t>黄岛区</t>
    <phoneticPr fontId="3" type="noConversion"/>
  </si>
  <si>
    <t>一般</t>
  </si>
  <si>
    <t>较好</t>
  </si>
  <si>
    <t>较规则</t>
  </si>
  <si>
    <t>较适宜</t>
  </si>
  <si>
    <t>六通</t>
  </si>
  <si>
    <t>五通</t>
  </si>
  <si>
    <t>其他省市系数</t>
  </si>
  <si>
    <t>未包含在土地购买价格中</t>
  </si>
  <si>
    <t>已包含在土地取得成本中</t>
  </si>
  <si>
    <r>
      <t>B</t>
    </r>
    <r>
      <rPr>
        <sz val="11"/>
        <color theme="1"/>
        <rFont val="宋体"/>
        <family val="3"/>
        <charset val="134"/>
        <scheme val="minor"/>
      </rPr>
      <t>1</t>
    </r>
    <phoneticPr fontId="143" type="noConversion"/>
  </si>
  <si>
    <t>建筑面积</t>
    <phoneticPr fontId="143" type="noConversion"/>
  </si>
  <si>
    <t>系数</t>
    <phoneticPr fontId="143" type="noConversion"/>
  </si>
  <si>
    <t>收益法</t>
  </si>
  <si>
    <t>押一</t>
  </si>
  <si>
    <t>按租金收入计税</t>
  </si>
  <si>
    <t>钢混</t>
  </si>
  <si>
    <t>非生产用房</t>
  </si>
  <si>
    <t>成本法</t>
  </si>
  <si>
    <t>成本比率</t>
  </si>
  <si>
    <t>抵押</t>
  </si>
  <si>
    <t xml:space="preserve"> </t>
    <phoneticPr fontId="3" type="noConversion"/>
  </si>
  <si>
    <t>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</si>
</sst>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13" fillId="0" borderId="1" xfId="0" applyFont="1" applyBorder="1" applyAlignment="1"/>
    <xf numFmtId="0" fontId="254" fillId="0" borderId="1" xfId="0" applyFont="1" applyBorder="1" applyAlignment="1"/>
    <xf numFmtId="0" fontId="99" fillId="0" borderId="0" xfId="0" applyFont="1" applyAlignment="1">
      <alignment horizontal="left" vertical="center"/>
    </xf>
    <xf numFmtId="0" fontId="0" fillId="0" borderId="0" xfId="0"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8</xdr:col>
      <xdr:colOff>298450</xdr:colOff>
      <xdr:row>13</xdr:row>
      <xdr:rowOff>41608</xdr:rowOff>
    </xdr:to>
    <xdr:pic>
      <xdr:nvPicPr>
        <xdr:cNvPr id="2" name="图片 1"/>
        <xdr:cNvPicPr>
          <a:picLocks noChangeAspect="1"/>
        </xdr:cNvPicPr>
      </xdr:nvPicPr>
      <xdr:blipFill>
        <a:blip xmlns:r="http://schemas.openxmlformats.org/officeDocument/2006/relationships" r:embed="rId1"/>
        <a:stretch>
          <a:fillRect/>
        </a:stretch>
      </xdr:blipFill>
      <xdr:spPr>
        <a:xfrm>
          <a:off x="99060" y="0"/>
          <a:ext cx="5076190"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141514</xdr:rowOff>
    </xdr:from>
    <xdr:to>
      <xdr:col>19</xdr:col>
      <xdr:colOff>71067</xdr:colOff>
      <xdr:row>86</xdr:row>
      <xdr:rowOff>134045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61514"/>
          <a:ext cx="8409524" cy="53265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山东省青岛市黄岛区开发区汉江路3号万达广场全幢、地下房地产抵押价值预评估</v>
      </c>
    </row>
    <row r="3" spans="1:2" s="1593" customFormat="1">
      <c r="A3" s="1591" t="s">
        <v>1217</v>
      </c>
      <c r="B3" s="1592">
        <f>'预评函-封皮'!B40</f>
        <v>0</v>
      </c>
    </row>
    <row r="4" spans="1:2" s="1593" customFormat="1">
      <c r="A4" s="1591" t="s">
        <v>1218</v>
      </c>
      <c r="B4" s="1592" t="str">
        <f ca="1">'预评函-封皮'!B46</f>
        <v>吴薇（注册号：1419970001)、王鹏（注册号：1120050019)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受贵公司委托，我公司对山东省青岛市黄岛区开发区汉江路3号万达广场全幢、地下房地产抵押价值进行了预评估。</v>
      </c>
    </row>
    <row r="7" spans="1:2" s="1593" customFormat="1">
      <c r="A7" s="1591" t="s">
        <v>1260</v>
      </c>
      <c r="B7" s="1592" t="str">
        <f>'预评函-1'!A7</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2019年8月15日（评估专业人员实地查勘之日）</v>
      </c>
    </row>
    <row r="13" spans="1:2" s="1593" customFormat="1">
      <c r="A13" s="1591" t="s">
        <v>1223</v>
      </c>
      <c r="B13" s="1592"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86456</v>
      </c>
    </row>
    <row r="21" spans="1:2" s="1593" customFormat="1">
      <c r="A21" s="1591" t="s">
        <v>1231</v>
      </c>
      <c r="B21" s="1592">
        <f ca="1">'预评函-2'!D7</f>
        <v>11298</v>
      </c>
    </row>
    <row r="22" spans="1:2" s="1593" customFormat="1">
      <c r="A22" s="1591" t="s">
        <v>1232</v>
      </c>
      <c r="B22" s="1592" t="str">
        <f ca="1">'预评函-2'!D6</f>
        <v>捌亿陆仟肆佰伍拾陆万元整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86456</v>
      </c>
    </row>
    <row r="31" spans="1:2" s="1593" customFormat="1">
      <c r="A31" s="1591" t="s">
        <v>1270</v>
      </c>
      <c r="B31" s="1592">
        <f ca="1">'预评函-2'!D15</f>
        <v>11298</v>
      </c>
    </row>
    <row r="32" spans="1:2" s="1593" customFormat="1">
      <c r="A32" s="1591" t="s">
        <v>1237</v>
      </c>
      <c r="B32" s="1592" t="str">
        <f ca="1">'预评函-2'!D14</f>
        <v>捌亿陆仟肆佰伍拾陆万元整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山东省青岛市黄岛区开发区汉江路3号万达广场全幢、地下房地产</v>
      </c>
    </row>
    <row r="42" spans="1:2" s="1593" customFormat="1">
      <c r="A42" s="1591" t="s">
        <v>1284</v>
      </c>
      <c r="B42" s="1592" t="str">
        <f>'预评函-3'!B2</f>
        <v>建筑面积</v>
      </c>
    </row>
    <row r="43" spans="1:2" s="1593" customFormat="1">
      <c r="A43" s="1591" t="s">
        <v>1285</v>
      </c>
      <c r="B43" s="1592">
        <f>'预评函-3'!B4</f>
        <v>76522.880000000005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27579</v>
      </c>
    </row>
    <row r="48" spans="1:2" s="1593" customFormat="1">
      <c r="A48" s="1591" t="s">
        <v>1243</v>
      </c>
      <c r="B48" s="1592">
        <f ca="1">'预评函-3'!E4</f>
        <v>3604</v>
      </c>
    </row>
    <row r="49" spans="1:2" s="1593" customFormat="1">
      <c r="A49" s="1591" t="s">
        <v>1244</v>
      </c>
      <c r="B49" s="1592" t="str">
        <f ca="1">'预评函-3'!D5</f>
        <v>贰亿柒仟伍佰柒拾玖万元整</v>
      </c>
    </row>
    <row r="50" spans="1:2" s="1593" customFormat="1">
      <c r="A50" s="1591" t="s">
        <v>1268</v>
      </c>
      <c r="B50" s="1592" t="str">
        <f>'预评函-3'!F2</f>
        <v>在建建筑物价值</v>
      </c>
    </row>
    <row r="51" spans="1:2" s="1593" customFormat="1">
      <c r="A51" s="1591" t="s">
        <v>1245</v>
      </c>
      <c r="B51" s="1592">
        <f ca="1">'预评函-3'!F4</f>
        <v>58877</v>
      </c>
    </row>
    <row r="52" spans="1:2" s="1593" customFormat="1">
      <c r="A52" s="1591" t="s">
        <v>1246</v>
      </c>
      <c r="B52" s="1592">
        <f ca="1">'预评函-3'!G4</f>
        <v>7694</v>
      </c>
    </row>
    <row r="53" spans="1:2" s="1593" customFormat="1">
      <c r="A53" s="1591" t="s">
        <v>1274</v>
      </c>
      <c r="B53" s="1592" t="str">
        <f ca="1">'预评函-3'!F5</f>
        <v>伍亿捌仟捌佰柒拾柒万元整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K14" sqref="K14"/>
    </sheetView>
  </sheetViews>
  <sheetFormatPr defaultColWidth="10" defaultRowHeight="18" customHeight="1"/>
  <cols>
    <col min="1" max="1" width="14.875" style="2031" customWidth="1"/>
    <col min="2" max="2" width="12"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10" t="str">
        <f>IF(B10="北京市","北京市",C10)&amp;F10&amp;IF(结果表!G1="在建","出让国有建设用地使用权及在建建筑物",IF(结果表!G1="土地","出让国有建设用地使用权",))&amp;B9&amp;"预评估"</f>
        <v>山东省青岛市黄岛区开发区汉江路3号万达广场全幢、地下房地产抵押价值预评估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山东省青岛市黄岛区开发区汉江路3号万达广场全幢、地下房地产抵押价值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山东省青岛市黄岛区开发区汉江路3号万达广场全幢、地下房地产</v>
      </c>
    </row>
    <row r="3" spans="1:19" ht="18" customHeight="1">
      <c r="A3" s="2034" t="s">
        <v>1773</v>
      </c>
      <c r="B3" s="2035">
        <v>43692</v>
      </c>
      <c r="C3" s="2036" t="s">
        <v>1774</v>
      </c>
      <c r="D3" s="2035">
        <f>B3</f>
        <v>43692</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1419970001</v>
      </c>
      <c r="D4" s="2038" t="s">
        <v>3054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吴薇（注册号：1419970001)、王鹏（注册号：1120050019)</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3420</v>
      </c>
      <c r="C8" s="2055"/>
      <c r="D8" s="3013"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14"/>
      <c r="E9" s="2058"/>
      <c r="F9" s="2060"/>
      <c r="G9" s="2061"/>
      <c r="H9" s="2061"/>
      <c r="I9" s="2061"/>
      <c r="J9" s="2041"/>
      <c r="K9" s="2053"/>
      <c r="L9" s="2027"/>
      <c r="M9" s="2027"/>
      <c r="N9" s="2028"/>
      <c r="O9" s="2029"/>
      <c r="P9" s="2028"/>
      <c r="Q9" s="2028"/>
      <c r="R9" s="2028"/>
    </row>
    <row r="10" spans="1:19" ht="18" customHeight="1" thickTop="1">
      <c r="A10" s="2062" t="s">
        <v>1782</v>
      </c>
      <c r="B10" s="2063" t="s">
        <v>3057</v>
      </c>
      <c r="C10" s="2952" t="s">
        <v>3058</v>
      </c>
      <c r="D10" s="2046"/>
      <c r="E10" s="2064" t="s">
        <v>1783</v>
      </c>
      <c r="F10" s="2065" t="s">
        <v>3059</v>
      </c>
      <c r="G10" s="2066"/>
      <c r="H10" s="2067"/>
      <c r="I10" s="2046"/>
      <c r="J10" s="2041"/>
      <c r="K10" s="2053"/>
      <c r="L10" s="2027"/>
      <c r="M10" s="2027"/>
      <c r="N10" s="2028"/>
      <c r="O10" s="2029"/>
      <c r="P10" s="2028"/>
      <c r="Q10" s="2028"/>
      <c r="R10" s="2028"/>
    </row>
    <row r="11" spans="1:19" ht="18" customHeight="1">
      <c r="A11" s="2068" t="s">
        <v>1784</v>
      </c>
      <c r="B11" s="2069" t="s">
        <v>3060</v>
      </c>
      <c r="C11" s="2953" t="s">
        <v>3061</v>
      </c>
      <c r="D11" s="2070"/>
      <c r="E11" s="2041"/>
      <c r="F11" s="2041"/>
      <c r="G11" s="2041"/>
      <c r="H11" s="2041"/>
      <c r="I11" s="2041"/>
      <c r="J11" s="2041"/>
      <c r="K11" s="2053"/>
      <c r="L11" s="2027"/>
      <c r="M11" s="2027"/>
      <c r="N11" s="2028"/>
      <c r="O11" s="2029"/>
      <c r="P11" s="2028"/>
      <c r="Q11" s="2028"/>
      <c r="R11" s="2028"/>
    </row>
    <row r="12" spans="1:19" ht="18" customHeight="1">
      <c r="A12" s="2071" t="s">
        <v>1785</v>
      </c>
      <c r="B12" s="2069" t="s">
        <v>3055</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c r="E13" s="2077">
        <v>56138</v>
      </c>
      <c r="F13" s="2077"/>
      <c r="G13" s="2077"/>
      <c r="H13" s="2077"/>
      <c r="I13" s="1047"/>
      <c r="J13" s="2041"/>
      <c r="K13" s="2053"/>
      <c r="L13" s="2027"/>
      <c r="M13" s="2027"/>
      <c r="N13" s="2028"/>
      <c r="O13" s="2029"/>
      <c r="P13" s="2028"/>
      <c r="Q13" s="2028"/>
      <c r="R13" s="2028"/>
    </row>
    <row r="14" spans="1:19" ht="18" customHeight="1">
      <c r="A14" s="2074"/>
      <c r="B14" s="2075"/>
      <c r="C14" s="2076" t="s">
        <v>1794</v>
      </c>
      <c r="D14" s="1050"/>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t="str">
        <f>IF(B12="出让",IF(D13="","",ROUNDDOWN(MIN((D13-$D$3)/365,D14),2)),D14)</f>
        <v/>
      </c>
      <c r="E15" s="1049">
        <f>IF(B12="出让",IF(E13="","",ROUNDDOWN(MIN((E13-$D$3)/365,E14),2)),E14)</f>
        <v>34.090000000000003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020"/>
      <c r="C16" s="3021"/>
      <c r="D16" s="3022"/>
      <c r="E16" s="2083" t="s">
        <v>1797</v>
      </c>
      <c r="F16" s="3023"/>
      <c r="G16" s="3024"/>
      <c r="H16" s="3024"/>
      <c r="I16" s="3025"/>
      <c r="J16" s="2028"/>
      <c r="K16" s="2080"/>
      <c r="L16" s="2081"/>
      <c r="M16" s="2081"/>
      <c r="N16" s="2082"/>
      <c r="O16" s="2081"/>
      <c r="P16" s="2082"/>
      <c r="Q16" s="2028"/>
      <c r="R16" s="2028"/>
    </row>
    <row r="17" spans="1:22" ht="18" customHeight="1">
      <c r="A17" s="2084" t="s">
        <v>1798</v>
      </c>
      <c r="B17" s="2034" t="s">
        <v>1799</v>
      </c>
      <c r="C17" s="1054">
        <f>'数据-汇总表'!E3</f>
        <v>76522.880000000005</v>
      </c>
      <c r="D17" s="2085" t="s">
        <v>1800</v>
      </c>
      <c r="E17" s="3026" t="s">
        <v>1801</v>
      </c>
      <c r="F17" s="3027"/>
      <c r="G17" s="3027"/>
      <c r="H17" s="3027"/>
      <c r="I17" s="3028"/>
      <c r="J17" s="2028"/>
      <c r="K17" s="2086"/>
      <c r="L17" s="2081"/>
      <c r="M17" s="2081"/>
      <c r="N17" s="2082"/>
      <c r="O17" s="2081"/>
      <c r="P17" s="2082"/>
      <c r="Q17" s="2028"/>
      <c r="R17" s="2028"/>
      <c r="S17" s="2028"/>
      <c r="T17" s="2028"/>
      <c r="U17" s="2028"/>
      <c r="V17" s="2028"/>
    </row>
    <row r="18" spans="1:22" ht="36" customHeight="1" thickBot="1">
      <c r="A18" s="2087" t="s">
        <v>1802</v>
      </c>
      <c r="B18" s="2037" t="s">
        <v>1803</v>
      </c>
      <c r="C18" s="1444">
        <f>'数据-汇总表'!D3</f>
        <v>0</v>
      </c>
      <c r="D18" s="2088" t="s">
        <v>1800</v>
      </c>
      <c r="E18" s="3029" t="s">
        <v>1804</v>
      </c>
      <c r="F18" s="3030"/>
      <c r="G18" s="3030"/>
      <c r="H18" s="3030"/>
      <c r="I18" s="3031"/>
      <c r="J18" s="2028"/>
      <c r="K18" s="2086"/>
      <c r="L18" s="2081"/>
      <c r="M18" s="2081"/>
      <c r="N18" s="2082"/>
      <c r="O18" s="2081"/>
      <c r="P18" s="2082"/>
      <c r="Q18" s="2028"/>
      <c r="R18" s="2028"/>
      <c r="S18" s="2028"/>
      <c r="T18" s="2028"/>
      <c r="U18" s="2028"/>
      <c r="V18" s="2028"/>
    </row>
    <row r="19" spans="1:22" ht="37.5" customHeight="1" thickTop="1" thickBot="1">
      <c r="A19" s="373" t="s">
        <v>1805</v>
      </c>
      <c r="B19" s="352" t="s">
        <v>1806</v>
      </c>
      <c r="C19" s="2089"/>
      <c r="D19" s="2090" t="s">
        <v>1807</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1808</v>
      </c>
      <c r="B20" s="3016" t="s">
        <v>1809</v>
      </c>
      <c r="C20" s="3017"/>
      <c r="D20" s="3018" t="s">
        <v>1810</v>
      </c>
      <c r="E20" s="3019"/>
      <c r="F20" s="2095" t="s">
        <v>1811</v>
      </c>
      <c r="G20" s="2041"/>
      <c r="H20" s="2041"/>
      <c r="I20" s="2041"/>
      <c r="J20" s="2041"/>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1813</v>
      </c>
      <c r="C21" s="2097" t="s">
        <v>1814</v>
      </c>
      <c r="D21" s="2098" t="s">
        <v>1815</v>
      </c>
      <c r="E21" s="2099" t="s">
        <v>1814</v>
      </c>
      <c r="F21" s="2100"/>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1816</v>
      </c>
      <c r="C22" s="2097" t="s">
        <v>1817</v>
      </c>
      <c r="D22" s="2025"/>
      <c r="E22" s="2025"/>
      <c r="F22" s="2102"/>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1818</v>
      </c>
      <c r="B23" s="183" t="s">
        <v>1819</v>
      </c>
      <c r="C23" s="2104"/>
      <c r="D23" s="2105" t="s">
        <v>1819</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1820</v>
      </c>
      <c r="C24" s="2109"/>
      <c r="D24" s="2103" t="s">
        <v>1820</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1821</v>
      </c>
      <c r="C25" s="2109"/>
      <c r="D25" s="2103" t="s">
        <v>1821</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1822</v>
      </c>
      <c r="C26" s="2113"/>
      <c r="D26" s="2114" t="s">
        <v>1823</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3" t="s">
        <v>1824</v>
      </c>
      <c r="B27" s="2062" t="s">
        <v>1825</v>
      </c>
      <c r="C27" s="2117" t="s">
        <v>3062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3"/>
      <c r="B28" s="2034" t="s">
        <v>1826</v>
      </c>
      <c r="C28" s="2119" t="s">
        <v>3063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3"/>
      <c r="B29" s="2034" t="s">
        <v>1827</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4"/>
      <c r="B30" s="2034" t="s">
        <v>1828</v>
      </c>
      <c r="C30" s="3035"/>
      <c r="D30" s="303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7" t="s">
        <v>1829</v>
      </c>
      <c r="B31" s="2124" t="s">
        <v>3064</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8"/>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8"/>
      <c r="B33" s="2128"/>
      <c r="C33" s="2068"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1" t="s">
        <v>3065</v>
      </c>
      <c r="C34" s="2131" t="s">
        <v>3066</v>
      </c>
      <c r="D34" s="2131" t="s">
        <v>3067</v>
      </c>
      <c r="E34" s="2131" t="s">
        <v>3068</v>
      </c>
      <c r="F34" s="2131" t="s">
        <v>3069</v>
      </c>
      <c r="G34" s="2131"/>
      <c r="H34" s="2131"/>
      <c r="I34" s="2041"/>
      <c r="J34" s="2041"/>
      <c r="K34" s="1795">
        <f>COUNTIF(B34:H34,"——")</f>
        <v>0</v>
      </c>
      <c r="L34" s="2072" t="s">
        <v>1831</v>
      </c>
      <c r="M34" s="2072" t="s">
        <v>1832</v>
      </c>
      <c r="N34" s="2072" t="s">
        <v>1833</v>
      </c>
      <c r="O34" s="2072" t="s">
        <v>1834</v>
      </c>
      <c r="P34" s="2072" t="s">
        <v>1835</v>
      </c>
      <c r="Q34" s="2072" t="s">
        <v>1836</v>
      </c>
      <c r="R34" s="2072" t="s">
        <v>1837</v>
      </c>
      <c r="S34" s="3032" t="s">
        <v>1838</v>
      </c>
      <c r="T34" s="2132" t="str">
        <f>NUMBERSTRING(7-K34,1)&amp;"通"</f>
        <v>七通</v>
      </c>
      <c r="U34" s="2028"/>
      <c r="V34" s="2028"/>
    </row>
    <row r="35" spans="1:22" ht="18" customHeight="1">
      <c r="A35" s="2133"/>
      <c r="B35" s="3039" t="s">
        <v>1839</v>
      </c>
      <c r="C35" s="3039"/>
      <c r="D35" s="3039"/>
      <c r="E35" s="3039"/>
      <c r="F35" s="2134" t="str">
        <f>C10</f>
        <v>山东省</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8"/>
      <c r="V35" s="2028"/>
    </row>
    <row r="36" spans="1:22" ht="18" customHeight="1">
      <c r="A36" s="2135"/>
      <c r="B36" s="2134" t="s">
        <v>1840</v>
      </c>
      <c r="C36" s="2134" t="s">
        <v>1841</v>
      </c>
      <c r="D36" s="2134" t="s">
        <v>1842</v>
      </c>
      <c r="E36" s="2134" t="s">
        <v>1843</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1844</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1845</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1847</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76522.880000000005</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3"/>
      <c r="C5" s="1803"/>
      <c r="D5" s="1806"/>
      <c r="E5" s="16" t="s">
        <v>1</v>
      </c>
      <c r="F5" s="16">
        <f>SUM(F13:F587)</f>
        <v>0</v>
      </c>
      <c r="G5" s="16">
        <f>SUM(G13:G587)</f>
        <v>76522.880000000005</v>
      </c>
      <c r="H5" s="16">
        <f t="shared" ref="H5:AT5" si="0">SUM(H13:H656)</f>
        <v>57392.160000000003</v>
      </c>
      <c r="I5" s="16">
        <f t="shared" si="0"/>
        <v>57392.160000000003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19130.72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19130.72</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76522.880000000005</v>
      </c>
      <c r="BA5" s="18">
        <f t="shared" si="1"/>
        <v>57392.160000000003</v>
      </c>
      <c r="BB5" s="18">
        <f t="shared" si="1"/>
        <v>57392.160000000003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19130.72</v>
      </c>
      <c r="BM5" s="18">
        <f t="shared" si="1"/>
        <v>0</v>
      </c>
      <c r="BN5" s="18">
        <f t="shared" si="1"/>
        <v>0</v>
      </c>
      <c r="BO5" s="18">
        <f t="shared" si="1"/>
        <v>0</v>
      </c>
      <c r="BP5" s="18">
        <f t="shared" si="1"/>
        <v>0</v>
      </c>
      <c r="BQ5" s="18">
        <f t="shared" si="1"/>
        <v>0</v>
      </c>
      <c r="BR5" s="18">
        <f t="shared" si="1"/>
        <v>19130.72</v>
      </c>
      <c r="BS5" s="18">
        <f t="shared" si="1"/>
        <v>0</v>
      </c>
      <c r="BT5" s="19">
        <f t="shared" si="1"/>
        <v>0</v>
      </c>
    </row>
    <row r="6" spans="1:72" s="2175" customFormat="1" ht="12.75">
      <c r="A6" s="15" t="s">
        <v>1876</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1" t="s">
        <v>1890</v>
      </c>
      <c r="AD8" s="2186"/>
      <c r="AE8" s="2178"/>
      <c r="AF8" s="1818"/>
      <c r="AG8" s="1818"/>
      <c r="AH8" s="1818"/>
      <c r="AI8" s="1818"/>
      <c r="AJ8" s="1818"/>
      <c r="AK8" s="1818"/>
      <c r="AL8" s="1818"/>
      <c r="AM8" s="1818"/>
      <c r="AN8" s="1818"/>
      <c r="AO8" s="1818"/>
      <c r="AP8" s="1818"/>
      <c r="AQ8" s="1818"/>
      <c r="AR8" s="1818"/>
      <c r="AS8" s="1818"/>
      <c r="AT8" s="1292" t="s">
        <v>1891</v>
      </c>
      <c r="AU8" s="2180" t="s">
        <v>1892</v>
      </c>
      <c r="AV8" s="1292"/>
      <c r="AW8" s="2163"/>
      <c r="AX8" s="1292"/>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1895</v>
      </c>
      <c r="I9" s="2189" t="s">
        <v>3071</v>
      </c>
      <c r="J9" s="981"/>
      <c r="K9" s="2189" t="s">
        <v>3073</v>
      </c>
      <c r="L9" s="981"/>
      <c r="M9" s="2189"/>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8"/>
      <c r="BN9" s="2183"/>
      <c r="BO9" s="1818"/>
      <c r="BP9" s="1818"/>
      <c r="BQ9" s="1818"/>
      <c r="BR9" s="1818"/>
      <c r="BS9" s="1818"/>
      <c r="BT9" s="26"/>
    </row>
    <row r="10" spans="1:72" s="2187" customFormat="1" ht="12.75">
      <c r="A10" s="2180"/>
      <c r="B10" s="2180"/>
      <c r="C10" s="2180"/>
      <c r="D10" s="2180"/>
      <c r="E10" s="2180"/>
      <c r="F10" s="2180"/>
      <c r="G10" s="1292"/>
      <c r="H10" s="28"/>
      <c r="I10" s="2189" t="s">
        <v>1373</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3072</v>
      </c>
      <c r="J11" s="2201"/>
      <c r="K11" s="2200" t="s">
        <v>3072</v>
      </c>
      <c r="L11" s="2201"/>
      <c r="M11" s="2200"/>
      <c r="N11" s="2201"/>
      <c r="O11" s="2200"/>
      <c r="P11" s="2201"/>
      <c r="Q11" s="2200"/>
      <c r="R11" s="2201"/>
      <c r="S11" s="2200"/>
      <c r="T11" s="2201"/>
      <c r="U11" s="2200"/>
      <c r="V11" s="2201"/>
      <c r="W11" s="2200"/>
      <c r="X11" s="2201"/>
      <c r="Y11" s="2200"/>
      <c r="Z11" s="2201"/>
      <c r="AA11" s="2200"/>
      <c r="AB11" s="2201"/>
      <c r="AC11" s="1292"/>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v>76522.880000000005</v>
      </c>
      <c r="C13" s="1272"/>
      <c r="D13" s="2211" t="s">
        <v>3070</v>
      </c>
      <c r="E13" s="16">
        <f>IF($C$3="是",ROUND($A$3*G13/$B$3,2),ROUND($A$3*(G13-AT13)/$B$3,2))</f>
        <v>0</v>
      </c>
      <c r="F13" s="32"/>
      <c r="G13" s="33">
        <f>H13+AC13+AT13</f>
        <v>76522.880000000005</v>
      </c>
      <c r="H13" s="20">
        <f>SUMIF(I$12:AB$12,"总值",I13:AB13)</f>
        <v>57392.160000000003</v>
      </c>
      <c r="I13" s="2212">
        <f>B13-AN13</f>
        <v>57392.160000000003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19130.72</v>
      </c>
      <c r="AD13" s="2213"/>
      <c r="AE13" s="2213"/>
      <c r="AF13" s="2213"/>
      <c r="AG13" s="2213"/>
      <c r="AH13" s="2213"/>
      <c r="AI13" s="2213"/>
      <c r="AJ13" s="2213"/>
      <c r="AK13" s="2213"/>
      <c r="AL13" s="2213"/>
      <c r="AM13" s="2213"/>
      <c r="AN13" s="2213">
        <f>ROUNDDOWN(B13/4,2)</f>
        <v>19130.72</v>
      </c>
      <c r="AO13" s="2213"/>
      <c r="AP13" s="2213"/>
      <c r="AQ13" s="2213"/>
      <c r="AR13" s="2213"/>
      <c r="AS13" s="2213"/>
      <c r="AT13" s="2214"/>
      <c r="AU13" s="2215"/>
      <c r="AV13" s="11">
        <f t="shared" ref="AV13:AX17" si="6">A13</f>
        <v>0</v>
      </c>
      <c r="AW13" s="11">
        <f t="shared" si="6"/>
        <v>76522.880000000005</v>
      </c>
      <c r="AX13" s="11">
        <f t="shared" si="6"/>
        <v>0</v>
      </c>
      <c r="AY13" s="1806">
        <f>ROUND($AY$6*AZ13/$AZ$5,2)</f>
        <v>0</v>
      </c>
      <c r="AZ13" s="16">
        <f>BA13+BL13</f>
        <v>76522.880000000005</v>
      </c>
      <c r="BA13" s="16">
        <f>SUM(BB13:BK13)</f>
        <v>57392.160000000003</v>
      </c>
      <c r="BB13" s="16">
        <f>IF($D13="是",I13-J13,0)</f>
        <v>57392.160000000003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19130.72</v>
      </c>
      <c r="BM13" s="16">
        <f>IF($D13="是",AD13-AE13,0)</f>
        <v>0</v>
      </c>
      <c r="BN13" s="16">
        <f>IF($D13="是",AF13-AG13,0)</f>
        <v>0</v>
      </c>
      <c r="BO13" s="16">
        <f>IF($D13="是",AH13-AI13,0)</f>
        <v>0</v>
      </c>
      <c r="BP13" s="16">
        <f>IF($D13="是",AJ13-AK13,0)</f>
        <v>0</v>
      </c>
      <c r="BQ13" s="16">
        <f>IF($D13="是",AL13-AM13,0)</f>
        <v>0</v>
      </c>
      <c r="BR13" s="16">
        <f>IF($D13="是",AN13-AO13,0)</f>
        <v>19130.72</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9" sqref="I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2"/>
      <c r="C1" s="1392"/>
      <c r="D1" s="1392"/>
      <c r="E1" s="1392"/>
      <c r="F1" s="1392"/>
      <c r="G1" s="1392"/>
      <c r="H1" s="1392"/>
      <c r="I1" s="1392"/>
      <c r="J1" s="1392"/>
      <c r="K1" s="1392"/>
      <c r="L1" s="1392"/>
      <c r="M1" s="1392"/>
      <c r="N1" s="1392"/>
      <c r="O1" s="1392"/>
      <c r="P1" s="1392"/>
    </row>
    <row r="2" spans="1:16" ht="15">
      <c r="A2" s="3051" t="s">
        <v>1935</v>
      </c>
      <c r="B2" s="3051"/>
      <c r="C2" s="3051"/>
      <c r="D2" s="967" t="s">
        <v>1911</v>
      </c>
      <c r="E2" s="2225" t="s">
        <v>1912</v>
      </c>
      <c r="F2" s="1392"/>
      <c r="G2" s="2226"/>
      <c r="H2" s="2227"/>
      <c r="I2" s="2228" t="s">
        <v>1936</v>
      </c>
      <c r="J2" s="1392"/>
      <c r="K2" s="1392"/>
      <c r="L2" s="1392"/>
      <c r="M2" s="1392"/>
      <c r="N2" s="1427"/>
      <c r="O2" s="1392"/>
      <c r="P2" s="1392"/>
    </row>
    <row r="3" spans="1:16" ht="15.75" thickBot="1">
      <c r="A3" s="3052" t="s">
        <v>1909</v>
      </c>
      <c r="B3" s="3052"/>
      <c r="C3" s="3052"/>
      <c r="D3" s="46">
        <f>'数据-基础表'!AY6</f>
        <v>0</v>
      </c>
      <c r="E3" s="46">
        <f>'数据-基础表'!AZ5</f>
        <v>76522.880000000005</v>
      </c>
      <c r="F3" s="1392"/>
      <c r="G3" s="1399"/>
      <c r="H3" s="1247" t="s">
        <v>1910</v>
      </c>
      <c r="I3" s="55" t="e">
        <f>ROUND('数据-基础表'!B3/'数据-基础表'!A3,2)</f>
        <v>#DIV/0!</v>
      </c>
      <c r="J3" s="1392"/>
      <c r="K3" s="1392"/>
      <c r="L3" s="1392"/>
      <c r="M3" s="1392"/>
      <c r="N3" s="1427"/>
      <c r="O3" s="1392"/>
      <c r="P3" s="1392"/>
    </row>
    <row r="4" spans="1:16" ht="15">
      <c r="A4" s="3053"/>
      <c r="B4" s="3054"/>
      <c r="C4" s="3055"/>
      <c r="D4" s="2229" t="s">
        <v>1911</v>
      </c>
      <c r="E4" s="2230" t="s">
        <v>1912</v>
      </c>
      <c r="F4" s="1392"/>
      <c r="G4" s="2231" t="s">
        <v>1937</v>
      </c>
      <c r="H4" s="1247" t="s">
        <v>1917</v>
      </c>
      <c r="I4" s="55" t="e">
        <f>ROUND(SUMIF('数据-基础表'!I9:AS9,"地上",'数据-基础表'!I5:AS5)/'数据-基础表'!A3,2)</f>
        <v>#DIV/0!</v>
      </c>
      <c r="J4" s="1392"/>
      <c r="K4" s="1392"/>
      <c r="L4" s="1392"/>
      <c r="M4" s="1392"/>
      <c r="N4" s="1427"/>
      <c r="O4" s="1392"/>
      <c r="P4" s="1392"/>
    </row>
    <row r="5" spans="1:16">
      <c r="A5" s="47" t="s">
        <v>1913</v>
      </c>
      <c r="B5" s="3056" t="s">
        <v>1914</v>
      </c>
      <c r="C5" s="3056"/>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2"/>
      <c r="B6" s="3056" t="s">
        <v>1915</v>
      </c>
      <c r="C6" s="3056"/>
      <c r="D6" s="48">
        <f>ROUND($D$3*E6/$E$3,2)</f>
        <v>0</v>
      </c>
      <c r="E6" s="49">
        <f>E3-E5</f>
        <v>76522.880000000005</v>
      </c>
      <c r="F6" s="1392"/>
      <c r="G6" s="2233" t="s">
        <v>1916</v>
      </c>
      <c r="H6" s="1399" t="s">
        <v>1917</v>
      </c>
      <c r="I6" s="939" t="e">
        <f>ROUND(F31/D31,2)</f>
        <v>#DIV/0!</v>
      </c>
      <c r="J6" s="1392"/>
      <c r="K6" s="1392"/>
      <c r="L6" s="1392"/>
      <c r="M6" s="1392"/>
      <c r="N6" s="1392"/>
      <c r="O6" s="1392"/>
      <c r="P6" s="1392"/>
    </row>
    <row r="7" spans="1:16" ht="15">
      <c r="A7" s="3048"/>
      <c r="B7" s="3049"/>
      <c r="C7" s="3050"/>
      <c r="D7" s="2229" t="s">
        <v>1911</v>
      </c>
      <c r="E7" s="2234" t="s">
        <v>1918</v>
      </c>
      <c r="F7" s="1392"/>
      <c r="G7" s="2226"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57392.160000000003</v>
      </c>
      <c r="F8" s="1392"/>
      <c r="G8" s="2235"/>
      <c r="H8" s="2235"/>
      <c r="I8" s="1392"/>
      <c r="J8" s="1392"/>
      <c r="K8" s="1392"/>
      <c r="L8" s="1392"/>
      <c r="M8" s="1392"/>
      <c r="N8" s="1392"/>
      <c r="O8" s="1392"/>
      <c r="P8" s="1392"/>
    </row>
    <row r="9" spans="1:16">
      <c r="A9" s="2236"/>
      <c r="B9" s="2237"/>
      <c r="C9" s="48" t="s">
        <v>1923</v>
      </c>
      <c r="D9" s="48">
        <f t="shared" si="0"/>
        <v>0</v>
      </c>
      <c r="E9" s="52">
        <v>0</v>
      </c>
      <c r="F9" s="1392"/>
      <c r="G9" s="2235"/>
      <c r="H9" s="2235"/>
      <c r="I9" s="1392"/>
      <c r="J9" s="1392"/>
      <c r="K9" s="1392"/>
      <c r="L9" s="1392"/>
      <c r="M9" s="1392"/>
      <c r="N9" s="1392"/>
      <c r="O9" s="1392"/>
      <c r="P9" s="1392"/>
    </row>
    <row r="10" spans="1:16">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1926</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1927</v>
      </c>
      <c r="D16" s="50">
        <f>SUM(D8:D15)</f>
        <v>0</v>
      </c>
      <c r="E16" s="53">
        <f>SUM(E8:E15)</f>
        <v>57392.160000000003</v>
      </c>
      <c r="F16" s="1392"/>
      <c r="G16" s="2235"/>
      <c r="H16" s="2238" t="s">
        <v>1939</v>
      </c>
      <c r="I16" s="2239"/>
      <c r="J16" s="1392"/>
      <c r="K16" s="3045" t="s">
        <v>1939</v>
      </c>
      <c r="L16" s="3046"/>
      <c r="M16" s="3046"/>
      <c r="N16" s="3046"/>
      <c r="O16" s="3046"/>
      <c r="P16" s="3047"/>
    </row>
    <row r="17" spans="1:19" ht="15">
      <c r="A17" s="2240" t="s">
        <v>1940</v>
      </c>
      <c r="B17" s="2241" t="s">
        <v>1941</v>
      </c>
      <c r="C17" s="2242" t="s">
        <v>1942</v>
      </c>
      <c r="D17" s="2243" t="s">
        <v>1930</v>
      </c>
      <c r="E17" s="2244" t="s">
        <v>1931</v>
      </c>
      <c r="F17" s="2245"/>
      <c r="G17" s="2246"/>
      <c r="H17" s="2247" t="s">
        <v>1943</v>
      </c>
      <c r="I17" s="2248" t="s">
        <v>1928</v>
      </c>
      <c r="J17" s="1392"/>
      <c r="K17" s="3042" t="s">
        <v>1944</v>
      </c>
      <c r="L17" s="3043"/>
      <c r="M17" s="3044"/>
      <c r="N17" s="3042" t="s">
        <v>1945</v>
      </c>
      <c r="O17" s="3043"/>
      <c r="P17" s="3044"/>
      <c r="R17" s="2226" t="s">
        <v>1946</v>
      </c>
      <c r="S17" s="64"/>
    </row>
    <row r="18" spans="1:19" ht="15">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c r="A19" s="2257"/>
      <c r="B19" s="50" t="s">
        <v>1929</v>
      </c>
      <c r="C19" s="2954" t="s">
        <v>3074</v>
      </c>
      <c r="D19" s="48">
        <f>ROUND($D$3*E19/$E$3,2)</f>
        <v>0</v>
      </c>
      <c r="E19" s="56">
        <f t="shared" ref="E19:E26" si="1">SUM(F19:G19)</f>
        <v>57392.160000000003</v>
      </c>
      <c r="F19" s="57">
        <f>'数据-基础表'!I13</f>
        <v>57392.160000000003</v>
      </c>
      <c r="G19" s="58">
        <f>'数据-基础表'!K13</f>
        <v>0</v>
      </c>
      <c r="H19" s="723">
        <f>ROUND($D$3*I19/$E$3,2)</f>
        <v>0</v>
      </c>
      <c r="I19" s="51">
        <f t="shared" ref="I19:I26" si="2">IF($I$17="自定义",P19,M19)</f>
        <v>19130.72</v>
      </c>
      <c r="J19" s="1392"/>
      <c r="K19" s="1391">
        <f t="shared" ref="K19:K26" si="3">ROUND(E$28*E19/E$27,2)</f>
        <v>19130.72</v>
      </c>
      <c r="L19" s="1247">
        <f t="shared" ref="L19:L26" si="4">ROUND(IF(COUNTIF(C19,"*住宅*")&gt;0,E$29*E19/E$32,0),2)</f>
        <v>0</v>
      </c>
      <c r="M19" s="1403">
        <f>K19+L19</f>
        <v>19130.72</v>
      </c>
      <c r="N19" s="2259"/>
      <c r="O19" s="2260"/>
      <c r="P19" s="1403">
        <f>N19+O19</f>
        <v>0</v>
      </c>
      <c r="R19" s="1247">
        <f t="shared" ref="R19:S26" si="5">D19+H19</f>
        <v>0</v>
      </c>
      <c r="S19" s="1248">
        <f t="shared" si="5"/>
        <v>76522.880000000005</v>
      </c>
    </row>
    <row r="20" spans="1:19">
      <c r="A20" s="2261"/>
      <c r="B20" s="50" t="s">
        <v>1957</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1957</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1958</v>
      </c>
      <c r="D27" s="1393">
        <f>SUM(D19:D26)</f>
        <v>0</v>
      </c>
      <c r="E27" s="1394">
        <f>IF(SUM(E19:E26)='数据-基础表'!BA5,SUM(E19:E26),IF(F27="地上面积有误","面积有误","地下面积有误"))</f>
        <v>57392.160000000003</v>
      </c>
      <c r="F27" s="1393">
        <f>IF(SUM(F19:F26)=E8,SUM(F19:F26),"地上面积有误")</f>
        <v>57392.160000000003</v>
      </c>
      <c r="G27" s="1395">
        <f>SUM(G19:G26)</f>
        <v>0</v>
      </c>
      <c r="H27" s="1396">
        <f>SUM(H19:H26)</f>
        <v>0</v>
      </c>
      <c r="I27" s="1397">
        <f>SUM(I19:I26)</f>
        <v>19130.72</v>
      </c>
      <c r="J27" s="1392"/>
      <c r="K27" s="1400">
        <f>SUM(K19:K26)</f>
        <v>19130.72</v>
      </c>
      <c r="L27" s="1401">
        <f>SUM(L19:L26)</f>
        <v>0</v>
      </c>
      <c r="M27" s="1404">
        <f>SUM(M19:M26)</f>
        <v>19130.72</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76522.880000000005</v>
      </c>
    </row>
    <row r="28" spans="1:19">
      <c r="A28" s="2261"/>
      <c r="B28" s="50" t="s">
        <v>1959</v>
      </c>
      <c r="C28" s="1259" t="s">
        <v>1960</v>
      </c>
      <c r="D28" s="48">
        <f>ROUND($D$3*E28/$E$3,2)</f>
        <v>0</v>
      </c>
      <c r="E28" s="56">
        <f>SUM(F28:G28)</f>
        <v>19130.72</v>
      </c>
      <c r="F28" s="64">
        <f>'数据-基础表'!BQ5+'数据-基础表'!BS5</f>
        <v>0</v>
      </c>
      <c r="G28" s="65">
        <f>'数据-基础表'!BR5+'数据-基础表'!BT5</f>
        <v>19130.72</v>
      </c>
      <c r="H28" s="1392"/>
      <c r="I28" s="1392"/>
      <c r="J28" s="1392"/>
      <c r="K28" s="1392"/>
      <c r="L28" s="1392"/>
      <c r="M28" s="1392"/>
      <c r="N28" s="1392"/>
      <c r="O28" s="1392"/>
      <c r="P28" s="1392"/>
    </row>
    <row r="29" spans="1:19">
      <c r="A29" s="2261"/>
      <c r="B29" s="50" t="s">
        <v>1959</v>
      </c>
      <c r="C29" s="2265"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1958</v>
      </c>
      <c r="D30" s="1393">
        <f>SUM(D28:D29)</f>
        <v>0</v>
      </c>
      <c r="E30" s="1393">
        <f>SUM(E28:E29)</f>
        <v>19130.72</v>
      </c>
      <c r="F30" s="1393">
        <f>SUM(F28:F29)</f>
        <v>0</v>
      </c>
      <c r="G30" s="1395">
        <f>SUM(G28:G29)</f>
        <v>19130.72</v>
      </c>
      <c r="H30" s="1392"/>
      <c r="I30" s="1392"/>
      <c r="J30" s="1392"/>
      <c r="K30" s="1392"/>
      <c r="L30" s="1392"/>
      <c r="M30" s="1392"/>
      <c r="N30" s="1392"/>
      <c r="O30" s="1392"/>
      <c r="P30" s="1392"/>
    </row>
    <row r="31" spans="1:19" ht="15.75" thickBot="1">
      <c r="A31" s="2267"/>
      <c r="B31" s="2268"/>
      <c r="C31" s="1007" t="s">
        <v>1962</v>
      </c>
      <c r="D31" s="729">
        <f>D27+D30</f>
        <v>0</v>
      </c>
      <c r="E31" s="729">
        <f>E27+E30</f>
        <v>76522.880000000005</v>
      </c>
      <c r="F31" s="730">
        <f>F27+F30</f>
        <v>57392.160000000003</v>
      </c>
      <c r="G31" s="731">
        <f>G27+G30</f>
        <v>19130.72</v>
      </c>
      <c r="H31" s="1392"/>
      <c r="I31" s="1392"/>
      <c r="J31" s="1392"/>
      <c r="K31" s="1392"/>
      <c r="L31" s="1392"/>
      <c r="M31" s="1392"/>
      <c r="N31" s="1392"/>
      <c r="O31" s="1392"/>
      <c r="P31" s="1392"/>
    </row>
    <row r="32" spans="1:19">
      <c r="A32" s="2231"/>
      <c r="B32" s="2231" t="s">
        <v>1963</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3:O28"/>
  <sheetViews>
    <sheetView topLeftCell="I1" workbookViewId="0">
      <selection activeCell="O23" sqref="O23"/>
    </sheetView>
  </sheetViews>
  <sheetFormatPr defaultRowHeight="13.5"/>
  <sheetData>
    <row r="3" spans="11:15">
      <c r="L3" s="2955" t="s">
        <v>3076</v>
      </c>
    </row>
    <row r="5" spans="11:15">
      <c r="K5" s="2955" t="s">
        <v>3080</v>
      </c>
      <c r="L5" s="2955" t="s">
        <v>3077</v>
      </c>
      <c r="M5" s="2955" t="s">
        <v>3078</v>
      </c>
      <c r="N5" s="2955" t="s">
        <v>3079</v>
      </c>
    </row>
    <row r="6" spans="11:15">
      <c r="K6" s="2955" t="s">
        <v>3081</v>
      </c>
      <c r="L6">
        <v>1</v>
      </c>
      <c r="M6">
        <v>260</v>
      </c>
      <c r="N6">
        <v>2.1</v>
      </c>
    </row>
    <row r="7" spans="11:15">
      <c r="L7">
        <v>1</v>
      </c>
      <c r="M7">
        <v>2893.53</v>
      </c>
      <c r="N7">
        <f>50/30</f>
        <v>1.6666666666666667</v>
      </c>
      <c r="O7">
        <v>2018.4</v>
      </c>
    </row>
    <row r="8" spans="11:15">
      <c r="L8">
        <v>1</v>
      </c>
      <c r="M8">
        <v>3172.78</v>
      </c>
      <c r="N8">
        <f>17/30</f>
        <v>0.56666666666666665</v>
      </c>
    </row>
    <row r="9" spans="11:15">
      <c r="L9">
        <v>1</v>
      </c>
      <c r="M9">
        <v>945.33</v>
      </c>
      <c r="N9" s="2955">
        <f>85/30</f>
        <v>2.8333333333333335</v>
      </c>
    </row>
    <row r="10" spans="11:15">
      <c r="L10">
        <v>1</v>
      </c>
      <c r="M10">
        <v>1137.95</v>
      </c>
      <c r="N10">
        <f>60/30</f>
        <v>2</v>
      </c>
    </row>
    <row r="11" spans="11:15">
      <c r="L11">
        <v>1</v>
      </c>
      <c r="M11">
        <v>837.5</v>
      </c>
      <c r="N11">
        <f>60/30</f>
        <v>2</v>
      </c>
    </row>
    <row r="12" spans="11:15">
      <c r="L12">
        <v>2</v>
      </c>
      <c r="M12">
        <v>2495.4299999999998</v>
      </c>
      <c r="N12">
        <f>60/30</f>
        <v>2</v>
      </c>
    </row>
    <row r="13" spans="11:15">
      <c r="L13">
        <v>2</v>
      </c>
      <c r="M13">
        <v>1539.89</v>
      </c>
      <c r="N13">
        <f>40/30</f>
        <v>1.3333333333333333</v>
      </c>
    </row>
    <row r="14" spans="11:15">
      <c r="L14">
        <v>2</v>
      </c>
      <c r="M14">
        <v>857.33</v>
      </c>
      <c r="N14">
        <f>60/30</f>
        <v>2</v>
      </c>
    </row>
    <row r="15" spans="11:15">
      <c r="L15">
        <v>3</v>
      </c>
      <c r="N15">
        <f>45/30</f>
        <v>1.5</v>
      </c>
    </row>
    <row r="16" spans="11:15">
      <c r="L16">
        <v>3</v>
      </c>
      <c r="N16">
        <f>60/30</f>
        <v>2</v>
      </c>
    </row>
    <row r="17" spans="11:14">
      <c r="L17" s="2955" t="s">
        <v>3410</v>
      </c>
      <c r="M17">
        <v>11487.59</v>
      </c>
      <c r="N17">
        <f>22/30</f>
        <v>0.73333333333333328</v>
      </c>
    </row>
    <row r="23" spans="11:14">
      <c r="K23" s="2964" t="s">
        <v>3077</v>
      </c>
      <c r="L23" s="2964" t="s">
        <v>3411</v>
      </c>
      <c r="M23" s="2964" t="s">
        <v>3412</v>
      </c>
      <c r="N23" s="2964" t="s">
        <v>3079</v>
      </c>
    </row>
    <row r="24" spans="11:14">
      <c r="K24" s="2965">
        <v>1</v>
      </c>
      <c r="L24" s="2965">
        <f>'数据-汇总表'!F19/3</f>
        <v>19130.72</v>
      </c>
      <c r="M24" s="2965">
        <v>1</v>
      </c>
      <c r="N24" s="2965">
        <v>2.5</v>
      </c>
    </row>
    <row r="25" spans="11:14">
      <c r="K25" s="2965">
        <v>2</v>
      </c>
      <c r="L25" s="2965">
        <f>L24</f>
        <v>19130.72</v>
      </c>
      <c r="M25" s="2965">
        <v>0.7</v>
      </c>
      <c r="N25" s="2965">
        <f>M25*$N$24</f>
        <v>1.75</v>
      </c>
    </row>
    <row r="26" spans="11:14">
      <c r="K26" s="2965">
        <v>3</v>
      </c>
      <c r="L26" s="2965">
        <f>L24</f>
        <v>19130.72</v>
      </c>
      <c r="M26" s="2965">
        <v>0.6</v>
      </c>
      <c r="N26" s="2965">
        <f t="shared" ref="N26" si="0">M26*$N$24</f>
        <v>1.5</v>
      </c>
    </row>
    <row r="27" spans="11:14">
      <c r="K27" s="2964" t="s">
        <v>3410</v>
      </c>
      <c r="L27" s="2965"/>
      <c r="M27" s="2965"/>
      <c r="N27" s="2965"/>
    </row>
    <row r="28" spans="11:14">
      <c r="K28" s="2965"/>
      <c r="L28" s="2965"/>
      <c r="M28" s="2965"/>
      <c r="N28" s="2965">
        <f>ROUND(AVERAGE(N24:N27),1)</f>
        <v>1.9</v>
      </c>
    </row>
  </sheetData>
  <phoneticPr fontId="14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1965</v>
      </c>
      <c r="B2" s="1266">
        <f>项目基本情况!D3</f>
        <v>43692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1972</v>
      </c>
      <c r="B5" s="2288" t="s">
        <v>1973</v>
      </c>
      <c r="C5" s="2289" t="s">
        <v>1974</v>
      </c>
      <c r="D5" s="2290" t="s">
        <v>1975</v>
      </c>
      <c r="E5" s="1268" t="s">
        <v>1976</v>
      </c>
      <c r="F5" s="2291" t="s">
        <v>1977</v>
      </c>
      <c r="G5" s="1268" t="s">
        <v>1978</v>
      </c>
      <c r="H5" s="1268" t="s">
        <v>1979</v>
      </c>
      <c r="I5" s="1268" t="s">
        <v>1980</v>
      </c>
      <c r="J5" s="2292" t="s">
        <v>1981</v>
      </c>
      <c r="K5" s="2293" t="s">
        <v>1982</v>
      </c>
      <c r="L5" s="2294" t="s">
        <v>1983</v>
      </c>
      <c r="M5" s="2295" t="s">
        <v>1984</v>
      </c>
      <c r="N5" s="2296" t="s">
        <v>3075</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1373</v>
      </c>
      <c r="D6" s="1051">
        <f>SUMIF(项目基本情况!D$12:I$12,C6,项目基本情况!D$14:I$14)</f>
        <v>40</v>
      </c>
      <c r="E6" s="1048">
        <f>IF(B6="","",SUMIF(项目基本情况!D$12:I$12,C6,项目基本情况!D$13:I$13))</f>
        <v>56138</v>
      </c>
      <c r="F6" s="72">
        <f>SUMIF(项目基本情况!D$12:I$12,C6,项目基本情况!D$15:I$15)</f>
        <v>34.090000000000003</v>
      </c>
      <c r="G6" s="73">
        <f>IF(ISERROR(ROUND(POWER(1+H6,D6-F6)*(POWER(1+H6,F6)-1)/(POWER(1+H6,D6)-1),3)),0,ROUND(POWER(1+H6,D6-F6)*(POWER(1+H6,F6)-1)/(POWER(1+H6,D6)-1),3))</f>
        <v>0.94499999999999995</v>
      </c>
      <c r="H6" s="802">
        <v>0.05</v>
      </c>
      <c r="I6" s="802">
        <v>5.5E-2</v>
      </c>
      <c r="J6" s="74">
        <v>8.5000000000000006E-2</v>
      </c>
      <c r="K6" s="1251">
        <f>SUMIF('数据-汇总表'!C$19:C$33,A6,'数据-汇总表'!E$19:E$33)</f>
        <v>57392.160000000003</v>
      </c>
      <c r="L6" s="803">
        <v>5500</v>
      </c>
      <c r="M6" s="75">
        <f t="shared" ref="M6:M14" si="0">ROUND(K6*L6/10000,0)</f>
        <v>31566</v>
      </c>
      <c r="N6" s="801">
        <f>ROUND(1-(2019-2017)/60,2)</f>
        <v>0.97</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19130.72</v>
      </c>
      <c r="T6" s="1443">
        <f>ROUND($L$14*S6/10000,0)</f>
        <v>9565</v>
      </c>
      <c r="U6" s="78">
        <v>2.2999999999999998</v>
      </c>
      <c r="V6" s="79">
        <v>3.5000000000000003E-2</v>
      </c>
      <c r="W6" s="79">
        <v>0.1</v>
      </c>
      <c r="X6" s="1261"/>
      <c r="Y6" s="80">
        <f>N6</f>
        <v>0.97</v>
      </c>
      <c r="Z6" s="81"/>
      <c r="AA6" s="74"/>
      <c r="AB6" s="74"/>
      <c r="AC6" s="1261"/>
      <c r="AD6" s="82"/>
      <c r="AE6" s="1262">
        <f ca="1">IF(AN6="",0,SUMIF(INDIRECT("'"&amp;AN6&amp;"'"&amp;"!E:E"),$AE$5,INDIRECT("'"&amp;AN6&amp;"'"&amp;"!F:F")))</f>
        <v>34.090000000000003</v>
      </c>
      <c r="AF6" s="1804"/>
      <c r="AG6" s="147">
        <f>IF(AF6="",0,AE6-AF6)</f>
        <v>0</v>
      </c>
      <c r="AH6" s="83"/>
      <c r="AI6" s="85">
        <v>365</v>
      </c>
      <c r="AJ6" s="86"/>
      <c r="AK6" s="87">
        <v>1.4E-2</v>
      </c>
      <c r="AL6" s="88">
        <v>1.6000000000000001E-3</v>
      </c>
      <c r="AM6" s="89">
        <v>1.4999999999999999E-2</v>
      </c>
      <c r="AN6" s="2307" t="s">
        <v>3413</v>
      </c>
      <c r="AO6" s="55">
        <f ca="1">SUMIF(INDIRECT("'"&amp;AN6&amp;"'"&amp;"!A:A"),"总价",INDIRECT("'"&amp;AN6&amp;"'"&amp;"!B:B"))</f>
        <v>61041</v>
      </c>
      <c r="AP6" s="2308">
        <f>IF(C6="住宅",K6*L6,0)</f>
        <v>0</v>
      </c>
      <c r="AQ6" s="55">
        <f>ROUND($L$14*$N$14*S6/10000,0)</f>
        <v>9278</v>
      </c>
      <c r="AR6" s="55">
        <f>ROUND($L$14*(1-$N$14)*S6/10000,0)</f>
        <v>287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19130.72</v>
      </c>
      <c r="L14" s="91">
        <v>5000</v>
      </c>
      <c r="M14" s="75">
        <f t="shared" si="0"/>
        <v>9565</v>
      </c>
      <c r="N14" s="92">
        <f>N6</f>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f>ROUND(SUMPRODUCT(G6:G13,K6:K13)/SUMPRODUCT((G6:G13&gt;0)*(K6:K13)),3)</f>
        <v>0.94499999999999995</v>
      </c>
      <c r="H16" s="99">
        <f>ROUND(SUMPRODUCT(H6:H13,K6:K13)/SUMPRODUCT((H6:H13&gt;0)*(K6:K13)),3)</f>
        <v>0.05</v>
      </c>
      <c r="I16" s="100"/>
      <c r="J16" s="100"/>
      <c r="K16" s="101">
        <f>SUM(K6:K15)</f>
        <v>76522.880000000005</v>
      </c>
      <c r="L16" s="102">
        <f>ROUND(M16*10000/SUM(K6:K14),0)</f>
        <v>5375</v>
      </c>
      <c r="M16" s="102">
        <f>SUM(M6:M14)</f>
        <v>41131</v>
      </c>
      <c r="N16" s="103">
        <f>ROUND(SUMPRODUCT(M6:M14,N6:N14)/M16,3)</f>
        <v>0.97</v>
      </c>
      <c r="O16" s="102">
        <f>SUM(O6:O14)</f>
        <v>0</v>
      </c>
      <c r="P16" s="102">
        <f>SUM(P6:P14)</f>
        <v>0</v>
      </c>
      <c r="Q16" s="104">
        <f>ROUND(SUMPRODUCT(Q6:Q13,K6:K13)/SUMPRODUCT((Q6:Q13&gt;0)*(K6:K13)),2)</f>
        <v>0.3</v>
      </c>
      <c r="R16" s="1255">
        <f ca="1">SUM(R6:R13)</f>
        <v>0</v>
      </c>
      <c r="S16" s="105">
        <f>SUM(S6:S13)</f>
        <v>19130.72</v>
      </c>
      <c r="T16" s="106">
        <f>IF(SUMIF(T6:T13,"&lt;9E307")=M14,SUMIF(T6:T13,"&lt;9E307"),"有误，请检查")</f>
        <v>9565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f ca="1">AL18-AL19</f>
        <v>0</v>
      </c>
      <c r="AL18" s="1581">
        <f ca="1">结果表!G19</f>
        <v>86456</v>
      </c>
      <c r="AM18" s="1581"/>
    </row>
    <row r="19" spans="1:67" ht="14.25">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f>结果表!J19</f>
        <v>86456</v>
      </c>
      <c r="AM19" s="1581"/>
    </row>
    <row r="20" spans="1:67" ht="14.25">
      <c r="A20" s="2315" t="s">
        <v>2017</v>
      </c>
      <c r="B20" s="113">
        <v>2.5</v>
      </c>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f>B20</f>
        <v>2.5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2.5</v>
      </c>
      <c r="C22" s="2275"/>
      <c r="D22" s="2276"/>
      <c r="E22" s="2275"/>
      <c r="F22" s="2275"/>
      <c r="G22" s="2275"/>
      <c r="H22" s="2275"/>
      <c r="I22" s="2275"/>
      <c r="J22" s="2275"/>
      <c r="K22" s="168"/>
      <c r="L22" s="168">
        <f ca="1">AK18</f>
        <v>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2.5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v>400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400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ROUND(B28*K16/10000,0)</f>
        <v>3061</v>
      </c>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v>0.03</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v>2.5000000000000001E-2</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4.7500000000000001E-2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v>7.0000000000000007E-2</v>
      </c>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v>0.04</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9.6</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t="s">
        <v>137</v>
      </c>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v>9.6</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7" t="s">
        <v>2080</v>
      </c>
      <c r="B1" s="3058"/>
      <c r="C1" s="3058"/>
      <c r="D1" s="3058"/>
      <c r="E1" s="3058"/>
      <c r="F1" s="3058"/>
      <c r="G1" s="305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42.75">
      <c r="A3" s="415" t="s">
        <v>2083</v>
      </c>
      <c r="B3" s="1268" t="s">
        <v>2084</v>
      </c>
      <c r="C3" s="2956" t="s">
        <v>3421</v>
      </c>
      <c r="D3" s="2368"/>
      <c r="E3" s="431" t="s">
        <v>2083</v>
      </c>
      <c r="F3" s="2369" t="s">
        <v>2085</v>
      </c>
      <c r="G3" s="2370" t="s">
        <v>2086</v>
      </c>
      <c r="H3" s="2366"/>
      <c r="I3" s="2366"/>
      <c r="J3" s="2366"/>
      <c r="K3" s="2366"/>
      <c r="L3" s="2366"/>
      <c r="M3" s="2366"/>
      <c r="N3" s="2366"/>
      <c r="O3" s="2366"/>
      <c r="P3" s="2366"/>
      <c r="Q3" s="2366"/>
      <c r="R3" s="2366"/>
    </row>
    <row r="4" spans="1:29" ht="40.5">
      <c r="A4" s="431"/>
      <c r="B4" s="1795" t="s">
        <v>2087</v>
      </c>
      <c r="C4" s="2957" t="s">
        <v>3422</v>
      </c>
      <c r="D4" s="2368"/>
      <c r="E4" s="2371"/>
      <c r="F4" s="42" t="s">
        <v>2088</v>
      </c>
      <c r="G4" s="2372" t="s">
        <v>2089</v>
      </c>
      <c r="H4" s="2366"/>
      <c r="I4" s="2366"/>
      <c r="J4" s="2366"/>
      <c r="K4" s="2366"/>
      <c r="L4" s="2366"/>
      <c r="M4" s="2366"/>
      <c r="N4" s="2366"/>
      <c r="O4" s="2366"/>
      <c r="P4" s="2366"/>
      <c r="Q4" s="2366"/>
      <c r="R4" s="2366"/>
    </row>
    <row r="5" spans="1:29" ht="27">
      <c r="A5" s="431"/>
      <c r="B5" s="1795" t="s">
        <v>2090</v>
      </c>
      <c r="C5" s="2957" t="s">
        <v>3083</v>
      </c>
      <c r="D5" s="2368"/>
      <c r="E5" s="2371"/>
      <c r="F5" s="1795" t="s">
        <v>2091</v>
      </c>
      <c r="G5" s="2372" t="s">
        <v>2092</v>
      </c>
      <c r="H5" s="2366"/>
      <c r="I5" s="2366"/>
      <c r="J5" s="2366"/>
      <c r="K5" s="2366"/>
      <c r="L5" s="2366"/>
      <c r="M5" s="2366"/>
      <c r="N5" s="2366"/>
      <c r="O5" s="2366"/>
      <c r="P5" s="2366"/>
      <c r="Q5" s="2366"/>
      <c r="R5" s="2366"/>
    </row>
    <row r="6" spans="1:29" ht="15">
      <c r="A6" s="431"/>
      <c r="B6" s="1795" t="s">
        <v>2093</v>
      </c>
      <c r="C6" s="2958" t="s">
        <v>3422</v>
      </c>
      <c r="D6" s="2368"/>
      <c r="E6" s="2371"/>
      <c r="F6" s="1795" t="s">
        <v>2094</v>
      </c>
      <c r="G6" s="2372" t="s">
        <v>2095</v>
      </c>
      <c r="H6" s="2366"/>
      <c r="I6" s="2366"/>
      <c r="J6" s="2366"/>
      <c r="K6" s="2366"/>
      <c r="L6" s="2366"/>
      <c r="M6" s="2366"/>
      <c r="N6" s="2366"/>
      <c r="O6" s="2366"/>
      <c r="P6" s="2366"/>
      <c r="Q6" s="2366"/>
      <c r="R6" s="2366"/>
    </row>
    <row r="7" spans="1:29" ht="41.25" thickBot="1">
      <c r="A7" s="431"/>
      <c r="B7" s="1795" t="s">
        <v>2091</v>
      </c>
      <c r="C7" s="2958" t="s">
        <v>3422</v>
      </c>
      <c r="D7" s="2373"/>
      <c r="E7" s="2374"/>
      <c r="F7" s="2375" t="s">
        <v>2096</v>
      </c>
      <c r="G7" s="2376" t="s">
        <v>2097</v>
      </c>
      <c r="H7" s="2366"/>
      <c r="I7" s="2366"/>
      <c r="J7" s="2366"/>
      <c r="K7" s="2366"/>
      <c r="L7" s="2366"/>
      <c r="M7" s="2366"/>
      <c r="N7" s="2366"/>
      <c r="O7" s="2366"/>
      <c r="P7" s="2366"/>
      <c r="Q7" s="2366"/>
      <c r="R7" s="2366"/>
    </row>
    <row r="8" spans="1:29" ht="15">
      <c r="A8" s="431"/>
      <c r="B8" s="1795" t="s">
        <v>2094</v>
      </c>
      <c r="C8" s="2958" t="s">
        <v>3084</v>
      </c>
      <c r="D8" s="2373"/>
      <c r="E8" s="2373"/>
      <c r="F8" s="1133"/>
      <c r="G8" s="1133"/>
      <c r="H8" s="2366"/>
      <c r="I8" s="2366"/>
      <c r="J8" s="2366"/>
      <c r="K8" s="2366"/>
      <c r="L8" s="2366"/>
      <c r="M8" s="2366"/>
      <c r="N8" s="2366"/>
      <c r="O8" s="2366"/>
      <c r="P8" s="2366"/>
      <c r="Q8" s="2366"/>
      <c r="R8" s="2366"/>
    </row>
    <row r="9" spans="1:29" ht="15">
      <c r="A9" s="431"/>
      <c r="B9" s="1795" t="s">
        <v>2098</v>
      </c>
      <c r="C9" s="2957" t="s">
        <v>3082</v>
      </c>
      <c r="D9" s="2368"/>
      <c r="E9" s="2373"/>
      <c r="F9" s="1133"/>
      <c r="G9" s="1133"/>
      <c r="H9" s="2366"/>
      <c r="I9" s="2366"/>
      <c r="J9" s="2366"/>
      <c r="K9" s="2366"/>
      <c r="L9" s="2366"/>
      <c r="M9" s="2366"/>
      <c r="N9" s="2366"/>
      <c r="O9" s="2366"/>
      <c r="P9" s="2366"/>
      <c r="Q9" s="2366"/>
      <c r="R9" s="2366"/>
    </row>
    <row r="10" spans="1:29" s="117" customFormat="1" ht="15.75" thickBot="1">
      <c r="A10" s="2377"/>
      <c r="B10" s="2378" t="s">
        <v>2099</v>
      </c>
      <c r="C10" s="2379"/>
      <c r="D10" s="2368"/>
      <c r="E10" s="2368"/>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3"/>
      <c r="C11" s="2368"/>
      <c r="D11" s="2368"/>
      <c r="E11" s="2368"/>
      <c r="F11" s="2373"/>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2100</v>
      </c>
      <c r="B13" s="2384"/>
      <c r="C13" s="2384"/>
      <c r="D13" s="2391"/>
      <c r="E13" s="2384"/>
      <c r="F13" s="2384"/>
      <c r="G13" s="2384"/>
    </row>
    <row r="14" spans="1:29" ht="15.75" thickBot="1">
      <c r="A14" s="2395"/>
      <c r="B14" s="2396"/>
      <c r="C14" s="2397" t="s">
        <v>2101</v>
      </c>
      <c r="D14" s="2368"/>
      <c r="E14" s="2398"/>
      <c r="F14" s="2398"/>
      <c r="G14" s="2363" t="s">
        <v>2102</v>
      </c>
    </row>
    <row r="15" spans="1:29" ht="42.75">
      <c r="A15" s="68" t="s">
        <v>2103</v>
      </c>
      <c r="B15" s="1267" t="s">
        <v>2084</v>
      </c>
      <c r="C15" s="2399" t="str">
        <f>C3</f>
        <v xml:space="preserve"> </v>
      </c>
      <c r="D15" s="2368"/>
      <c r="E15" s="2400" t="s">
        <v>2104</v>
      </c>
      <c r="F15" s="1267" t="s">
        <v>2105</v>
      </c>
      <c r="G15" s="135" t="str">
        <f>G3</f>
        <v>估价对象位于XX开发区，园区建设成熟度XX，产业集聚程度XX</v>
      </c>
    </row>
    <row r="16" spans="1:29" ht="42.75">
      <c r="A16" s="645"/>
      <c r="B16" s="2401" t="s">
        <v>2087</v>
      </c>
      <c r="C16" s="2402" t="str">
        <f>C4</f>
        <v>一般</v>
      </c>
      <c r="D16" s="2368"/>
      <c r="E16" s="2403"/>
      <c r="F16" s="2404" t="s">
        <v>2088</v>
      </c>
      <c r="G16" s="136" t="str">
        <f>G4</f>
        <v>估价对象周边道路状况、公共交通通达情况、停车便捷程度，综合评价交通便捷度较好</v>
      </c>
    </row>
    <row r="17" spans="1:18" ht="15">
      <c r="A17" s="645"/>
      <c r="B17" s="2401" t="s">
        <v>2090</v>
      </c>
      <c r="C17" s="2402" t="str">
        <f>C5</f>
        <v>一般</v>
      </c>
      <c r="D17" s="2373"/>
      <c r="E17" s="2403"/>
      <c r="F17" s="2404" t="s">
        <v>2106</v>
      </c>
      <c r="G17" s="1569"/>
    </row>
    <row r="18" spans="1:18" ht="42.75">
      <c r="A18" s="645"/>
      <c r="B18" s="2404" t="s">
        <v>2093</v>
      </c>
      <c r="C18" s="136" t="str">
        <f>C6</f>
        <v>一般</v>
      </c>
      <c r="D18" s="2373"/>
      <c r="E18" s="2403"/>
      <c r="F18" s="2404" t="s">
        <v>2096</v>
      </c>
      <c r="G18" s="136" t="str">
        <f>G7</f>
        <v>该园区内是否有污染型企业，绿化情况，卫生条件，整体环境状况判断</v>
      </c>
    </row>
    <row r="19" spans="1:18" ht="28.5">
      <c r="A19" s="645"/>
      <c r="B19" s="2404" t="s">
        <v>2107</v>
      </c>
      <c r="C19" s="1569"/>
      <c r="D19" s="2368"/>
      <c r="E19" s="2403"/>
      <c r="F19" s="1795" t="s">
        <v>2091</v>
      </c>
      <c r="G19" s="136" t="str">
        <f>G5</f>
        <v>估价对象所在区域公共配套设施齐备情况</v>
      </c>
    </row>
    <row r="20" spans="1:18" ht="15">
      <c r="A20" s="645"/>
      <c r="B20" s="2404" t="s">
        <v>2108</v>
      </c>
      <c r="C20" s="2402" t="str">
        <f>C9</f>
        <v>较好</v>
      </c>
      <c r="D20" s="2373"/>
      <c r="E20" s="2403"/>
      <c r="F20" s="1795" t="s">
        <v>2109</v>
      </c>
      <c r="G20" s="136" t="str">
        <f>G6</f>
        <v>估价对象所在区域基础设施水平</v>
      </c>
    </row>
    <row r="21" spans="1:18" ht="15">
      <c r="A21" s="645"/>
      <c r="B21" s="1795" t="s">
        <v>2091</v>
      </c>
      <c r="C21" s="136" t="str">
        <f>C7</f>
        <v>一般</v>
      </c>
      <c r="D21" s="2368"/>
      <c r="E21" s="2403"/>
      <c r="F21" s="2404" t="s">
        <v>2110</v>
      </c>
      <c r="G21" s="2405"/>
    </row>
    <row r="22" spans="1:18" ht="13.5" customHeight="1">
      <c r="A22" s="645"/>
      <c r="B22" s="1795" t="s">
        <v>2094</v>
      </c>
      <c r="C22" s="136" t="str">
        <f>C8</f>
        <v>六通</v>
      </c>
      <c r="D22" s="2368"/>
      <c r="E22" s="2403"/>
      <c r="F22" s="2404" t="s">
        <v>2099</v>
      </c>
      <c r="G22" s="1569"/>
    </row>
    <row r="23" spans="1:18" s="2366"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6"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76522.880000000005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43692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86456</v>
      </c>
      <c r="C5" s="1743">
        <f ca="1">ROUND(B5*10000/$B$1,0)</f>
        <v>11298</v>
      </c>
      <c r="D5" s="1743" t="e">
        <f ca="1">ROUND(B5*10000/$B$2,0)</f>
        <v>#DIV/0!</v>
      </c>
      <c r="E5" s="1742"/>
      <c r="F5" s="1740"/>
      <c r="G5" s="1740"/>
    </row>
    <row r="6" spans="1:10" ht="16.5">
      <c r="A6" s="1743" t="s">
        <v>1352</v>
      </c>
      <c r="B6" s="1743">
        <f ca="1">SUM(G14:G23)</f>
        <v>86456</v>
      </c>
      <c r="C6" s="1743">
        <f ca="1">ROUND(B6*10000/$B$1,0)</f>
        <v>11298</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76522.880000000005</v>
      </c>
      <c r="C14" s="1741">
        <f>结果表!C118</f>
        <v>0</v>
      </c>
      <c r="D14" s="1741">
        <f ca="1">结果表!H118</f>
        <v>86456</v>
      </c>
      <c r="E14" s="1741">
        <f ca="1">ROUND(D14*10000/B14,0)</f>
        <v>11298</v>
      </c>
      <c r="F14" s="1741" t="e">
        <f ca="1">ROUND(D14*10000/C14,0)</f>
        <v>#DIV/0!</v>
      </c>
      <c r="G14" s="1741">
        <f ca="1">结果表!D122</f>
        <v>86456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97" zoomScaleNormal="100" zoomScaleSheetLayoutView="100" zoomScalePageLayoutView="80" workbookViewId="0">
      <selection activeCell="D103" sqref="D10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2113</v>
      </c>
      <c r="B1" s="2415"/>
      <c r="C1" s="2416"/>
      <c r="D1" s="2415"/>
      <c r="E1" s="2415"/>
      <c r="F1" s="2417" t="s">
        <v>2114</v>
      </c>
      <c r="G1" s="2069" t="s">
        <v>3064</v>
      </c>
      <c r="H1" s="2418" t="str">
        <f>IF(G1="现房","——","估价对象范围")</f>
        <v>——</v>
      </c>
      <c r="I1" s="2419"/>
    </row>
    <row r="2" spans="1:12" ht="21.75" customHeight="1" thickBot="1">
      <c r="A2" s="3131" t="str">
        <f>项目基本情况!S2</f>
        <v>山东省青岛市黄岛区开发区汉江路3号万达广场全幢、地下房地产</v>
      </c>
      <c r="B2" s="3132"/>
      <c r="C2" s="3132"/>
      <c r="D2" s="3132"/>
      <c r="E2" s="3132"/>
      <c r="F2" s="3132"/>
      <c r="G2" s="3132"/>
      <c r="H2" s="3132"/>
      <c r="I2" s="3133"/>
    </row>
    <row r="3" spans="1:12" ht="12.75">
      <c r="A3" s="3134" t="s">
        <v>2115</v>
      </c>
      <c r="B3" s="3135"/>
      <c r="C3" s="3135"/>
      <c r="D3" s="3135"/>
      <c r="E3" s="3135"/>
      <c r="F3" s="3135"/>
      <c r="G3" s="3135"/>
      <c r="H3" s="3135"/>
      <c r="I3" s="3135"/>
    </row>
    <row r="4" spans="1:12" ht="14.25">
      <c r="A4" s="2422" t="s">
        <v>2116</v>
      </c>
      <c r="B4" s="2423" t="s">
        <v>2117</v>
      </c>
      <c r="C4" s="2424" t="s">
        <v>3418</v>
      </c>
      <c r="D4" s="2424" t="s">
        <v>3413</v>
      </c>
      <c r="E4" s="3115" t="s">
        <v>2118</v>
      </c>
      <c r="F4" s="3128"/>
      <c r="G4" s="3128"/>
      <c r="H4" s="3128"/>
      <c r="I4" s="311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2119</v>
      </c>
      <c r="B5" s="3032">
        <v>25</v>
      </c>
      <c r="C5" s="3136"/>
      <c r="D5" s="3124"/>
      <c r="E5" s="140" t="s">
        <v>2120</v>
      </c>
      <c r="F5" s="2426"/>
      <c r="G5" s="2426"/>
      <c r="H5" s="2426"/>
      <c r="I5" s="1831"/>
    </row>
    <row r="6" spans="1:12" ht="12.75">
      <c r="A6" s="3106"/>
      <c r="B6" s="3032"/>
      <c r="C6" s="3138"/>
      <c r="D6" s="3124"/>
      <c r="E6" s="140" t="s">
        <v>2121</v>
      </c>
      <c r="F6" s="2426"/>
      <c r="G6" s="2426"/>
      <c r="H6" s="2426"/>
      <c r="I6" s="1831"/>
    </row>
    <row r="7" spans="1:12" ht="12.75">
      <c r="A7" s="3106"/>
      <c r="B7" s="3032"/>
      <c r="C7" s="3137"/>
      <c r="D7" s="3124"/>
      <c r="E7" s="140" t="s">
        <v>2122</v>
      </c>
      <c r="F7" s="2426"/>
      <c r="G7" s="2426"/>
      <c r="H7" s="2426"/>
      <c r="I7" s="1831"/>
    </row>
    <row r="8" spans="1:12" ht="12.75">
      <c r="A8" s="3106" t="s">
        <v>2123</v>
      </c>
      <c r="B8" s="3032">
        <v>15</v>
      </c>
      <c r="C8" s="3136"/>
      <c r="D8" s="3124"/>
      <c r="E8" s="140" t="s">
        <v>2124</v>
      </c>
      <c r="F8" s="2426"/>
      <c r="G8" s="2426"/>
      <c r="H8" s="2426"/>
      <c r="I8" s="1831"/>
    </row>
    <row r="9" spans="1:12" ht="12.75">
      <c r="A9" s="3106"/>
      <c r="B9" s="3032"/>
      <c r="C9" s="3137"/>
      <c r="D9" s="3124"/>
      <c r="E9" s="140" t="s">
        <v>2125</v>
      </c>
      <c r="F9" s="2426"/>
      <c r="G9" s="2426"/>
      <c r="H9" s="2426"/>
      <c r="I9" s="1831"/>
    </row>
    <row r="10" spans="1:12" ht="12.75">
      <c r="A10" s="3106" t="s">
        <v>2126</v>
      </c>
      <c r="B10" s="3032">
        <v>15</v>
      </c>
      <c r="C10" s="3136"/>
      <c r="D10" s="3124"/>
      <c r="E10" s="140" t="s">
        <v>2127</v>
      </c>
      <c r="F10" s="2426"/>
      <c r="G10" s="2426"/>
      <c r="H10" s="2426"/>
      <c r="I10" s="1831"/>
    </row>
    <row r="11" spans="1:12" ht="12.75">
      <c r="A11" s="3106"/>
      <c r="B11" s="3032"/>
      <c r="C11" s="3137"/>
      <c r="D11" s="3124"/>
      <c r="E11" s="140" t="s">
        <v>2128</v>
      </c>
      <c r="F11" s="2426"/>
      <c r="G11" s="2426"/>
      <c r="H11" s="2426"/>
      <c r="I11" s="1831"/>
    </row>
    <row r="12" spans="1:12" ht="12.75">
      <c r="A12" s="3106" t="s">
        <v>2129</v>
      </c>
      <c r="B12" s="3032">
        <v>15</v>
      </c>
      <c r="C12" s="3136"/>
      <c r="D12" s="3124"/>
      <c r="E12" s="140" t="s">
        <v>2130</v>
      </c>
      <c r="F12" s="2426"/>
      <c r="G12" s="2426"/>
      <c r="H12" s="2426"/>
      <c r="I12" s="1831"/>
    </row>
    <row r="13" spans="1:12" ht="12.75">
      <c r="A13" s="3106"/>
      <c r="B13" s="3032"/>
      <c r="C13" s="3137"/>
      <c r="D13" s="3124"/>
      <c r="E13" s="140" t="s">
        <v>2131</v>
      </c>
      <c r="F13" s="2426"/>
      <c r="G13" s="2426"/>
      <c r="H13" s="2426"/>
      <c r="I13" s="1831"/>
    </row>
    <row r="14" spans="1:12" ht="12.75">
      <c r="A14" s="3106" t="s">
        <v>2132</v>
      </c>
      <c r="B14" s="3032">
        <v>30</v>
      </c>
      <c r="C14" s="3136">
        <v>7</v>
      </c>
      <c r="D14" s="3124">
        <v>3</v>
      </c>
      <c r="E14" s="140" t="s">
        <v>2133</v>
      </c>
      <c r="F14" s="2426"/>
      <c r="G14" s="2426"/>
      <c r="H14" s="2426"/>
      <c r="I14" s="1831"/>
    </row>
    <row r="15" spans="1:12" ht="12.75">
      <c r="A15" s="3106"/>
      <c r="B15" s="3032"/>
      <c r="C15" s="3138"/>
      <c r="D15" s="3124"/>
      <c r="E15" s="140" t="s">
        <v>2134</v>
      </c>
      <c r="F15" s="2426"/>
      <c r="G15" s="2426"/>
      <c r="H15" s="2426"/>
      <c r="I15" s="1831"/>
    </row>
    <row r="16" spans="1:12" ht="12.75">
      <c r="A16" s="3106"/>
      <c r="B16" s="3032"/>
      <c r="C16" s="3137"/>
      <c r="D16" s="3124"/>
      <c r="E16" s="140" t="s">
        <v>2135</v>
      </c>
      <c r="F16" s="2426"/>
      <c r="G16" s="2426"/>
      <c r="H16" s="2426"/>
      <c r="I16" s="1831"/>
    </row>
    <row r="17" spans="1:35" ht="15">
      <c r="A17" s="2427" t="s">
        <v>2136</v>
      </c>
      <c r="B17" s="64"/>
      <c r="C17" s="141">
        <f>SUM(C5:C16)</f>
        <v>7</v>
      </c>
      <c r="D17" s="141">
        <f>SUM(D5:D16)</f>
        <v>3</v>
      </c>
      <c r="E17" s="138"/>
      <c r="F17" s="138"/>
      <c r="G17" s="138"/>
      <c r="H17" s="138"/>
      <c r="I17" s="138"/>
      <c r="K17" s="2425"/>
      <c r="L17" s="2428" t="s">
        <v>2137</v>
      </c>
      <c r="M17" s="2428" t="s">
        <v>2138</v>
      </c>
    </row>
    <row r="18" spans="1:35" ht="15.75" thickBot="1">
      <c r="A18" s="2429" t="s">
        <v>2139</v>
      </c>
      <c r="B18" s="2430"/>
      <c r="C18" s="142">
        <f>ROUND(C17/SUM(C17:D17),2)</f>
        <v>0.7</v>
      </c>
      <c r="D18" s="142">
        <f>1-C18</f>
        <v>0.30000000000000004</v>
      </c>
      <c r="E18" s="138"/>
      <c r="F18" s="138"/>
      <c r="G18" s="138"/>
      <c r="H18" s="138"/>
      <c r="I18" s="138"/>
      <c r="K18" s="2425" t="s">
        <v>2140</v>
      </c>
      <c r="L18" s="2425">
        <f>IF(C1="",'数据-汇总表'!E3,SUMIF(项目类型,C1,'数据-汇总表'!E17:E26)+SUMIF(项目类型,C1,'数据-汇总表'!I17:I26))</f>
        <v>76522.880000000005</v>
      </c>
      <c r="M18" s="2425">
        <f>IF(C1="",'数据-汇总表'!E3,SUMIF(项目类型,C1,'数据-汇总表'!E17:E26))</f>
        <v>76522.880000000005</v>
      </c>
    </row>
    <row r="19" spans="1:35" ht="15">
      <c r="A19" s="2431" t="s">
        <v>2141</v>
      </c>
      <c r="B19" s="2432" t="s">
        <v>2142</v>
      </c>
      <c r="C19" s="143">
        <f ca="1">SUMIF(INDIRECT("'"&amp;C4&amp;"'"&amp;"!A:A"),结果表!B19,INDIRECT("'"&amp;C4&amp;"'"&amp;"!B:B"))</f>
        <v>97348</v>
      </c>
      <c r="D19" s="144">
        <f ca="1">SUMIF(INDIRECT("'"&amp;D4&amp;"'"&amp;"!A:A"),结果表!B19,INDIRECT("'"&amp;D4&amp;"'"&amp;"!B:B"))</f>
        <v>61041</v>
      </c>
      <c r="E19" s="2431" t="s">
        <v>2143</v>
      </c>
      <c r="F19" s="2432" t="s">
        <v>2142</v>
      </c>
      <c r="G19" s="145">
        <f ca="1">ROUND(C19*$C$18+D19*$D$18,0)</f>
        <v>86456</v>
      </c>
      <c r="H19" s="2433" t="s">
        <v>2144</v>
      </c>
      <c r="I19" s="138"/>
      <c r="J19" s="795">
        <v>86456</v>
      </c>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12721</v>
      </c>
      <c r="D20" s="147">
        <f ca="1">SUMIF(INDIRECT("'"&amp;D4&amp;"'"&amp;"!A:A"),结果表!B20,INDIRECT("'"&amp;D4&amp;"'"&amp;"!B:B"))</f>
        <v>10636</v>
      </c>
      <c r="E20" s="2434"/>
      <c r="F20" s="1247" t="s">
        <v>2146</v>
      </c>
      <c r="G20" s="148">
        <f ca="1">ROUND(C20*$C$18+D20*$D$18,0)</f>
        <v>12096</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row>
    <row r="22" spans="1:35" ht="15" thickBot="1">
      <c r="A22" s="2279" t="s">
        <v>2149</v>
      </c>
      <c r="B22" s="2437"/>
      <c r="C22" s="2438"/>
      <c r="D22" s="791">
        <f ca="1">IF(C19&lt;D19,D19/C19-1,C19/D19-1)</f>
        <v>0.59479693976179937</v>
      </c>
      <c r="E22" s="138"/>
      <c r="F22" s="138"/>
      <c r="G22" s="138"/>
      <c r="H22" s="138"/>
      <c r="I22" s="138"/>
    </row>
    <row r="23" spans="1:35" ht="13.5" thickBot="1">
      <c r="A23" s="2415"/>
      <c r="B23" s="2415"/>
      <c r="C23" s="2415"/>
      <c r="D23" s="2415"/>
      <c r="E23" s="138"/>
      <c r="F23" s="138"/>
      <c r="G23" s="138"/>
      <c r="H23" s="138"/>
      <c r="I23" s="138"/>
    </row>
    <row r="24" spans="1:35" ht="14.25">
      <c r="A24" s="3145" t="s">
        <v>2150</v>
      </c>
      <c r="B24" s="2432" t="s">
        <v>2142</v>
      </c>
      <c r="C24" s="145">
        <f>IF(B30=0,0,D30)</f>
        <v>0</v>
      </c>
      <c r="D24" s="2439"/>
      <c r="E24" s="138"/>
      <c r="F24" s="138"/>
      <c r="G24" s="138"/>
      <c r="H24" s="138"/>
      <c r="I24" s="138"/>
    </row>
    <row r="25" spans="1:35" ht="14.25">
      <c r="A25" s="3146"/>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86456</v>
      </c>
      <c r="D32" s="2446" t="s">
        <v>2157</v>
      </c>
      <c r="E32" s="138"/>
      <c r="F32" s="138"/>
      <c r="G32" s="138"/>
      <c r="H32" s="138"/>
      <c r="I32" s="138"/>
    </row>
    <row r="33" spans="1:15" ht="15">
      <c r="A33" s="957" t="s">
        <v>2158</v>
      </c>
      <c r="B33" s="2447"/>
      <c r="C33" s="2448" t="s">
        <v>3419</v>
      </c>
      <c r="D33" s="2449" t="s">
        <v>3418</v>
      </c>
      <c r="E33" s="2450" t="s">
        <v>2159</v>
      </c>
      <c r="F33" s="2451" t="str">
        <f>IF(D32="楼面单价","取值（单价）","取值（总价）")</f>
        <v>取值（总价）</v>
      </c>
      <c r="G33" s="138"/>
      <c r="H33" s="138"/>
      <c r="I33" s="138"/>
    </row>
    <row r="34" spans="1:15" ht="15">
      <c r="A34" s="2452"/>
      <c r="B34" s="2453" t="s">
        <v>2160</v>
      </c>
      <c r="C34" s="157">
        <f ca="1">IF(C33="自定义",F34,C32-C35)</f>
        <v>27579</v>
      </c>
      <c r="D34" s="1055">
        <f ca="1">IF(C33="自定义",ROUND(C34/C32,3),IF(C33="收益比率",SUMIF(INDIRECT("'"&amp;D33&amp;"'"&amp;"!b:b"),"土地收益比率",INDIRECT("'"&amp;D33&amp;"'"&amp;"!c:c")),SUMIF(INDIRECT("'"&amp;D33&amp;"'"&amp;"!b:b"),"土地成本比率",INDIRECT("'"&amp;D33&amp;"'"&amp;"!c:c"))))</f>
        <v>0.31899999999999995</v>
      </c>
      <c r="E34" s="2454" t="s">
        <v>2161</v>
      </c>
      <c r="F34" s="1736"/>
      <c r="G34" s="138"/>
      <c r="H34" s="138"/>
      <c r="I34" s="138"/>
    </row>
    <row r="35" spans="1:15" ht="15.75" thickBot="1">
      <c r="A35" s="2455"/>
      <c r="B35" s="2456" t="s">
        <v>2162</v>
      </c>
      <c r="C35" s="1441">
        <f ca="1">IF(C33="自定义",F35,ROUND(C32*D35,0))</f>
        <v>58877</v>
      </c>
      <c r="D35" s="1442">
        <f ca="1">IF(C33="自定义",ROUND(C35/C32,3),IF(C33="收益比率",SUMIF(INDIRECT("'"&amp;D33&amp;"'"&amp;"!b:b"),"建筑物收益比率",INDIRECT("'"&amp;D33&amp;"'"&amp;"!c:c")),SUMIF(INDIRECT("'"&amp;D33&amp;"'"&amp;"!b:b"),"建筑物成本比率",INDIRECT("'"&amp;D33&amp;"'"&amp;"!c:c"))))</f>
        <v>0.68100000000000005</v>
      </c>
      <c r="E35" s="2457" t="s">
        <v>2163</v>
      </c>
      <c r="F35" s="163"/>
      <c r="G35" s="138"/>
      <c r="H35" s="138"/>
      <c r="I35" s="138"/>
    </row>
    <row r="36" spans="1:15" ht="15.75" thickBot="1">
      <c r="A36" s="3125" t="s">
        <v>2164</v>
      </c>
      <c r="B36" s="2458" t="s">
        <v>2165</v>
      </c>
      <c r="C36" s="154"/>
      <c r="D36" s="2459"/>
      <c r="E36" s="2460"/>
      <c r="F36" s="2461"/>
      <c r="G36" s="138"/>
      <c r="H36" s="138"/>
      <c r="I36" s="138"/>
    </row>
    <row r="37" spans="1:15" ht="15.75" thickBot="1">
      <c r="A37" s="3126"/>
      <c r="B37" s="2265" t="s">
        <v>2166</v>
      </c>
      <c r="C37" s="156"/>
      <c r="D37" s="1392"/>
      <c r="E37" s="1392"/>
      <c r="F37" s="2461"/>
      <c r="G37" s="138"/>
      <c r="H37" s="138"/>
      <c r="I37" s="138"/>
    </row>
    <row r="38" spans="1:15" ht="15.75" thickBot="1">
      <c r="A38" s="3127"/>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42" t="s">
        <v>2178</v>
      </c>
      <c r="B45" s="3143"/>
      <c r="C45" s="3144"/>
      <c r="D45" s="164">
        <f ca="1">ROUND(H101*F45,0)</f>
        <v>86456</v>
      </c>
      <c r="E45" s="165" t="s">
        <v>2179</v>
      </c>
      <c r="F45" s="166">
        <v>1</v>
      </c>
      <c r="G45" s="167" t="s">
        <v>2180</v>
      </c>
      <c r="H45" s="138"/>
      <c r="I45" s="138"/>
      <c r="J45" s="3061" t="s">
        <v>2181</v>
      </c>
      <c r="K45" s="3061"/>
      <c r="L45" s="3061"/>
      <c r="M45" s="3061"/>
      <c r="N45" s="3061"/>
      <c r="O45" s="3061"/>
    </row>
    <row r="46" spans="1:15" ht="14.25" customHeight="1">
      <c r="A46" s="3139" t="s">
        <v>2182</v>
      </c>
      <c r="B46" s="3140"/>
      <c r="C46" s="3140"/>
      <c r="D46" s="3140"/>
      <c r="E46" s="3140"/>
      <c r="F46" s="3140"/>
      <c r="G46" s="3141"/>
      <c r="H46" s="2477"/>
      <c r="I46" s="168"/>
      <c r="J46" s="1809">
        <v>1</v>
      </c>
      <c r="K46" s="3061" t="s">
        <v>2183</v>
      </c>
      <c r="L46" s="3061"/>
      <c r="M46" s="3062"/>
      <c r="N46" s="3062"/>
      <c r="O46" s="3062"/>
    </row>
    <row r="47" spans="1:15" ht="12" customHeight="1">
      <c r="A47" s="169" t="s">
        <v>2184</v>
      </c>
      <c r="B47" s="170"/>
      <c r="C47" s="171"/>
      <c r="D47" s="172" t="s">
        <v>2185</v>
      </c>
      <c r="E47" s="24" t="s">
        <v>2186</v>
      </c>
      <c r="F47" s="173" t="s">
        <v>2187</v>
      </c>
      <c r="G47" s="174" t="s">
        <v>2188</v>
      </c>
      <c r="H47" s="2477"/>
      <c r="I47" s="168"/>
      <c r="J47" s="1809">
        <v>2</v>
      </c>
      <c r="K47" s="3061" t="s">
        <v>2189</v>
      </c>
      <c r="L47" s="3061"/>
      <c r="M47" s="3063">
        <f>'数据-取费表'!B2</f>
        <v>43692</v>
      </c>
      <c r="N47" s="3063"/>
      <c r="O47" s="3063"/>
    </row>
    <row r="48" spans="1:15" ht="25.5">
      <c r="A48" s="3129" t="s">
        <v>2190</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78" t="s">
        <v>2191</v>
      </c>
      <c r="H48" s="2479" t="s">
        <v>2192</v>
      </c>
      <c r="I48" s="2477"/>
      <c r="J48" s="1809">
        <v>3</v>
      </c>
      <c r="K48" s="3061" t="s">
        <v>2193</v>
      </c>
      <c r="L48" s="3061"/>
      <c r="M48" s="3064">
        <f ca="1">H101</f>
        <v>86456</v>
      </c>
      <c r="N48" s="3064"/>
      <c r="O48" s="3064"/>
    </row>
    <row r="49" spans="1:35" ht="25.5" customHeight="1">
      <c r="A49" s="176" t="s">
        <v>2194</v>
      </c>
      <c r="B49" s="3109" t="s">
        <v>2195</v>
      </c>
      <c r="C49" s="3109"/>
      <c r="D49" s="177">
        <v>0</v>
      </c>
      <c r="E49" s="23" t="s">
        <v>2196</v>
      </c>
      <c r="F49" s="28" t="s">
        <v>34</v>
      </c>
      <c r="G49" s="3090"/>
      <c r="H49" s="138"/>
      <c r="I49" s="2480"/>
      <c r="J49" s="1809">
        <v>4</v>
      </c>
      <c r="K49" s="3061" t="str">
        <f>IF(项目基本情况!E8="房地产抵押价值","房地产抵押价值","抵押担保权已注销时的房地产抵押价值")</f>
        <v>房地产抵押价值</v>
      </c>
      <c r="L49" s="3061"/>
      <c r="M49" s="3064">
        <f ca="1">IF(项目基本情况!E8="房地产抵押价值",H107,H109)</f>
        <v>86456</v>
      </c>
      <c r="N49" s="3064"/>
      <c r="O49" s="3064"/>
    </row>
    <row r="50" spans="1:35" ht="25.5" customHeight="1">
      <c r="A50" s="178"/>
      <c r="B50" s="3109" t="s">
        <v>2197</v>
      </c>
      <c r="C50" s="3109"/>
      <c r="D50" s="179"/>
      <c r="E50" s="31"/>
      <c r="F50" s="180"/>
      <c r="G50" s="3091"/>
      <c r="H50" s="138"/>
      <c r="I50" s="2480"/>
      <c r="J50" s="3061" t="s">
        <v>2198</v>
      </c>
      <c r="K50" s="3061"/>
      <c r="L50" s="3061"/>
      <c r="M50" s="3061"/>
      <c r="N50" s="3061"/>
      <c r="O50" s="3061"/>
    </row>
    <row r="51" spans="1:35" ht="12" customHeight="1">
      <c r="A51" s="181"/>
      <c r="B51" s="3109" t="s">
        <v>2199</v>
      </c>
      <c r="C51" s="3109"/>
      <c r="D51" s="182"/>
      <c r="E51" s="30"/>
      <c r="F51" s="180"/>
      <c r="G51" s="3092"/>
      <c r="H51" s="138"/>
      <c r="I51" s="2480"/>
      <c r="J51" s="2481" t="s">
        <v>2200</v>
      </c>
      <c r="K51" s="3061" t="s">
        <v>2201</v>
      </c>
      <c r="L51" s="3061"/>
      <c r="M51" s="2481" t="s">
        <v>2202</v>
      </c>
      <c r="N51" s="2481" t="s">
        <v>2203</v>
      </c>
      <c r="O51" s="2481" t="s">
        <v>2204</v>
      </c>
    </row>
    <row r="52" spans="1:35" ht="24" customHeight="1">
      <c r="A52" s="183" t="s">
        <v>2205</v>
      </c>
      <c r="B52" s="3109" t="s">
        <v>2206</v>
      </c>
      <c r="C52" s="3109"/>
      <c r="D52" s="182">
        <f ca="1">ROUND(D45*'数据-取费表'!B41/(1+'数据-取费表'!C42),0)</f>
        <v>4611</v>
      </c>
      <c r="E52" s="11" t="s">
        <v>2207</v>
      </c>
      <c r="F52" s="184">
        <f>'数据-取费表'!B41</f>
        <v>5.6000000000000001E-2</v>
      </c>
      <c r="G52" s="2482"/>
      <c r="H52" s="138"/>
      <c r="I52" s="2480"/>
      <c r="J52" s="1809">
        <v>1</v>
      </c>
      <c r="K52" s="3084" t="s">
        <v>2208</v>
      </c>
      <c r="L52" s="3084"/>
      <c r="M52" s="1751">
        <f>D48</f>
        <v>0</v>
      </c>
      <c r="N52" s="1809" t="str">
        <f>E48</f>
        <v>销售额×税（费）率</v>
      </c>
      <c r="O52" s="1752" t="str">
        <f>F48</f>
        <v>免征</v>
      </c>
    </row>
    <row r="53" spans="1:35" ht="12" customHeight="1">
      <c r="A53" s="183" t="s">
        <v>2209</v>
      </c>
      <c r="B53" s="3110" t="s">
        <v>2210</v>
      </c>
      <c r="C53" s="3111"/>
      <c r="D53" s="182">
        <f ca="1">ROUND(D45*'数据-取费表'!B41/(1+'数据-取费表'!C42),0)</f>
        <v>4611</v>
      </c>
      <c r="E53" s="11" t="s">
        <v>2207</v>
      </c>
      <c r="F53" s="184">
        <f>'数据-取费表'!B41</f>
        <v>5.6000000000000001E-2</v>
      </c>
      <c r="G53" s="2482"/>
      <c r="H53" s="138"/>
      <c r="I53" s="2480"/>
      <c r="J53" s="1809">
        <v>2</v>
      </c>
      <c r="K53" s="3084" t="s">
        <v>2211</v>
      </c>
      <c r="L53" s="3084"/>
      <c r="M53" s="1751">
        <f t="shared" ref="M53:O54" ca="1" si="0">D55</f>
        <v>43</v>
      </c>
      <c r="N53" s="1809" t="str">
        <f t="shared" si="0"/>
        <v>销售额×税（费）率</v>
      </c>
      <c r="O53" s="1752">
        <f t="shared" si="0"/>
        <v>5.0000000000000001E-4</v>
      </c>
    </row>
    <row r="54" spans="1:35" ht="12" customHeight="1">
      <c r="A54" s="183" t="s">
        <v>2212</v>
      </c>
      <c r="B54" s="3110" t="s">
        <v>2213</v>
      </c>
      <c r="C54" s="3111"/>
      <c r="D54" s="182">
        <f ca="1">C68</f>
        <v>4611</v>
      </c>
      <c r="E54" s="30" t="s">
        <v>2214</v>
      </c>
      <c r="F54" s="184">
        <f>'数据-取费表'!B41</f>
        <v>5.6000000000000001E-2</v>
      </c>
      <c r="G54" s="2482"/>
      <c r="H54" s="2483"/>
      <c r="I54" s="2480"/>
      <c r="J54" s="1809">
        <v>3</v>
      </c>
      <c r="K54" s="3084" t="s">
        <v>2215</v>
      </c>
      <c r="L54" s="3084"/>
      <c r="M54" s="1751">
        <f t="shared" ca="1" si="0"/>
        <v>48934</v>
      </c>
      <c r="N54" s="1809" t="str">
        <f t="shared" si="0"/>
        <v>增值额×税（费）率</v>
      </c>
      <c r="O54" s="1753" t="str">
        <f t="shared" si="0"/>
        <v>——</v>
      </c>
    </row>
    <row r="55" spans="1:35" ht="24" customHeight="1">
      <c r="A55" s="3148" t="s">
        <v>2216</v>
      </c>
      <c r="B55" s="3130"/>
      <c r="C55" s="3130"/>
      <c r="D55" s="185">
        <f ca="1">IF(H55="个人住宅",0,ROUND(D45*I55,0))</f>
        <v>43</v>
      </c>
      <c r="E55" s="11" t="s">
        <v>2217</v>
      </c>
      <c r="F55" s="184">
        <f>IF(H55="正常",I55,"免征")</f>
        <v>5.0000000000000001E-4</v>
      </c>
      <c r="G55" s="2482"/>
      <c r="H55" s="2479" t="s">
        <v>2218</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4.75">
      <c r="A56" s="3148" t="s">
        <v>2219</v>
      </c>
      <c r="B56" s="3130"/>
      <c r="C56" s="3130"/>
      <c r="D56" s="185">
        <f ca="1">IF(H56="个人住宅",D57,D58)</f>
        <v>48934</v>
      </c>
      <c r="E56" s="11" t="s">
        <v>2220</v>
      </c>
      <c r="F56" s="184" t="str">
        <f>IF(H56="正常",F58,"免征")</f>
        <v>——</v>
      </c>
      <c r="G56" s="2484" t="s">
        <v>2221</v>
      </c>
      <c r="H56" s="2485" t="s">
        <v>2218</v>
      </c>
      <c r="I56" s="2486"/>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3" t="s">
        <v>2194</v>
      </c>
      <c r="B57" s="3115" t="s">
        <v>2222</v>
      </c>
      <c r="C57" s="3116"/>
      <c r="D57" s="187">
        <v>0</v>
      </c>
      <c r="E57" s="23" t="s">
        <v>2196</v>
      </c>
      <c r="F57" s="155"/>
      <c r="G57" s="2482"/>
      <c r="H57" s="2486"/>
      <c r="I57" s="2486"/>
      <c r="J57" s="3084">
        <f>IF(AND(J55="",J56=""),4,IF(项目基本情况!K6="上海银行",结果表!J56+1,结果表!J55+1))</f>
        <v>4</v>
      </c>
      <c r="K57" s="3084" t="s">
        <v>2223</v>
      </c>
      <c r="L57" s="2487" t="s">
        <v>2224</v>
      </c>
      <c r="M57" s="1756"/>
      <c r="N57" s="1757">
        <f ca="1">SUMIF(M52:M56,"&lt;9e307")</f>
        <v>48977</v>
      </c>
      <c r="O57" s="2488"/>
      <c r="P57" s="1750">
        <f ca="1">N57/M49</f>
        <v>0.56649625242898116</v>
      </c>
    </row>
    <row r="58" spans="1:35" ht="24.75">
      <c r="A58" s="183" t="s">
        <v>2205</v>
      </c>
      <c r="B58" s="3115" t="s">
        <v>2225</v>
      </c>
      <c r="C58" s="3128"/>
      <c r="D58" s="185">
        <f ca="1">IF(H58="转让取得",C81,C97)</f>
        <v>48934</v>
      </c>
      <c r="E58" s="11" t="s">
        <v>2220</v>
      </c>
      <c r="F58" s="24" t="s">
        <v>34</v>
      </c>
      <c r="G58" s="2482"/>
      <c r="H58" s="2485" t="s">
        <v>2226</v>
      </c>
      <c r="I58" s="2486"/>
      <c r="J58" s="3084"/>
      <c r="K58" s="3084"/>
      <c r="L58" s="2487" t="s">
        <v>2227</v>
      </c>
      <c r="M58" s="1758"/>
      <c r="N58" s="2489" t="str">
        <f ca="1">NUMBERSTRING(INT(N57*10000),2)&amp;"元整"</f>
        <v>肆亿捌仟玖佰柒拾柒万元整</v>
      </c>
      <c r="O58" s="2490"/>
    </row>
    <row r="59" spans="1:35" ht="24.75" thickBot="1">
      <c r="A59" s="3088" t="s">
        <v>2228</v>
      </c>
      <c r="B59" s="3089"/>
      <c r="C59" s="3089"/>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86">
        <f>J57+1</f>
        <v>5</v>
      </c>
      <c r="K59" s="3084" t="s">
        <v>2230</v>
      </c>
      <c r="L59" s="1809" t="s">
        <v>2224</v>
      </c>
      <c r="M59" s="1759"/>
      <c r="N59" s="1760">
        <f ca="1">M49-N57</f>
        <v>37479</v>
      </c>
      <c r="O59" s="2492"/>
    </row>
    <row r="60" spans="1:35" ht="12" customHeight="1">
      <c r="A60" s="2493"/>
      <c r="B60" s="2415"/>
      <c r="C60" s="2415"/>
      <c r="D60" s="2415"/>
      <c r="E60" s="2164"/>
      <c r="F60" s="2486"/>
      <c r="G60" s="2486"/>
      <c r="H60" s="2494"/>
      <c r="I60" s="138"/>
      <c r="J60" s="3087"/>
      <c r="K60" s="3084"/>
      <c r="L60" s="2487" t="s">
        <v>2227</v>
      </c>
      <c r="M60" s="1758"/>
      <c r="N60" s="2489" t="str">
        <f ca="1">NUMBERSTRING(INT(N59*10000),2)&amp;"元整"</f>
        <v>叁亿柒仟肆佰柒拾玖万元整</v>
      </c>
      <c r="O60" s="2490"/>
    </row>
    <row r="61" spans="1:35" ht="13.5" thickBot="1">
      <c r="A61" s="3147" t="s">
        <v>2231</v>
      </c>
      <c r="B61" s="3147"/>
      <c r="C61" s="3147"/>
      <c r="D61" s="3147"/>
      <c r="E61" s="3147"/>
      <c r="F61" s="2486"/>
      <c r="G61" s="2486"/>
      <c r="H61" s="2494"/>
      <c r="I61" s="138"/>
      <c r="J61" s="1809">
        <f>J59+1</f>
        <v>6</v>
      </c>
      <c r="K61" s="3084" t="s">
        <v>2232</v>
      </c>
      <c r="L61" s="3084"/>
      <c r="M61" s="1761"/>
      <c r="N61" s="1762">
        <f ca="1">ROUND(N59*10000/'数据-汇总表'!E3,0)</f>
        <v>4898</v>
      </c>
      <c r="O61" s="2495"/>
    </row>
    <row r="62" spans="1:35" ht="12.75">
      <c r="A62" s="3104" t="s">
        <v>2233</v>
      </c>
      <c r="B62" s="3105"/>
      <c r="C62" s="1801"/>
      <c r="D62" s="1801" t="s">
        <v>2234</v>
      </c>
      <c r="E62" s="192" t="s">
        <v>2235</v>
      </c>
      <c r="F62" s="2486"/>
      <c r="G62" s="2486"/>
      <c r="H62" s="2494"/>
      <c r="I62" s="138"/>
    </row>
    <row r="63" spans="1:35" ht="12.75">
      <c r="A63" s="203" t="s">
        <v>775</v>
      </c>
      <c r="B63" s="193" t="s">
        <v>2236</v>
      </c>
      <c r="C63" s="194">
        <f ca="1">ROUND((C64+C65)/(1+'数据-取费表'!C42),0)</f>
        <v>82339</v>
      </c>
      <c r="D63" s="195"/>
      <c r="E63" s="196"/>
      <c r="F63" s="2486"/>
      <c r="G63" s="2486"/>
      <c r="H63" s="2494"/>
      <c r="I63" s="138"/>
      <c r="J63" s="3069" t="s">
        <v>2237</v>
      </c>
      <c r="K63" s="2496" t="s">
        <v>2238</v>
      </c>
      <c r="L63" s="1749">
        <f ca="1">IF(M49&gt;10000,M49*0.5%,IF(AND(M49&gt;1000,M49&lt;=10000),M49*1%,IF(AND(M49&gt;100,M49&lt;=1000),M49*3%,IF(AND(M49&gt;10,M49&lt;=100),M49*5%,M49*8%))))</f>
        <v>432.28000000000003</v>
      </c>
      <c r="M63" s="24">
        <f ca="1">ROUND(L63,1)</f>
        <v>432.3</v>
      </c>
      <c r="Z63" s="2420"/>
      <c r="AI63" s="2421"/>
    </row>
    <row r="64" spans="1:35" ht="14.25" customHeight="1">
      <c r="A64" s="197" t="s">
        <v>770</v>
      </c>
      <c r="B64" s="198" t="s">
        <v>2239</v>
      </c>
      <c r="C64" s="199">
        <f ca="1">D45</f>
        <v>86456</v>
      </c>
      <c r="D64" s="200" t="s">
        <v>32</v>
      </c>
      <c r="E64" s="201"/>
      <c r="F64" s="2486"/>
      <c r="G64" s="2486"/>
      <c r="H64" s="2494"/>
      <c r="I64" s="138"/>
      <c r="J64" s="3069"/>
      <c r="K64" s="2496" t="s">
        <v>2240</v>
      </c>
      <c r="L64" s="1749">
        <f ca="1">IF(M49&gt;2000,M49*0.5%,IF(AND(M49&gt;1000,M49&lt;=2000),M49*0.6%,IF(AND(M49&gt;500,M49&lt;=1000),M49*0.7%,IF(AND(M49&gt;200,M49&lt;=500),M49*0.8%,IF(AND(M49&gt;100,M49&lt;=200),M49*0.9%,IF(AND(M49&gt;50,M49&lt;=100),M49*1%,IF(AND(M49&gt;20,M49&lt;=50),M49*1.5%,IF(AND(M49&gt;10,M49&lt;=20),M49*2%,IF(AND(M49&gt;1,M49&lt;=10),M49*2.5%)))))))))</f>
        <v>432.28000000000003</v>
      </c>
      <c r="M64" s="24">
        <f t="shared" ref="M64:M65" ca="1" si="1">ROUND(L64,1)</f>
        <v>432.3</v>
      </c>
      <c r="N64" s="138" t="s">
        <v>2241</v>
      </c>
      <c r="Z64" s="2420"/>
      <c r="AI64" s="2421"/>
    </row>
    <row r="65" spans="1:35" ht="14.25" customHeight="1">
      <c r="A65" s="197" t="s">
        <v>771</v>
      </c>
      <c r="B65" s="198" t="s">
        <v>2242</v>
      </c>
      <c r="C65" s="202"/>
      <c r="D65" s="200"/>
      <c r="E65" s="201"/>
      <c r="F65" s="2486"/>
      <c r="G65" s="2486"/>
      <c r="H65" s="2494"/>
      <c r="I65" s="138"/>
      <c r="J65" s="3069"/>
      <c r="K65" s="2496" t="s">
        <v>2243</v>
      </c>
      <c r="L65" s="1749">
        <f ca="1">IF(M49&gt;1000,M49*0.1%,IF(AND(M49&gt;500,M49&lt;=1000),M49*0.5%,IF(AND(M49&gt;50,M49&lt;=500),M49*1%,IF(AND(M49&gt;1,M49&lt;=50),M49*1.5%))))</f>
        <v>86.456000000000003</v>
      </c>
      <c r="M65" s="24">
        <f t="shared" ca="1" si="1"/>
        <v>86.5</v>
      </c>
      <c r="N65" s="138" t="s">
        <v>2241</v>
      </c>
      <c r="Z65" s="2420"/>
      <c r="AI65" s="2421"/>
    </row>
    <row r="66" spans="1:35" ht="14.25" customHeight="1">
      <c r="A66" s="203" t="s">
        <v>772</v>
      </c>
      <c r="B66" s="204" t="s">
        <v>2244</v>
      </c>
      <c r="C66" s="205"/>
      <c r="D66" s="206" t="s">
        <v>32</v>
      </c>
      <c r="E66" s="1773" t="s">
        <v>1367</v>
      </c>
      <c r="F66" s="2486"/>
      <c r="G66" s="2486"/>
      <c r="H66" s="2494"/>
      <c r="I66" s="138"/>
      <c r="J66" s="3069"/>
      <c r="K66" s="2496" t="s">
        <v>2245</v>
      </c>
      <c r="L66" s="1749">
        <f ca="1">M49*0.5%</f>
        <v>432.28000000000003</v>
      </c>
      <c r="M66" s="24">
        <f ca="1">IF(L66&gt;0.5,0.5,ROUND(L66,0))</f>
        <v>0.5</v>
      </c>
      <c r="N66" s="138" t="s">
        <v>2246</v>
      </c>
      <c r="Z66" s="2420"/>
      <c r="AI66" s="2421"/>
    </row>
    <row r="67" spans="1:35" ht="14.25" customHeight="1">
      <c r="A67" s="203" t="s">
        <v>773</v>
      </c>
      <c r="B67" s="204" t="s">
        <v>2247</v>
      </c>
      <c r="C67" s="207">
        <f ca="1">C63-C66</f>
        <v>82339</v>
      </c>
      <c r="D67" s="200" t="s">
        <v>32</v>
      </c>
      <c r="E67" s="201"/>
      <c r="F67" s="2486"/>
      <c r="G67" s="2486"/>
      <c r="H67" s="2494"/>
      <c r="I67" s="138"/>
      <c r="J67" s="3069"/>
      <c r="K67" s="2496" t="s">
        <v>2248</v>
      </c>
      <c r="L67" s="1749">
        <f ca="1">IF(M49&gt;=10000,(8.25+(M49-10000)*0.01%),IF(AND(M49&gt;=8000,M49&lt;10000),(7.85+(M49-8000)*0.02%),IF(AND(M49&gt;=5000,M49&lt;8000),(6.65+(M49-5000)*0.04%),IF(AND(M49&gt;=2000,M49&lt;5000),(4.25+(PM49-2000)*0.08%),IF(AND(M49&gt;=1000,M49&lt;2000),(2.75+(M49-1000)*0.15%),IF(AND(M49&gt;=100,M49&lt;1000),(0.5+(M49-100)*0.25%),IF(AND(M49&gt;0,M49&lt;100),M49*0.5%)))))))</f>
        <v>15.8956</v>
      </c>
      <c r="M67" s="24">
        <f ca="1">ROUND(L67*0.9,1)</f>
        <v>14.3</v>
      </c>
      <c r="Z67" s="2420"/>
      <c r="AI67" s="2421"/>
    </row>
    <row r="68" spans="1:35" ht="14.25" customHeight="1" thickBot="1">
      <c r="A68" s="208" t="s">
        <v>774</v>
      </c>
      <c r="B68" s="209" t="s">
        <v>2249</v>
      </c>
      <c r="C68" s="210">
        <f ca="1">IF(C67&lt;=0,0,ROUND(C67*D68,0))</f>
        <v>4611</v>
      </c>
      <c r="D68" s="211">
        <f>'数据-取费表'!B41</f>
        <v>5.6000000000000001E-2</v>
      </c>
      <c r="E68" s="212"/>
      <c r="F68" s="2486"/>
      <c r="G68" s="2486"/>
      <c r="H68" s="2494"/>
      <c r="I68" s="138"/>
      <c r="J68" s="3069"/>
      <c r="K68" s="2496" t="s">
        <v>2250</v>
      </c>
      <c r="L68" s="1749">
        <f ca="1">IF(M49&gt;10000,M49*0.5%,IF(AND(M49&gt;5000,M49&lt;=10000),M49*1%,IF(AND(M49&gt;1000,M49&lt;=5000),M49*2%,IF(AND(M49&gt;200,M49&lt;=1000),M49*3%,M49*5%))))</f>
        <v>432.28000000000003</v>
      </c>
      <c r="M68" s="24">
        <f ca="1">ROUND(L68,1)</f>
        <v>432.3</v>
      </c>
      <c r="Z68" s="2420"/>
      <c r="AI68" s="2421"/>
    </row>
    <row r="69" spans="1:35" s="2443" customFormat="1" ht="16.5" customHeight="1">
      <c r="A69" s="2497"/>
      <c r="B69" s="2498"/>
      <c r="C69" s="2499"/>
      <c r="D69" s="2500"/>
      <c r="E69" s="2501"/>
      <c r="F69" s="2164"/>
      <c r="G69" s="2164"/>
      <c r="H69" s="2163"/>
      <c r="I69" s="2415"/>
      <c r="J69" s="3069"/>
      <c r="K69" s="2496" t="s">
        <v>2251</v>
      </c>
      <c r="L69" s="2502"/>
      <c r="M69" s="24">
        <f ca="1">ROUND(SUM(M63:M68),0)</f>
        <v>1398</v>
      </c>
      <c r="N69" s="1750">
        <f ca="1">M69/M49</f>
        <v>1.6170074951420376E-2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3" t="s">
        <v>2252</v>
      </c>
      <c r="B70" s="3114"/>
      <c r="C70" s="3114"/>
      <c r="D70" s="3114"/>
      <c r="E70" s="3114"/>
      <c r="F70" s="3114"/>
      <c r="G70" s="3114"/>
      <c r="H70" s="31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4" t="s">
        <v>2233</v>
      </c>
      <c r="B71" s="3105"/>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82339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494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10" t="s">
        <v>2261</v>
      </c>
      <c r="F76" s="3109"/>
      <c r="G76" s="3109"/>
      <c r="H76" s="31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0" t="s">
        <v>2264</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494</v>
      </c>
      <c r="D78" s="226">
        <f>'数据-取费表'!B43</f>
        <v>6.000000000000001E-3</v>
      </c>
      <c r="E78" s="3101" t="s">
        <v>2266</v>
      </c>
      <c r="F78" s="3102"/>
      <c r="G78" s="3102"/>
      <c r="H78" s="310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81845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165.67813765182186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48934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3" t="s">
        <v>2270</v>
      </c>
      <c r="B83" s="3114"/>
      <c r="C83" s="3114"/>
      <c r="D83" s="3114"/>
      <c r="E83" s="3114"/>
      <c r="F83" s="3114"/>
      <c r="G83" s="3114"/>
      <c r="H83" s="31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4" t="s">
        <v>2233</v>
      </c>
      <c r="B84" s="3105"/>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82339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494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7"/>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4.0500000000000001E-2</v>
      </c>
      <c r="E89" s="237" t="s">
        <v>2275</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01" t="s">
        <v>2279</v>
      </c>
      <c r="F91" s="3102"/>
      <c r="G91" s="3102"/>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01" t="s">
        <v>2283</v>
      </c>
      <c r="F92" s="3102"/>
      <c r="G92" s="3102"/>
      <c r="H92" s="310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494</v>
      </c>
      <c r="D93" s="226">
        <f>'数据-取费表'!B43</f>
        <v>6.000000000000001E-3</v>
      </c>
      <c r="E93" s="3101" t="s">
        <v>2266</v>
      </c>
      <c r="F93" s="3102"/>
      <c r="G93" s="3102"/>
      <c r="H93" s="310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49" t="s">
        <v>2287</v>
      </c>
      <c r="F94" s="3150"/>
      <c r="G94" s="3150"/>
      <c r="H94" s="31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81845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165.67813765182186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48934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2288</v>
      </c>
      <c r="B99" s="2415"/>
      <c r="C99" s="2415"/>
      <c r="D99" s="2415"/>
      <c r="E99" s="2164"/>
      <c r="F99" s="2164"/>
      <c r="G99" s="2164"/>
      <c r="H99" s="2163"/>
      <c r="I99" s="138"/>
    </row>
    <row r="100" spans="1:35" ht="18.75" customHeight="1">
      <c r="A100" s="3053" t="s">
        <v>2289</v>
      </c>
      <c r="B100" s="3054"/>
      <c r="C100" s="3054"/>
      <c r="D100" s="3085"/>
      <c r="E100" s="3054" t="s">
        <v>2290</v>
      </c>
      <c r="F100" s="3054"/>
      <c r="G100" s="3054"/>
      <c r="H100" s="3085"/>
      <c r="I100" s="138"/>
    </row>
    <row r="101" spans="1:35" ht="18.75" customHeight="1">
      <c r="A101" s="3093" t="s">
        <v>2291</v>
      </c>
      <c r="B101" s="3094"/>
      <c r="C101" s="736" t="str">
        <f>C4</f>
        <v>成本法</v>
      </c>
      <c r="D101" s="737" t="str">
        <f>D4</f>
        <v>收益法</v>
      </c>
      <c r="E101" s="3065" t="s">
        <v>2292</v>
      </c>
      <c r="F101" s="3066"/>
      <c r="G101" s="2517" t="s">
        <v>2293</v>
      </c>
      <c r="H101" s="1045">
        <f ca="1">H118</f>
        <v>86456</v>
      </c>
      <c r="I101" s="138"/>
    </row>
    <row r="102" spans="1:35" ht="18.75" customHeight="1">
      <c r="A102" s="3095" t="s">
        <v>2294</v>
      </c>
      <c r="B102" s="2517" t="s">
        <v>2293</v>
      </c>
      <c r="C102" s="736">
        <f ca="1">C19</f>
        <v>97348</v>
      </c>
      <c r="D102" s="737">
        <f ca="1">D19</f>
        <v>61041</v>
      </c>
      <c r="E102" s="3065"/>
      <c r="F102" s="3066"/>
      <c r="G102" s="2517" t="s">
        <v>2295</v>
      </c>
      <c r="H102" s="371">
        <f ca="1">I118</f>
        <v>11298</v>
      </c>
      <c r="I102" s="138"/>
    </row>
    <row r="103" spans="1:35" ht="42.75" customHeight="1">
      <c r="A103" s="3095"/>
      <c r="B103" s="2517" t="s">
        <v>2295</v>
      </c>
      <c r="C103" s="738">
        <f ca="1">C20</f>
        <v>12721</v>
      </c>
      <c r="D103" s="739">
        <f ca="1">D20</f>
        <v>10636</v>
      </c>
      <c r="E103" s="3059" t="s">
        <v>2296</v>
      </c>
      <c r="F103" s="3060"/>
      <c r="G103" s="2518" t="s">
        <v>2297</v>
      </c>
      <c r="H103" s="1045">
        <f>IF(D36="正常操作",H104+H105+H106,H105+H106)</f>
        <v>0</v>
      </c>
      <c r="I103" s="138"/>
    </row>
    <row r="104" spans="1:35" ht="18.75" customHeight="1">
      <c r="A104" s="3095" t="s">
        <v>2298</v>
      </c>
      <c r="B104" s="2519" t="s">
        <v>2293</v>
      </c>
      <c r="C104" s="740">
        <f ca="1">H118</f>
        <v>86456</v>
      </c>
      <c r="D104" s="741"/>
      <c r="E104" s="2265" t="s">
        <v>2299</v>
      </c>
      <c r="F104" s="2256"/>
      <c r="G104" s="2518" t="s">
        <v>2297</v>
      </c>
      <c r="H104" s="1046">
        <f>IF(D36="同一抵押权人同一抵押物续贷",C36&amp;"（未扣减，详见特别提示）",C36)</f>
        <v>0</v>
      </c>
      <c r="I104" s="138"/>
    </row>
    <row r="105" spans="1:35" ht="18.75" customHeight="1" thickBot="1">
      <c r="A105" s="3107"/>
      <c r="B105" s="2520" t="s">
        <v>2295</v>
      </c>
      <c r="C105" s="742">
        <f ca="1">I118</f>
        <v>11298</v>
      </c>
      <c r="D105" s="743"/>
      <c r="E105" s="2265" t="s">
        <v>2300</v>
      </c>
      <c r="F105" s="2256"/>
      <c r="G105" s="2518" t="s">
        <v>2297</v>
      </c>
      <c r="H105" s="1046">
        <f>C37</f>
        <v>0</v>
      </c>
      <c r="I105" s="138"/>
    </row>
    <row r="106" spans="1:35" ht="18.75" customHeight="1">
      <c r="A106" s="2415" t="s">
        <v>2301</v>
      </c>
      <c r="B106" s="2415"/>
      <c r="C106" s="2415"/>
      <c r="D106" s="2415"/>
      <c r="E106" s="2521" t="s">
        <v>2302</v>
      </c>
      <c r="F106" s="2256"/>
      <c r="G106" s="2518" t="s">
        <v>2297</v>
      </c>
      <c r="H106" s="1046">
        <f>C38</f>
        <v>0</v>
      </c>
      <c r="I106" s="138"/>
    </row>
    <row r="107" spans="1:35" ht="18.75" customHeight="1">
      <c r="A107" s="138"/>
      <c r="B107" s="138"/>
      <c r="C107" s="138"/>
      <c r="D107" s="138"/>
      <c r="E107" s="3096" t="str">
        <f>IF(项目基本情况!E8="已注销","——","3.房地产抵押价值")</f>
        <v>3.房地产抵押价值</v>
      </c>
      <c r="F107" s="3066"/>
      <c r="G107" s="2517" t="s">
        <v>2293</v>
      </c>
      <c r="H107" s="1045">
        <f ca="1">IF(E107="——","——",H101-H103)</f>
        <v>86456</v>
      </c>
      <c r="I107" s="138"/>
    </row>
    <row r="108" spans="1:35" ht="18.75" customHeight="1">
      <c r="A108" s="138"/>
      <c r="B108" s="138"/>
      <c r="C108" s="138"/>
      <c r="D108" s="138"/>
      <c r="E108" s="3096"/>
      <c r="F108" s="3066"/>
      <c r="G108" s="2517" t="s">
        <v>2295</v>
      </c>
      <c r="H108" s="371">
        <f ca="1">ROUND(H107*10000/'数据-汇总表'!E3,0)</f>
        <v>11298</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7" t="s">
        <v>2293</v>
      </c>
      <c r="H109" s="348" t="str">
        <f>IF(E109="——","——",H101-H105-H106)</f>
        <v>——</v>
      </c>
      <c r="I109" s="138"/>
    </row>
    <row r="110" spans="1:35" ht="18.75" customHeight="1">
      <c r="A110" s="138"/>
      <c r="B110" s="138"/>
      <c r="C110" s="138"/>
      <c r="D110" s="138"/>
      <c r="E110" s="3096"/>
      <c r="F110" s="3066"/>
      <c r="G110" s="2517" t="s">
        <v>2295</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7" t="s">
        <v>2293</v>
      </c>
      <c r="H111" s="1045" t="str">
        <f>IF(E111="——","——",N59)</f>
        <v>——</v>
      </c>
      <c r="I111" s="138"/>
    </row>
    <row r="112" spans="1:35" ht="18.75" customHeight="1" thickBot="1">
      <c r="A112" s="138"/>
      <c r="B112" s="138"/>
      <c r="C112" s="138"/>
      <c r="D112" s="138"/>
      <c r="E112" s="3099"/>
      <c r="F112" s="3100"/>
      <c r="G112" s="2522" t="s">
        <v>2295</v>
      </c>
      <c r="H112" s="790" t="str">
        <f>IF(E111="——","——",N61)</f>
        <v>——</v>
      </c>
      <c r="I112" s="138"/>
    </row>
    <row r="113" spans="1:11" ht="18.75" customHeight="1">
      <c r="A113" s="138"/>
      <c r="B113" s="138"/>
      <c r="C113" s="138"/>
      <c r="D113" s="138"/>
      <c r="E113" s="3108" t="s">
        <v>2301</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2303</v>
      </c>
      <c r="B115" s="3122"/>
      <c r="C115" s="3122"/>
      <c r="D115" s="3122"/>
      <c r="E115" s="3122"/>
      <c r="F115" s="3122"/>
      <c r="G115" s="3122"/>
      <c r="H115" s="3122"/>
      <c r="I115" s="3123"/>
    </row>
    <row r="116" spans="1:11" ht="27" customHeight="1">
      <c r="A116" s="3032" t="s">
        <v>2304</v>
      </c>
      <c r="B116" s="3075" t="s">
        <v>2305</v>
      </c>
      <c r="C116" s="3075" t="s">
        <v>2306</v>
      </c>
      <c r="D116" s="3081" t="s">
        <v>2307</v>
      </c>
      <c r="E116" s="3082"/>
      <c r="F116" s="3117" t="s">
        <v>2308</v>
      </c>
      <c r="G116" s="3117"/>
      <c r="H116" s="3032" t="s">
        <v>2309</v>
      </c>
      <c r="I116" s="3032"/>
    </row>
    <row r="117" spans="1:11" ht="18.75" customHeight="1">
      <c r="A117" s="3032"/>
      <c r="B117" s="3076"/>
      <c r="C117" s="3076"/>
      <c r="D117" s="1795" t="s">
        <v>2310</v>
      </c>
      <c r="E117" s="1795" t="s">
        <v>2311</v>
      </c>
      <c r="F117" s="1795" t="s">
        <v>2310</v>
      </c>
      <c r="G117" s="1795" t="s">
        <v>2312</v>
      </c>
      <c r="H117" s="1795" t="s">
        <v>2310</v>
      </c>
      <c r="I117" s="1795" t="s">
        <v>2312</v>
      </c>
    </row>
    <row r="118" spans="1:11" ht="24.75" customHeight="1">
      <c r="A118" s="2523" t="str">
        <f>项目基本情况!S2</f>
        <v>山东省青岛市黄岛区开发区汉江路3号万达广场全幢、地下房地产</v>
      </c>
      <c r="B118" s="1795">
        <f>M18</f>
        <v>76522.880000000005</v>
      </c>
      <c r="C118" s="1795">
        <f>M19</f>
        <v>0</v>
      </c>
      <c r="D118" s="1795">
        <f ca="1">ROUND(IF(D32="总价",C34,E118*B118/10000),0)</f>
        <v>27579</v>
      </c>
      <c r="E118" s="1795">
        <f ca="1">ROUND(IF(C33="自定义",IF(D32="楼面单价",C34,D118*10000/B118),I118-G118),0)</f>
        <v>3604</v>
      </c>
      <c r="F118" s="1795">
        <f ca="1">ROUND(IF(D32="总价",C35,G118*B118/10000),0)</f>
        <v>58877</v>
      </c>
      <c r="G118" s="1795">
        <f ca="1">ROUND(IF(D32="楼面单价",C35,F118*10000/B118),0)</f>
        <v>7694</v>
      </c>
      <c r="H118" s="1795">
        <f ca="1">ROUND(IF(D32="总价",C32,I118*B118/10000),0)</f>
        <v>86456</v>
      </c>
      <c r="I118" s="1795">
        <f ca="1">ROUND(IF(D32="楼面单价",C32,H118*10000/B118),0)</f>
        <v>11298</v>
      </c>
    </row>
    <row r="119" spans="1:11" ht="18.75" customHeight="1">
      <c r="A119" s="3032" t="s">
        <v>2313</v>
      </c>
      <c r="B119" s="3032"/>
      <c r="C119" s="3032"/>
      <c r="D119" s="3077" t="str">
        <f ca="1">NUMBERSTRING(INT(D118*10000),2)&amp;"元整"</f>
        <v>贰亿柒仟伍佰柒拾玖万元整</v>
      </c>
      <c r="E119" s="3078"/>
      <c r="F119" s="3077" t="str">
        <f ca="1">NUMBERSTRING(INT(F118*10000),2)&amp;"元整"</f>
        <v>伍亿捌仟捌佰柒拾柒万元整</v>
      </c>
      <c r="G119" s="3078"/>
      <c r="H119" s="3077" t="str">
        <f ca="1">NUMBERSTRING(INT(H118*10000),2)&amp;"元整"</f>
        <v>捌亿陆仟肆佰伍拾陆万元整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0" t="str">
        <f>IF(D120=0,"故，本次评估不存在"&amp;A120,"故，本次评估"&amp;A120&amp;"为人民币"&amp;D120&amp;"万元整。")</f>
        <v>故，本次评估不存在估价师知悉的法定优先受偿款</v>
      </c>
    </row>
    <row r="121" spans="1:11" ht="18.75" customHeight="1">
      <c r="A121" s="3118" t="s">
        <v>2313</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86456</v>
      </c>
      <c r="E122" s="3073"/>
      <c r="F122" s="3073"/>
      <c r="G122" s="3073"/>
      <c r="H122" s="3073"/>
      <c r="I122" s="3074"/>
    </row>
    <row r="123" spans="1:11" ht="18.75" customHeight="1">
      <c r="A123" s="3032" t="s">
        <v>2313</v>
      </c>
      <c r="B123" s="3032"/>
      <c r="C123" s="3032"/>
      <c r="D123" s="3077" t="str">
        <f ca="1">NUMBERSTRING(INT(D122*10000),2)&amp;"元整"</f>
        <v>捌亿陆仟肆佰伍拾陆万元整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2313</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2313</v>
      </c>
      <c r="B127" s="3032"/>
      <c r="C127" s="3032"/>
      <c r="D127" s="3077" t="e">
        <f>NUMBERSTRING(INT(D126*10000),2)&amp;"元整"</f>
        <v>#VALUE!</v>
      </c>
      <c r="E127" s="3079"/>
      <c r="F127" s="3079"/>
      <c r="G127" s="3079"/>
      <c r="H127" s="3079"/>
      <c r="I127" s="3078"/>
    </row>
    <row r="128" spans="1:11" ht="21.75" customHeight="1">
      <c r="A128" s="3080" t="s">
        <v>2314</v>
      </c>
      <c r="B128" s="3080"/>
      <c r="C128" s="3080"/>
      <c r="D128" s="3080"/>
      <c r="E128" s="3080"/>
      <c r="F128" s="3080"/>
      <c r="G128" s="3080"/>
      <c r="H128" s="3080"/>
      <c r="I128" s="3080"/>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山东省青岛市黄岛区开发区汉江路3号万达广场全幢、地下房地产抵押价值预评估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C25" sqref="C25"/>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6.125" style="403" customWidth="1"/>
    <col min="6" max="6" width="12.25" style="403" customWidth="1"/>
    <col min="7" max="7" width="17.75" style="403" customWidth="1"/>
    <col min="8" max="8" width="12.25" style="403" customWidth="1"/>
    <col min="9" max="9" width="17.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15691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2050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53" t="s">
        <v>2644</v>
      </c>
      <c r="AC4" s="3152" t="s">
        <v>2645</v>
      </c>
    </row>
    <row r="5" spans="1:30" ht="15">
      <c r="A5" s="404"/>
      <c r="B5" s="405"/>
      <c r="C5" s="3163" t="s">
        <v>3399</v>
      </c>
      <c r="D5" s="3164"/>
      <c r="E5" s="3161" t="str">
        <f>土地案例!$A$5</f>
        <v>黄岛区月牙河路北、蓝海湾路西</v>
      </c>
      <c r="F5" s="3162"/>
      <c r="G5" s="3167" t="str">
        <f>土地案例!$A$7</f>
        <v>黄岛区前湾港路北、创智路东</v>
      </c>
      <c r="H5" s="3164"/>
      <c r="I5" s="3167" t="str">
        <f>土地案例!$A$17</f>
        <v>黄岛区团结路南侧、山东省青岛市第九中学(新校区)西侧</v>
      </c>
      <c r="J5" s="3164"/>
      <c r="K5" s="610"/>
      <c r="L5" s="1130"/>
      <c r="M5" s="1131"/>
      <c r="N5" s="1131"/>
      <c r="O5" s="1131"/>
      <c r="P5" s="3175"/>
      <c r="Q5" s="3176"/>
      <c r="R5" s="3159"/>
      <c r="S5" s="3160"/>
      <c r="T5" s="3159"/>
      <c r="U5" s="3160"/>
      <c r="V5" s="3181"/>
      <c r="W5" s="3181"/>
      <c r="X5" s="1813"/>
      <c r="Y5" s="3159"/>
      <c r="Z5" s="3160"/>
      <c r="AA5" s="3153"/>
      <c r="AB5" s="3153"/>
      <c r="AC5" s="3153"/>
    </row>
    <row r="6" spans="1:30" ht="15.75" thickBot="1">
      <c r="A6" s="406"/>
      <c r="B6" s="407"/>
      <c r="C6" s="3165" t="s">
        <v>3400</v>
      </c>
      <c r="D6" s="3166"/>
      <c r="E6" s="3165" t="s">
        <v>3400</v>
      </c>
      <c r="F6" s="3166"/>
      <c r="G6" s="3165" t="s">
        <v>3400</v>
      </c>
      <c r="H6" s="3166"/>
      <c r="I6" s="3165" t="s">
        <v>3400</v>
      </c>
      <c r="J6" s="3166"/>
      <c r="K6" s="610" t="s">
        <v>2543</v>
      </c>
      <c r="L6" s="1130"/>
      <c r="M6" s="1131"/>
      <c r="N6" s="1131"/>
      <c r="O6" s="1131"/>
      <c r="P6" s="3177"/>
      <c r="Q6" s="3178"/>
      <c r="R6" s="3159"/>
      <c r="S6" s="3160"/>
      <c r="T6" s="3179"/>
      <c r="U6" s="3180"/>
      <c r="V6" s="3181"/>
      <c r="W6" s="3181"/>
      <c r="X6" s="1813"/>
      <c r="Y6" s="3179"/>
      <c r="Z6" s="3180"/>
      <c r="AA6" s="3154"/>
      <c r="AB6" s="3154"/>
      <c r="AC6" s="3154"/>
    </row>
    <row r="7" spans="1:30" s="117" customFormat="1" ht="15.75" thickBot="1">
      <c r="A7" s="408" t="s">
        <v>2544</v>
      </c>
      <c r="B7" s="409"/>
      <c r="C7" s="410">
        <f>'数据-取费表'!B2</f>
        <v>43692</v>
      </c>
      <c r="D7" s="411">
        <v>100</v>
      </c>
      <c r="E7" s="412" t="str">
        <f>土地案例!$AA$5</f>
        <v>2019-06-13</v>
      </c>
      <c r="F7" s="413">
        <f>SUMIF(70:70,YEAR(E7)&amp;"-"&amp;INT((MONTH(E7)+2)/3),71:71)</f>
        <v>98</v>
      </c>
      <c r="G7" s="2695" t="str">
        <f>土地案例!$AA$7</f>
        <v>2019-05-07</v>
      </c>
      <c r="H7" s="411">
        <f>SUMIF(70:70,YEAR(G7)&amp;"-"&amp;INT((MONTH(G7)+2)/3),71:71)</f>
        <v>98</v>
      </c>
      <c r="I7" s="2695" t="str">
        <f>土地案例!$AA$17</f>
        <v>2018-11-21</v>
      </c>
      <c r="J7" s="411">
        <f>SUMIF(70:70,YEAR(I7)&amp;"-"&amp;INT((MONTH(I7)+2)/3),71:71)</f>
        <v>96</v>
      </c>
      <c r="K7" s="611"/>
      <c r="L7" s="1132"/>
      <c r="M7" s="1133"/>
      <c r="N7" s="1133"/>
      <c r="O7" s="1133"/>
      <c r="P7" s="3155" t="s">
        <v>2545</v>
      </c>
      <c r="Q7" s="3182"/>
      <c r="R7" s="770" t="s">
        <v>17</v>
      </c>
      <c r="S7" s="771">
        <f t="shared" ref="S7:S15" si="0">F7</f>
        <v>98</v>
      </c>
      <c r="T7" s="770" t="s">
        <v>17</v>
      </c>
      <c r="U7" s="771">
        <f t="shared" ref="U7:U15" si="1">H7</f>
        <v>98</v>
      </c>
      <c r="V7" s="770" t="s">
        <v>17</v>
      </c>
      <c r="W7" s="771">
        <f t="shared" ref="W7:W15" si="2">J7</f>
        <v>96</v>
      </c>
      <c r="X7" s="772"/>
      <c r="Y7" s="3155" t="s">
        <v>2545</v>
      </c>
      <c r="Z7" s="3156"/>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155" t="s">
        <v>2548</v>
      </c>
      <c r="Q8" s="3156"/>
      <c r="R8" s="770" t="s">
        <v>17</v>
      </c>
      <c r="S8" s="771">
        <f t="shared" si="0"/>
        <v>100</v>
      </c>
      <c r="T8" s="770" t="s">
        <v>17</v>
      </c>
      <c r="U8" s="771">
        <f t="shared" si="1"/>
        <v>100</v>
      </c>
      <c r="V8" s="770" t="s">
        <v>17</v>
      </c>
      <c r="W8" s="771">
        <f t="shared" si="2"/>
        <v>100</v>
      </c>
      <c r="X8" s="772"/>
      <c r="Y8" s="3155" t="s">
        <v>2548</v>
      </c>
      <c r="Z8" s="3156"/>
      <c r="AA8" s="773">
        <f t="shared" ref="AA8:AA45" si="3">D8/F8</f>
        <v>1</v>
      </c>
      <c r="AB8" s="773">
        <f t="shared" ref="AB8:AB45" si="4">D8/H8</f>
        <v>1</v>
      </c>
      <c r="AC8" s="773">
        <f t="shared" ref="AC8:AC45" si="5">D8/J8</f>
        <v>1</v>
      </c>
    </row>
    <row r="9" spans="1:30" s="117" customFormat="1">
      <c r="A9" s="415" t="s">
        <v>2549</v>
      </c>
      <c r="B9" s="71" t="s">
        <v>2550</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2"/>
      <c r="M9" s="1133"/>
      <c r="N9" s="1133"/>
      <c r="O9" s="1134"/>
      <c r="P9" s="3168"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168"/>
      <c r="Q10" s="1795" t="str">
        <f t="shared" si="6"/>
        <v>土地使用年限（年）</v>
      </c>
      <c r="R10" s="770" t="s">
        <v>17</v>
      </c>
      <c r="S10" s="771">
        <f t="shared" si="0"/>
        <v>106</v>
      </c>
      <c r="T10" s="770" t="s">
        <v>17</v>
      </c>
      <c r="U10" s="771">
        <f t="shared" si="1"/>
        <v>106</v>
      </c>
      <c r="V10" s="770" t="s">
        <v>17</v>
      </c>
      <c r="W10" s="771">
        <f t="shared" si="2"/>
        <v>106</v>
      </c>
      <c r="X10" s="772"/>
      <c r="Y10" s="3032"/>
      <c r="Z10" s="55" t="str">
        <f t="shared" si="7"/>
        <v>土地使用年限（年）</v>
      </c>
      <c r="AA10" s="773">
        <f t="shared" si="3"/>
        <v>0.94339622641509435</v>
      </c>
      <c r="AB10" s="773">
        <f t="shared" si="4"/>
        <v>0.94339622641509435</v>
      </c>
      <c r="AC10" s="773">
        <f t="shared" si="5"/>
        <v>0.94339622641509435</v>
      </c>
    </row>
    <row r="11" spans="1:30" ht="15" hidden="1">
      <c r="A11" s="428"/>
      <c r="B11" s="422" t="s">
        <v>2554</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v>2</v>
      </c>
      <c r="L11" s="1138"/>
      <c r="M11" s="1131"/>
      <c r="N11" s="1131"/>
      <c r="O11" s="1139"/>
      <c r="P11" s="3168"/>
      <c r="Q11" s="1795"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8"/>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8"/>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8"/>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15" hidden="1">
      <c r="A15" s="440" t="s">
        <v>2555</v>
      </c>
      <c r="B15" s="69" t="s">
        <v>2084</v>
      </c>
      <c r="C15" s="2602" t="str">
        <f>估价对象房地状况!C15</f>
        <v xml:space="preserve"> </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2556</v>
      </c>
      <c r="Q15" s="1810" t="str">
        <f t="shared" si="6"/>
        <v>居住社区成熟度</v>
      </c>
      <c r="R15" s="774" t="s">
        <v>17</v>
      </c>
      <c r="S15" s="775">
        <f t="shared" si="0"/>
        <v>100</v>
      </c>
      <c r="T15" s="774" t="s">
        <v>17</v>
      </c>
      <c r="U15" s="775">
        <f t="shared" si="1"/>
        <v>100</v>
      </c>
      <c r="V15" s="774" t="s">
        <v>17</v>
      </c>
      <c r="W15" s="775">
        <f t="shared" si="2"/>
        <v>100</v>
      </c>
      <c r="X15" s="1813"/>
      <c r="Y15" s="3183" t="s">
        <v>2556</v>
      </c>
      <c r="Z15" s="1814" t="str">
        <f t="shared" si="7"/>
        <v>居住社区成熟度</v>
      </c>
      <c r="AA15" s="1811">
        <f t="shared" si="3"/>
        <v>1</v>
      </c>
      <c r="AB15" s="1811">
        <f t="shared" si="4"/>
        <v>1</v>
      </c>
      <c r="AC15" s="1811">
        <f t="shared" si="5"/>
        <v>1</v>
      </c>
    </row>
    <row r="16" spans="1:30" ht="15" hidden="1">
      <c r="A16" s="428"/>
      <c r="B16" s="446"/>
      <c r="C16" s="447"/>
      <c r="D16" s="448"/>
      <c r="E16" s="2604"/>
      <c r="F16" s="448"/>
      <c r="G16" s="2604"/>
      <c r="H16" s="450"/>
      <c r="I16" s="2603"/>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15">
      <c r="A17" s="428"/>
      <c r="B17" s="451" t="s">
        <v>2649</v>
      </c>
      <c r="C17" s="2663" t="str">
        <f>估价对象房地状况!C16</f>
        <v>一般</v>
      </c>
      <c r="D17" s="450">
        <v>100</v>
      </c>
      <c r="E17" s="452"/>
      <c r="F17" s="450">
        <f>SUMIF(90:90,E18,91:91)-SUMIF(90:90,C18,91:91)+100</f>
        <v>105</v>
      </c>
      <c r="G17" s="452"/>
      <c r="H17" s="455">
        <f>SUMIF(90:90,G18,91:91)-SUMIF(90:90,C18,91:91)+100</f>
        <v>105</v>
      </c>
      <c r="I17" s="454"/>
      <c r="J17" s="455">
        <f>SUMIF(90:90,I18,91:91)-SUMIF(90:90,C18,91:91)+100</f>
        <v>105</v>
      </c>
      <c r="K17" s="673">
        <v>5</v>
      </c>
      <c r="L17" s="1140"/>
      <c r="M17" s="1131"/>
      <c r="N17" s="1131"/>
      <c r="O17" s="1139"/>
      <c r="P17" s="3184"/>
      <c r="Q17" s="1810" t="str">
        <f>B17</f>
        <v>商业繁华度</v>
      </c>
      <c r="R17" s="774" t="s">
        <v>17</v>
      </c>
      <c r="S17" s="775">
        <f>F17</f>
        <v>105</v>
      </c>
      <c r="T17" s="774" t="s">
        <v>17</v>
      </c>
      <c r="U17" s="775">
        <f>H17</f>
        <v>105</v>
      </c>
      <c r="V17" s="774" t="s">
        <v>17</v>
      </c>
      <c r="W17" s="775">
        <f>J17</f>
        <v>105</v>
      </c>
      <c r="X17" s="1813"/>
      <c r="Y17" s="3184"/>
      <c r="Z17" s="1814" t="str">
        <f>Q17</f>
        <v>商业繁华度</v>
      </c>
      <c r="AA17" s="1811">
        <f t="shared" si="3"/>
        <v>0.95238095238095233</v>
      </c>
      <c r="AB17" s="1811">
        <f t="shared" si="4"/>
        <v>0.95238095238095233</v>
      </c>
      <c r="AC17" s="1811">
        <f t="shared" si="5"/>
        <v>0.95238095238095233</v>
      </c>
    </row>
    <row r="18" spans="1:29" ht="15">
      <c r="A18" s="428"/>
      <c r="B18" s="456"/>
      <c r="C18" s="2607" t="s">
        <v>3401</v>
      </c>
      <c r="D18" s="450"/>
      <c r="E18" s="2607" t="s">
        <v>3402</v>
      </c>
      <c r="F18" s="450"/>
      <c r="G18" s="2607" t="s">
        <v>3402</v>
      </c>
      <c r="H18" s="448"/>
      <c r="I18" s="2607" t="s">
        <v>3402</v>
      </c>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15" hidden="1">
      <c r="A19" s="428"/>
      <c r="B19" s="451" t="s">
        <v>2683</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10" t="str">
        <f>B19</f>
        <v>办公集聚程度</v>
      </c>
      <c r="R19" s="774" t="s">
        <v>17</v>
      </c>
      <c r="S19" s="775">
        <f>F19</f>
        <v>100</v>
      </c>
      <c r="T19" s="774" t="s">
        <v>17</v>
      </c>
      <c r="U19" s="775">
        <f>H19</f>
        <v>100</v>
      </c>
      <c r="V19" s="774" t="s">
        <v>17</v>
      </c>
      <c r="W19" s="775">
        <f>J19</f>
        <v>100</v>
      </c>
      <c r="X19" s="1813"/>
      <c r="Y19" s="3184"/>
      <c r="Z19" s="1814" t="str">
        <f>Q19</f>
        <v>办公集聚程度</v>
      </c>
      <c r="AA19" s="1811">
        <f t="shared" si="3"/>
        <v>1</v>
      </c>
      <c r="AB19" s="1811">
        <f t="shared" si="4"/>
        <v>1</v>
      </c>
      <c r="AC19" s="1811">
        <f t="shared" si="5"/>
        <v>1</v>
      </c>
    </row>
    <row r="20" spans="1:29" ht="15" hidden="1">
      <c r="A20" s="428"/>
      <c r="B20" s="456"/>
      <c r="C20" s="447"/>
      <c r="D20" s="448"/>
      <c r="E20" s="2604"/>
      <c r="F20" s="448"/>
      <c r="G20" s="2604"/>
      <c r="H20" s="448"/>
      <c r="I20" s="2603"/>
      <c r="J20" s="448"/>
      <c r="K20" s="672"/>
      <c r="L20" s="1140"/>
      <c r="M20" s="1131"/>
      <c r="N20" s="1131"/>
      <c r="O20" s="1139"/>
      <c r="P20" s="3184"/>
      <c r="Q20" s="1810"/>
      <c r="R20" s="774"/>
      <c r="S20" s="775"/>
      <c r="T20" s="774"/>
      <c r="U20" s="775"/>
      <c r="V20" s="774"/>
      <c r="W20" s="775"/>
      <c r="X20" s="1813"/>
      <c r="Y20" s="3184"/>
      <c r="Z20" s="1814"/>
      <c r="AA20" s="1811">
        <v>1</v>
      </c>
      <c r="AB20" s="1811">
        <v>1</v>
      </c>
      <c r="AC20" s="1811">
        <v>1</v>
      </c>
    </row>
    <row r="21" spans="1:29" ht="15">
      <c r="A21" s="428"/>
      <c r="B21" s="451" t="s">
        <v>2705</v>
      </c>
      <c r="C21" s="2606" t="str">
        <f>估价对象房地状况!C18</f>
        <v>一般</v>
      </c>
      <c r="D21" s="450">
        <v>100</v>
      </c>
      <c r="E21" s="452"/>
      <c r="F21" s="455">
        <f>SUMIF(94:94,E22,95:95)-SUMIF(94:94,C22,95:95)+100</f>
        <v>105</v>
      </c>
      <c r="G21" s="452"/>
      <c r="H21" s="450">
        <f>SUMIF(94:94,G22,95:95)-SUMIF(94:94,C22,95:95)+100</f>
        <v>105</v>
      </c>
      <c r="I21" s="454"/>
      <c r="J21" s="450">
        <f>SUMIF(94:94,I22,95:95)-SUMIF(94:94,C22,95:95)+100</f>
        <v>100</v>
      </c>
      <c r="K21" s="673">
        <v>5</v>
      </c>
      <c r="L21" s="1140"/>
      <c r="M21" s="1131"/>
      <c r="N21" s="1131"/>
      <c r="O21" s="1139"/>
      <c r="P21" s="3184"/>
      <c r="Q21" s="1810" t="str">
        <f>B21</f>
        <v>交通便捷度</v>
      </c>
      <c r="R21" s="774" t="s">
        <v>17</v>
      </c>
      <c r="S21" s="775">
        <f>F21</f>
        <v>105</v>
      </c>
      <c r="T21" s="774" t="s">
        <v>17</v>
      </c>
      <c r="U21" s="775">
        <f>H21</f>
        <v>105</v>
      </c>
      <c r="V21" s="774" t="s">
        <v>17</v>
      </c>
      <c r="W21" s="775">
        <f>J21</f>
        <v>100</v>
      </c>
      <c r="X21" s="1813"/>
      <c r="Y21" s="3184"/>
      <c r="Z21" s="1814" t="str">
        <f>Q21</f>
        <v>交通便捷度</v>
      </c>
      <c r="AA21" s="1811">
        <f t="shared" si="3"/>
        <v>0.95238095238095233</v>
      </c>
      <c r="AB21" s="1811">
        <f t="shared" si="4"/>
        <v>0.95238095238095233</v>
      </c>
      <c r="AC21" s="1811">
        <f t="shared" si="5"/>
        <v>1</v>
      </c>
    </row>
    <row r="22" spans="1:29" ht="15">
      <c r="A22" s="428"/>
      <c r="B22" s="1384"/>
      <c r="C22" s="447" t="s">
        <v>3401</v>
      </c>
      <c r="D22" s="450"/>
      <c r="E22" s="447" t="s">
        <v>3402</v>
      </c>
      <c r="F22" s="448"/>
      <c r="G22" s="447" t="s">
        <v>3402</v>
      </c>
      <c r="H22" s="448"/>
      <c r="I22" s="2604" t="s">
        <v>3401</v>
      </c>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4"/>
      <c r="Q23" s="1810" t="str">
        <f t="shared" ref="Q23:Q37" si="8">B23</f>
        <v>区域土地利用方向</v>
      </c>
      <c r="R23" s="774" t="s">
        <v>17</v>
      </c>
      <c r="S23" s="775">
        <f>F23</f>
        <v>100</v>
      </c>
      <c r="T23" s="774" t="s">
        <v>17</v>
      </c>
      <c r="U23" s="775">
        <f>H23</f>
        <v>100</v>
      </c>
      <c r="V23" s="774" t="s">
        <v>17</v>
      </c>
      <c r="W23" s="775">
        <f>J23</f>
        <v>100</v>
      </c>
      <c r="X23" s="1813"/>
      <c r="Y23" s="3184"/>
      <c r="Z23" s="1814" t="str">
        <f>Q23</f>
        <v>区域土地利用方向</v>
      </c>
      <c r="AA23" s="1811">
        <f t="shared" si="3"/>
        <v>1</v>
      </c>
      <c r="AB23" s="1811">
        <f t="shared" si="4"/>
        <v>1</v>
      </c>
      <c r="AC23" s="1811">
        <f t="shared" si="5"/>
        <v>1</v>
      </c>
    </row>
    <row r="24" spans="1:29" ht="15">
      <c r="A24" s="404"/>
      <c r="B24" s="456"/>
      <c r="C24" s="616" t="s">
        <v>3402</v>
      </c>
      <c r="D24" s="448"/>
      <c r="E24" s="616" t="s">
        <v>3402</v>
      </c>
      <c r="F24" s="448"/>
      <c r="G24" s="616" t="s">
        <v>3402</v>
      </c>
      <c r="H24" s="448"/>
      <c r="I24" s="616" t="s">
        <v>3402</v>
      </c>
      <c r="J24" s="448"/>
      <c r="K24" s="812"/>
      <c r="L24" s="1140"/>
      <c r="M24" s="1131"/>
      <c r="N24" s="1131"/>
      <c r="O24" s="1139"/>
      <c r="P24" s="3184"/>
      <c r="Q24" s="1810"/>
      <c r="R24" s="774"/>
      <c r="S24" s="775"/>
      <c r="T24" s="774"/>
      <c r="U24" s="775"/>
      <c r="V24" s="774"/>
      <c r="W24" s="775"/>
      <c r="X24" s="1813"/>
      <c r="Y24" s="3184"/>
      <c r="Z24" s="1814"/>
      <c r="AA24" s="1811"/>
      <c r="AB24" s="1811"/>
      <c r="AC24" s="1811"/>
    </row>
    <row r="25" spans="1:29" ht="27">
      <c r="A25" s="404"/>
      <c r="B25" s="1384" t="s">
        <v>2745</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95</v>
      </c>
      <c r="K25" s="673">
        <v>5</v>
      </c>
      <c r="L25" s="1140"/>
      <c r="M25" s="1131"/>
      <c r="N25" s="1131"/>
      <c r="O25" s="1139"/>
      <c r="P25" s="3184"/>
      <c r="Q25" s="1810" t="str">
        <f t="shared" si="8"/>
        <v>自然及人文环境状况</v>
      </c>
      <c r="R25" s="774" t="s">
        <v>17</v>
      </c>
      <c r="S25" s="775">
        <f>F25</f>
        <v>100</v>
      </c>
      <c r="T25" s="774" t="s">
        <v>17</v>
      </c>
      <c r="U25" s="775">
        <f>H25</f>
        <v>100</v>
      </c>
      <c r="V25" s="774" t="s">
        <v>17</v>
      </c>
      <c r="W25" s="775">
        <f>J25</f>
        <v>95</v>
      </c>
      <c r="X25" s="1813"/>
      <c r="Y25" s="3184"/>
      <c r="Z25" s="1814" t="str">
        <f>Q25</f>
        <v>自然及人文环境状况</v>
      </c>
      <c r="AA25" s="1811">
        <f t="shared" si="3"/>
        <v>1</v>
      </c>
      <c r="AB25" s="1811">
        <f t="shared" si="4"/>
        <v>1</v>
      </c>
      <c r="AC25" s="1811">
        <f t="shared" si="5"/>
        <v>1.0526315789473684</v>
      </c>
    </row>
    <row r="26" spans="1:29" ht="15">
      <c r="A26" s="404"/>
      <c r="B26" s="456"/>
      <c r="C26" s="447" t="s">
        <v>3402</v>
      </c>
      <c r="D26" s="448"/>
      <c r="E26" s="447" t="s">
        <v>3402</v>
      </c>
      <c r="F26" s="448"/>
      <c r="G26" s="447" t="s">
        <v>3402</v>
      </c>
      <c r="H26" s="448"/>
      <c r="I26" s="2699" t="s">
        <v>3401</v>
      </c>
      <c r="J26" s="448"/>
      <c r="K26" s="672"/>
      <c r="L26" s="1140"/>
      <c r="M26" s="1131"/>
      <c r="N26" s="1131"/>
      <c r="O26" s="1139"/>
      <c r="P26" s="3184"/>
      <c r="Q26" s="1810"/>
      <c r="R26" s="774"/>
      <c r="S26" s="775"/>
      <c r="T26" s="774"/>
      <c r="U26" s="775"/>
      <c r="V26" s="774"/>
      <c r="W26" s="775"/>
      <c r="X26" s="1813"/>
      <c r="Y26" s="3184"/>
      <c r="Z26" s="1814"/>
      <c r="AA26" s="1811">
        <v>1</v>
      </c>
      <c r="AB26" s="1811">
        <v>1</v>
      </c>
      <c r="AC26" s="1811">
        <v>1</v>
      </c>
    </row>
    <row r="27" spans="1:29" s="117" customFormat="1" ht="15">
      <c r="A27" s="649"/>
      <c r="B27" s="1384" t="s">
        <v>2650</v>
      </c>
      <c r="C27" s="2606" t="str">
        <f>估价对象房地状况!C21</f>
        <v>一般</v>
      </c>
      <c r="D27" s="450">
        <v>100</v>
      </c>
      <c r="E27" s="452"/>
      <c r="F27" s="450">
        <f>SUMIF(100:100,E28,101:101)-SUMIF(100:100,C28,101:101)+100</f>
        <v>105</v>
      </c>
      <c r="G27" s="452"/>
      <c r="H27" s="450">
        <f>SUMIF(100:100,G28,101:101)-SUMIF(100:100,C28,101:101)+100</f>
        <v>105</v>
      </c>
      <c r="I27" s="454"/>
      <c r="J27" s="450">
        <f>SUMIF(100:100,I28,101:101)-SUMIF(100:100,C28,101:101)+100</f>
        <v>105</v>
      </c>
      <c r="K27" s="673">
        <v>5</v>
      </c>
      <c r="L27" s="1132"/>
      <c r="M27" s="1133"/>
      <c r="N27" s="1133"/>
      <c r="O27" s="1134"/>
      <c r="P27" s="3184"/>
      <c r="Q27" s="1795" t="str">
        <f t="shared" si="8"/>
        <v>公共配套设施</v>
      </c>
      <c r="R27" s="770" t="s">
        <v>17</v>
      </c>
      <c r="S27" s="771">
        <f>F27</f>
        <v>105</v>
      </c>
      <c r="T27" s="770" t="s">
        <v>17</v>
      </c>
      <c r="U27" s="771">
        <f>H27</f>
        <v>105</v>
      </c>
      <c r="V27" s="770" t="s">
        <v>17</v>
      </c>
      <c r="W27" s="771">
        <f>J27</f>
        <v>105</v>
      </c>
      <c r="X27" s="772"/>
      <c r="Y27" s="3184"/>
      <c r="Z27" s="55" t="str">
        <f>Q27</f>
        <v>公共配套设施</v>
      </c>
      <c r="AA27" s="1811">
        <f>D27/F27</f>
        <v>0.95238095238095233</v>
      </c>
      <c r="AB27" s="1811">
        <f>D27/H27</f>
        <v>0.95238095238095233</v>
      </c>
      <c r="AC27" s="1811">
        <f>D27/J27</f>
        <v>0.95238095238095233</v>
      </c>
    </row>
    <row r="28" spans="1:29" s="117" customFormat="1" ht="15">
      <c r="A28" s="649"/>
      <c r="B28" s="456"/>
      <c r="C28" s="616" t="s">
        <v>3401</v>
      </c>
      <c r="D28" s="448"/>
      <c r="E28" s="616" t="s">
        <v>3402</v>
      </c>
      <c r="F28" s="448"/>
      <c r="G28" s="616" t="s">
        <v>3402</v>
      </c>
      <c r="H28" s="448"/>
      <c r="I28" s="616" t="s">
        <v>3402</v>
      </c>
      <c r="J28" s="448"/>
      <c r="K28" s="672"/>
      <c r="L28" s="1132"/>
      <c r="M28" s="1133"/>
      <c r="N28" s="1133"/>
      <c r="O28" s="1134"/>
      <c r="P28" s="3184"/>
      <c r="Q28" s="1795"/>
      <c r="R28" s="770"/>
      <c r="S28" s="771"/>
      <c r="T28" s="770"/>
      <c r="U28" s="771"/>
      <c r="V28" s="770"/>
      <c r="W28" s="771"/>
      <c r="X28" s="772"/>
      <c r="Y28" s="3184"/>
      <c r="Z28" s="55"/>
      <c r="AA28" s="1811">
        <v>1</v>
      </c>
      <c r="AB28" s="1811">
        <v>1</v>
      </c>
      <c r="AC28" s="1811">
        <v>1</v>
      </c>
    </row>
    <row r="29" spans="1:29" s="117" customFormat="1" ht="15">
      <c r="A29" s="649"/>
      <c r="B29" s="1384" t="s">
        <v>2651</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84"/>
      <c r="Q29" s="1795"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1">
        <f>D29/F29</f>
        <v>1</v>
      </c>
      <c r="AB29" s="1811">
        <f>D29/H29</f>
        <v>1</v>
      </c>
      <c r="AC29" s="1811">
        <f>D29/J29</f>
        <v>1</v>
      </c>
    </row>
    <row r="30" spans="1:29" s="117" customFormat="1" ht="15.75" thickBot="1">
      <c r="A30" s="649"/>
      <c r="B30" s="456"/>
      <c r="C30" s="2699" t="s">
        <v>3405</v>
      </c>
      <c r="D30" s="448"/>
      <c r="E30" s="2699" t="s">
        <v>3405</v>
      </c>
      <c r="F30" s="448"/>
      <c r="G30" s="2699" t="s">
        <v>3405</v>
      </c>
      <c r="H30" s="448"/>
      <c r="I30" s="2699" t="s">
        <v>3405</v>
      </c>
      <c r="J30" s="448"/>
      <c r="K30" s="672"/>
      <c r="L30" s="1132"/>
      <c r="M30" s="1133"/>
      <c r="N30" s="1133"/>
      <c r="O30" s="1134"/>
      <c r="P30" s="3184"/>
      <c r="Q30" s="1795"/>
      <c r="R30" s="770"/>
      <c r="S30" s="771"/>
      <c r="T30" s="770"/>
      <c r="U30" s="771"/>
      <c r="V30" s="770"/>
      <c r="W30" s="771"/>
      <c r="X30" s="772"/>
      <c r="Y30" s="3184"/>
      <c r="Z30" s="55"/>
      <c r="AA30" s="1811">
        <v>1</v>
      </c>
      <c r="AB30" s="1811">
        <v>1</v>
      </c>
      <c r="AC30" s="1811">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4"/>
      <c r="Z31" s="1814" t="str">
        <f t="shared" ref="Z31:Z45" si="13">Q31</f>
        <v>临街状况</v>
      </c>
      <c r="AA31" s="1811">
        <f t="shared" si="3"/>
        <v>1</v>
      </c>
      <c r="AB31" s="1811">
        <f t="shared" si="4"/>
        <v>1</v>
      </c>
      <c r="AC31" s="1811">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10" t="str">
        <f t="shared" si="8"/>
        <v>毗邻道路的类型与等级</v>
      </c>
      <c r="R32" s="774" t="s">
        <v>17</v>
      </c>
      <c r="S32" s="775">
        <f t="shared" si="10"/>
        <v>100</v>
      </c>
      <c r="T32" s="774" t="s">
        <v>17</v>
      </c>
      <c r="U32" s="775">
        <f t="shared" si="11"/>
        <v>100</v>
      </c>
      <c r="V32" s="774" t="s">
        <v>17</v>
      </c>
      <c r="W32" s="775">
        <f t="shared" si="12"/>
        <v>100</v>
      </c>
      <c r="X32" s="1813"/>
      <c r="Y32" s="3184"/>
      <c r="Z32" s="1814" t="str">
        <f t="shared" si="13"/>
        <v>毗邻道路的类型与等级</v>
      </c>
      <c r="AA32" s="1811">
        <f t="shared" si="3"/>
        <v>1</v>
      </c>
      <c r="AB32" s="1811">
        <f t="shared" si="4"/>
        <v>1</v>
      </c>
      <c r="AC32" s="1811">
        <f t="shared" si="5"/>
        <v>1</v>
      </c>
    </row>
    <row r="33" spans="1:29" ht="15" hidden="1">
      <c r="A33" s="428"/>
      <c r="B33" s="456"/>
      <c r="C33" s="447"/>
      <c r="D33" s="448"/>
      <c r="E33" s="2610"/>
      <c r="F33" s="448"/>
      <c r="G33" s="2610"/>
      <c r="H33" s="448"/>
      <c r="I33" s="447"/>
      <c r="J33" s="448"/>
      <c r="K33" s="613"/>
      <c r="L33" s="1140"/>
      <c r="M33" s="1131"/>
      <c r="N33" s="1131"/>
      <c r="O33" s="1139"/>
      <c r="P33" s="3184"/>
      <c r="Q33" s="1810"/>
      <c r="R33" s="774"/>
      <c r="S33" s="775"/>
      <c r="T33" s="774"/>
      <c r="U33" s="775"/>
      <c r="V33" s="774"/>
      <c r="W33" s="775"/>
      <c r="X33" s="1813"/>
      <c r="Y33" s="3184"/>
      <c r="Z33" s="1814"/>
      <c r="AA33" s="1811">
        <v>1</v>
      </c>
      <c r="AB33" s="1811">
        <v>1</v>
      </c>
      <c r="AC33" s="1811">
        <v>1</v>
      </c>
    </row>
    <row r="34" spans="1:29" ht="15.75" hidden="1" thickBot="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10" t="str">
        <f t="shared" si="8"/>
        <v>土地级别</v>
      </c>
      <c r="R34" s="774" t="s">
        <v>17</v>
      </c>
      <c r="S34" s="775">
        <f t="shared" si="10"/>
        <v>100</v>
      </c>
      <c r="T34" s="774" t="s">
        <v>17</v>
      </c>
      <c r="U34" s="775">
        <f t="shared" si="11"/>
        <v>100</v>
      </c>
      <c r="V34" s="774" t="s">
        <v>17</v>
      </c>
      <c r="W34" s="775">
        <f t="shared" si="12"/>
        <v>100</v>
      </c>
      <c r="X34" s="1813"/>
      <c r="Y34" s="3184"/>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10">
        <f t="shared" si="8"/>
        <v>111</v>
      </c>
      <c r="R35" s="774" t="s">
        <v>17</v>
      </c>
      <c r="S35" s="775">
        <f t="shared" si="10"/>
        <v>100</v>
      </c>
      <c r="T35" s="774" t="s">
        <v>17</v>
      </c>
      <c r="U35" s="775">
        <f t="shared" si="11"/>
        <v>100</v>
      </c>
      <c r="V35" s="774" t="s">
        <v>17</v>
      </c>
      <c r="W35" s="775">
        <f t="shared" si="12"/>
        <v>100</v>
      </c>
      <c r="X35" s="1813"/>
      <c r="Y35" s="3184"/>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5" t="s">
        <v>2561</v>
      </c>
      <c r="Q36" s="1810">
        <f t="shared" si="8"/>
        <v>111</v>
      </c>
      <c r="R36" s="774" t="s">
        <v>17</v>
      </c>
      <c r="S36" s="775">
        <f t="shared" si="10"/>
        <v>100</v>
      </c>
      <c r="T36" s="774" t="s">
        <v>17</v>
      </c>
      <c r="U36" s="775">
        <f t="shared" si="11"/>
        <v>100</v>
      </c>
      <c r="V36" s="774" t="s">
        <v>17</v>
      </c>
      <c r="W36" s="775">
        <f t="shared" si="12"/>
        <v>100</v>
      </c>
      <c r="X36" s="1813"/>
      <c r="Y36" s="3186" t="s">
        <v>2561</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6"/>
      <c r="Q37" s="1810">
        <f t="shared" si="8"/>
        <v>111</v>
      </c>
      <c r="R37" s="777" t="s">
        <v>17</v>
      </c>
      <c r="S37" s="778">
        <f t="shared" si="10"/>
        <v>100</v>
      </c>
      <c r="T37" s="777" t="s">
        <v>17</v>
      </c>
      <c r="U37" s="778">
        <f t="shared" si="11"/>
        <v>100</v>
      </c>
      <c r="V37" s="777" t="s">
        <v>17</v>
      </c>
      <c r="W37" s="778">
        <f t="shared" si="12"/>
        <v>100</v>
      </c>
      <c r="X37" s="779"/>
      <c r="Y37" s="3186"/>
      <c r="Z37" s="780">
        <f t="shared" si="13"/>
        <v>111</v>
      </c>
      <c r="AA37" s="1811">
        <f t="shared" si="3"/>
        <v>1</v>
      </c>
      <c r="AB37" s="1811">
        <f t="shared" si="4"/>
        <v>1</v>
      </c>
      <c r="AC37" s="1811">
        <f t="shared" si="5"/>
        <v>1</v>
      </c>
    </row>
    <row r="38" spans="1:29" ht="15">
      <c r="A38" s="472" t="s">
        <v>2559</v>
      </c>
      <c r="B38" s="456" t="s">
        <v>2747</v>
      </c>
      <c r="C38" s="679">
        <v>40236</v>
      </c>
      <c r="D38" s="467">
        <v>100</v>
      </c>
      <c r="E38" s="679">
        <f>土地案例!$J$5</f>
        <v>7706</v>
      </c>
      <c r="F38" s="467">
        <f>LOOKUP(E38,117:117,118:118)-LOOKUP(C38,117:117,118:118)+100</f>
        <v>96</v>
      </c>
      <c r="G38" s="679">
        <f>土地案例!$J$7</f>
        <v>28530</v>
      </c>
      <c r="H38" s="467">
        <f>LOOKUP(G38,117:117,118:118)-LOOKUP(C38,117:117,118:118)+100</f>
        <v>98</v>
      </c>
      <c r="I38" s="530">
        <f>土地案例!$J$17</f>
        <v>65325.05</v>
      </c>
      <c r="J38" s="467">
        <f>LOOKUP(I38,117:117,118:118)-LOOKUP(C38,117:117,118:118)+100</f>
        <v>102</v>
      </c>
      <c r="K38" s="613"/>
      <c r="L38" s="1140"/>
      <c r="M38" s="1131"/>
      <c r="N38" s="1131"/>
      <c r="O38" s="1139"/>
      <c r="P38" s="3186"/>
      <c r="Q38" s="1810" t="str">
        <f>B38</f>
        <v>宗地面积</v>
      </c>
      <c r="R38" s="774" t="s">
        <v>17</v>
      </c>
      <c r="S38" s="775">
        <f t="shared" si="10"/>
        <v>96</v>
      </c>
      <c r="T38" s="774" t="s">
        <v>17</v>
      </c>
      <c r="U38" s="775">
        <f t="shared" si="11"/>
        <v>98</v>
      </c>
      <c r="V38" s="774" t="s">
        <v>17</v>
      </c>
      <c r="W38" s="775">
        <f t="shared" si="12"/>
        <v>102</v>
      </c>
      <c r="X38" s="1813"/>
      <c r="Y38" s="3186"/>
      <c r="Z38" s="1814" t="str">
        <f t="shared" si="13"/>
        <v>宗地面积</v>
      </c>
      <c r="AA38" s="1811">
        <f t="shared" si="3"/>
        <v>1.0416666666666667</v>
      </c>
      <c r="AB38" s="1811">
        <f t="shared" si="4"/>
        <v>1.0204081632653061</v>
      </c>
      <c r="AC38" s="1811">
        <f t="shared" si="5"/>
        <v>0.98039215686274506</v>
      </c>
    </row>
    <row r="39" spans="1:29" ht="15">
      <c r="A39" s="472"/>
      <c r="B39" s="422" t="s">
        <v>2748</v>
      </c>
      <c r="C39" s="2612" t="s">
        <v>3403</v>
      </c>
      <c r="D39" s="435">
        <v>100</v>
      </c>
      <c r="E39" s="2612" t="s">
        <v>3403</v>
      </c>
      <c r="F39" s="435">
        <f>SUMIF(119:119,E39,120:120)-SUMIF(119:119,C39,120:120)+100</f>
        <v>100</v>
      </c>
      <c r="G39" s="2612" t="s">
        <v>3403</v>
      </c>
      <c r="H39" s="435">
        <f>SUMIF(119:119,G39,120:120)-SUMIF(119:119,C39,120:120)+100</f>
        <v>100</v>
      </c>
      <c r="I39" s="2612" t="s">
        <v>3403</v>
      </c>
      <c r="J39" s="435">
        <f>SUMIF(119:119,I39,120:120)-SUMIF(119:119,C39,120:120)+100</f>
        <v>100</v>
      </c>
      <c r="K39" s="612">
        <v>2</v>
      </c>
      <c r="L39" s="1140"/>
      <c r="M39" s="1131"/>
      <c r="N39" s="1131"/>
      <c r="O39" s="1139"/>
      <c r="P39" s="3186"/>
      <c r="Q39" s="1810" t="str">
        <f t="shared" ref="Q39:Q45" si="14">B39</f>
        <v>宗地形状</v>
      </c>
      <c r="R39" s="774" t="s">
        <v>17</v>
      </c>
      <c r="S39" s="775">
        <f t="shared" si="10"/>
        <v>100</v>
      </c>
      <c r="T39" s="774" t="s">
        <v>17</v>
      </c>
      <c r="U39" s="775">
        <f t="shared" si="11"/>
        <v>100</v>
      </c>
      <c r="V39" s="774" t="s">
        <v>17</v>
      </c>
      <c r="W39" s="775">
        <f t="shared" si="12"/>
        <v>100</v>
      </c>
      <c r="X39" s="1813"/>
      <c r="Y39" s="3186"/>
      <c r="Z39" s="1814" t="str">
        <f t="shared" si="13"/>
        <v>宗地形状</v>
      </c>
      <c r="AA39" s="1811">
        <f t="shared" si="3"/>
        <v>1</v>
      </c>
      <c r="AB39" s="1811">
        <f t="shared" si="4"/>
        <v>1</v>
      </c>
      <c r="AC39" s="1811">
        <f t="shared" si="5"/>
        <v>1</v>
      </c>
    </row>
    <row r="40" spans="1:29" ht="15">
      <c r="A40" s="472"/>
      <c r="B40" s="422" t="s">
        <v>2749</v>
      </c>
      <c r="C40" s="2612" t="s">
        <v>3404</v>
      </c>
      <c r="D40" s="435">
        <v>100</v>
      </c>
      <c r="E40" s="2612" t="s">
        <v>3404</v>
      </c>
      <c r="F40" s="435">
        <f>SUMIF(121:121,E40,122:122)-SUMIF(121:121,C40,122:122)+100</f>
        <v>100</v>
      </c>
      <c r="G40" s="2612" t="s">
        <v>3404</v>
      </c>
      <c r="H40" s="435">
        <f>SUMIF(121:121,G40,122:122)-SUMIF(121:121,C40,122:122)+100</f>
        <v>100</v>
      </c>
      <c r="I40" s="2612" t="s">
        <v>3404</v>
      </c>
      <c r="J40" s="435">
        <f>SUMIF(121:121,I40,122:122)-SUMIF(121:121,C40,122:122)+100</f>
        <v>100</v>
      </c>
      <c r="K40" s="612">
        <v>2</v>
      </c>
      <c r="L40" s="1140"/>
      <c r="M40" s="1131"/>
      <c r="N40" s="1131"/>
      <c r="O40" s="1139"/>
      <c r="P40" s="3186"/>
      <c r="Q40" s="1810" t="str">
        <f t="shared" si="14"/>
        <v>临街宽度及深度</v>
      </c>
      <c r="R40" s="774" t="s">
        <v>17</v>
      </c>
      <c r="S40" s="775">
        <f t="shared" si="10"/>
        <v>100</v>
      </c>
      <c r="T40" s="774" t="s">
        <v>17</v>
      </c>
      <c r="U40" s="775">
        <f t="shared" si="11"/>
        <v>100</v>
      </c>
      <c r="V40" s="774" t="s">
        <v>17</v>
      </c>
      <c r="W40" s="775">
        <f t="shared" si="12"/>
        <v>100</v>
      </c>
      <c r="X40" s="1813"/>
      <c r="Y40" s="3186"/>
      <c r="Z40" s="1814" t="str">
        <f t="shared" si="13"/>
        <v>临街宽度及深度</v>
      </c>
      <c r="AA40" s="1811">
        <f t="shared" si="3"/>
        <v>1</v>
      </c>
      <c r="AB40" s="1811">
        <f t="shared" si="4"/>
        <v>1</v>
      </c>
      <c r="AC40" s="1811">
        <f t="shared" si="5"/>
        <v>1</v>
      </c>
    </row>
    <row r="41" spans="1:29" s="117" customFormat="1" ht="15">
      <c r="A41" s="473"/>
      <c r="B41" s="422" t="s">
        <v>2750</v>
      </c>
      <c r="C41" s="2701" t="s">
        <v>3405</v>
      </c>
      <c r="D41" s="136">
        <v>100</v>
      </c>
      <c r="E41" s="2701" t="s">
        <v>3406</v>
      </c>
      <c r="F41" s="435">
        <f>SUMIF(123:123,E41,124:124)-SUMIF(123:123,C41,124:124)+100</f>
        <v>98</v>
      </c>
      <c r="G41" s="2701" t="s">
        <v>3406</v>
      </c>
      <c r="H41" s="435">
        <f>SUMIF(123:123,G41,124:124)-SUMIF(123:123,C41,124:124)+100</f>
        <v>98</v>
      </c>
      <c r="I41" s="2701" t="s">
        <v>3406</v>
      </c>
      <c r="J41" s="435">
        <f>SUMIF(123:123,I41,124:124)-SUMIF(123:123,C41,124:124)+100</f>
        <v>98</v>
      </c>
      <c r="K41" s="612">
        <v>2</v>
      </c>
      <c r="L41" s="1132"/>
      <c r="M41" s="1133"/>
      <c r="N41" s="1133"/>
      <c r="O41" s="1134"/>
      <c r="P41" s="3186"/>
      <c r="Q41" s="1810" t="str">
        <f t="shared" si="14"/>
        <v>宗地开发程度</v>
      </c>
      <c r="R41" s="770" t="s">
        <v>17</v>
      </c>
      <c r="S41" s="771">
        <f t="shared" si="10"/>
        <v>98</v>
      </c>
      <c r="T41" s="770" t="s">
        <v>17</v>
      </c>
      <c r="U41" s="771">
        <f t="shared" si="11"/>
        <v>98</v>
      </c>
      <c r="V41" s="770" t="s">
        <v>17</v>
      </c>
      <c r="W41" s="771">
        <f t="shared" si="12"/>
        <v>98</v>
      </c>
      <c r="X41" s="772"/>
      <c r="Y41" s="3186"/>
      <c r="Z41" s="55" t="str">
        <f t="shared" si="13"/>
        <v>宗地开发程度</v>
      </c>
      <c r="AA41" s="773">
        <f t="shared" si="3"/>
        <v>1.0204081632653061</v>
      </c>
      <c r="AB41" s="773">
        <f t="shared" si="4"/>
        <v>1.0204081632653061</v>
      </c>
      <c r="AC41" s="773">
        <f t="shared" si="5"/>
        <v>1.0204081632653061</v>
      </c>
    </row>
    <row r="42" spans="1:29" ht="15.75" thickBot="1">
      <c r="A42" s="472"/>
      <c r="B42" s="422" t="s">
        <v>2751</v>
      </c>
      <c r="C42" s="2612" t="s">
        <v>3402</v>
      </c>
      <c r="D42" s="435">
        <v>100</v>
      </c>
      <c r="E42" s="2612" t="s">
        <v>3402</v>
      </c>
      <c r="F42" s="435">
        <f>SUMIF(125:125,E42,126:126)-SUMIF(125:125,C42,126:126)+100</f>
        <v>100</v>
      </c>
      <c r="G42" s="2612" t="s">
        <v>3402</v>
      </c>
      <c r="H42" s="435">
        <f>SUMIF(125:125,G42,126:126)-SUMIF(125:125,C42,126:126)+100</f>
        <v>100</v>
      </c>
      <c r="I42" s="2612" t="s">
        <v>3402</v>
      </c>
      <c r="J42" s="435">
        <f>SUMIF(125:125,I42,126:126)-SUMIF(125:125,C42,126:126)+100</f>
        <v>100</v>
      </c>
      <c r="K42" s="612">
        <v>2</v>
      </c>
      <c r="L42" s="1140"/>
      <c r="M42" s="1131"/>
      <c r="N42" s="1131"/>
      <c r="O42" s="1139"/>
      <c r="P42" s="3186" t="s">
        <v>2561</v>
      </c>
      <c r="Q42" s="1810" t="str">
        <f t="shared" si="14"/>
        <v>工程地质条件</v>
      </c>
      <c r="R42" s="774" t="s">
        <v>17</v>
      </c>
      <c r="S42" s="775">
        <f t="shared" si="10"/>
        <v>100</v>
      </c>
      <c r="T42" s="774" t="s">
        <v>17</v>
      </c>
      <c r="U42" s="775">
        <f t="shared" si="11"/>
        <v>100</v>
      </c>
      <c r="V42" s="774" t="s">
        <v>17</v>
      </c>
      <c r="W42" s="775">
        <f t="shared" si="12"/>
        <v>100</v>
      </c>
      <c r="X42" s="1813"/>
      <c r="Y42" s="3186" t="s">
        <v>2561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6"/>
      <c r="Q43" s="1810">
        <f t="shared" si="14"/>
        <v>111</v>
      </c>
      <c r="R43" s="774" t="s">
        <v>17</v>
      </c>
      <c r="S43" s="775">
        <f t="shared" si="10"/>
        <v>100</v>
      </c>
      <c r="T43" s="774" t="s">
        <v>17</v>
      </c>
      <c r="U43" s="775">
        <f t="shared" si="11"/>
        <v>100</v>
      </c>
      <c r="V43" s="774" t="s">
        <v>17</v>
      </c>
      <c r="W43" s="775">
        <f t="shared" si="12"/>
        <v>100</v>
      </c>
      <c r="X43" s="1813"/>
      <c r="Y43" s="3186"/>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6"/>
      <c r="Q44" s="1810">
        <f t="shared" si="14"/>
        <v>111</v>
      </c>
      <c r="R44" s="774" t="s">
        <v>17</v>
      </c>
      <c r="S44" s="775">
        <f t="shared" si="10"/>
        <v>100</v>
      </c>
      <c r="T44" s="774" t="s">
        <v>17</v>
      </c>
      <c r="U44" s="775">
        <f t="shared" si="11"/>
        <v>100</v>
      </c>
      <c r="V44" s="774" t="s">
        <v>17</v>
      </c>
      <c r="W44" s="775">
        <f t="shared" si="12"/>
        <v>100</v>
      </c>
      <c r="X44" s="1813"/>
      <c r="Y44" s="3186"/>
      <c r="Z44" s="1814">
        <f t="shared" si="13"/>
        <v>111</v>
      </c>
      <c r="AA44" s="1811">
        <f t="shared" si="3"/>
        <v>1</v>
      </c>
      <c r="AB44" s="1811">
        <f t="shared" si="4"/>
        <v>1</v>
      </c>
      <c r="AC44" s="1811">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6"/>
      <c r="Q45" s="1810">
        <f t="shared" si="14"/>
        <v>111</v>
      </c>
      <c r="R45" s="777" t="s">
        <v>17</v>
      </c>
      <c r="S45" s="778">
        <f t="shared" si="10"/>
        <v>100</v>
      </c>
      <c r="T45" s="777" t="s">
        <v>17</v>
      </c>
      <c r="U45" s="778">
        <f t="shared" si="11"/>
        <v>100</v>
      </c>
      <c r="V45" s="777" t="s">
        <v>17</v>
      </c>
      <c r="W45" s="778">
        <f t="shared" si="12"/>
        <v>100</v>
      </c>
      <c r="X45" s="779"/>
      <c r="Y45" s="3186"/>
      <c r="Z45" s="780">
        <f t="shared" si="13"/>
        <v>111</v>
      </c>
      <c r="AA45" s="1811">
        <f t="shared" si="3"/>
        <v>1</v>
      </c>
      <c r="AB45" s="1811">
        <f t="shared" si="4"/>
        <v>1</v>
      </c>
      <c r="AC45" s="1811">
        <f t="shared" si="5"/>
        <v>1</v>
      </c>
    </row>
    <row r="46" spans="1:29" ht="15">
      <c r="A46" s="479" t="s">
        <v>2716</v>
      </c>
      <c r="B46" s="2703" t="s">
        <v>2752</v>
      </c>
      <c r="C46" s="682" t="s">
        <v>1</v>
      </c>
      <c r="D46" s="481"/>
      <c r="E46" s="482">
        <f>土地案例!$AK$5</f>
        <v>3290</v>
      </c>
      <c r="F46" s="483"/>
      <c r="G46" s="484">
        <f>土地案例!$AK$7</f>
        <v>3067</v>
      </c>
      <c r="H46" s="485"/>
      <c r="I46" s="482">
        <f>土地案例!$AK$17</f>
        <v>2810</v>
      </c>
      <c r="J46" s="485"/>
      <c r="K46" s="783"/>
      <c r="L46" s="1143"/>
      <c r="M46" s="1144"/>
      <c r="N46" s="1131"/>
      <c r="O46" s="1144"/>
      <c r="P46" s="3168" t="str">
        <f>A46</f>
        <v>成交单价</v>
      </c>
      <c r="Q46" s="3168"/>
      <c r="R46" s="3181">
        <f>E46</f>
        <v>3290</v>
      </c>
      <c r="S46" s="3181"/>
      <c r="T46" s="3181">
        <f>G46</f>
        <v>3067</v>
      </c>
      <c r="U46" s="3181"/>
      <c r="V46" s="3181">
        <f>I46</f>
        <v>2810</v>
      </c>
      <c r="W46" s="3181"/>
      <c r="X46" s="759"/>
      <c r="Y46" s="781"/>
      <c r="Z46" s="759"/>
      <c r="AA46" s="759"/>
      <c r="AB46" s="759"/>
      <c r="AC46" s="759"/>
    </row>
    <row r="47" spans="1:29" ht="15.75" thickBot="1">
      <c r="A47" s="486" t="s">
        <v>2665</v>
      </c>
      <c r="B47" s="683"/>
      <c r="C47" s="490">
        <f>R48</f>
        <v>2734</v>
      </c>
      <c r="D47" s="489"/>
      <c r="E47" s="490">
        <f>R47</f>
        <v>2908</v>
      </c>
      <c r="F47" s="491"/>
      <c r="G47" s="488">
        <f>T47</f>
        <v>2656</v>
      </c>
      <c r="H47" s="489"/>
      <c r="I47" s="490">
        <f>V47</f>
        <v>2638</v>
      </c>
      <c r="J47" s="489"/>
      <c r="K47" s="784"/>
      <c r="L47" s="1143"/>
      <c r="M47" s="1144"/>
      <c r="N47" s="1144"/>
      <c r="O47" s="1144"/>
      <c r="P47" s="3168" t="str">
        <f>A47</f>
        <v>比较价值（元/平方米）</v>
      </c>
      <c r="Q47" s="3168"/>
      <c r="R47" s="3187">
        <f>ROUND(PRODUCT(R46,AA7:AA45),0)</f>
        <v>2908</v>
      </c>
      <c r="S47" s="3187"/>
      <c r="T47" s="3187">
        <f>ROUND(PRODUCT(T46,AB7:AB45),0)</f>
        <v>2656</v>
      </c>
      <c r="U47" s="3187"/>
      <c r="V47" s="3187">
        <f>ROUND(PRODUCT(V46,AC7:AC45),0)</f>
        <v>2638</v>
      </c>
      <c r="W47" s="3187"/>
      <c r="X47" s="759"/>
      <c r="Y47" s="759"/>
      <c r="Z47" s="759"/>
      <c r="AA47" s="759"/>
      <c r="AB47" s="759"/>
      <c r="AC47" s="759"/>
    </row>
    <row r="48" spans="1:29" ht="15.75" thickBot="1">
      <c r="A48" s="492" t="s">
        <v>2753</v>
      </c>
      <c r="B48" s="493"/>
      <c r="C48" s="494">
        <f>R48</f>
        <v>2734</v>
      </c>
      <c r="D48" s="494"/>
      <c r="E48" s="494"/>
      <c r="F48" s="494"/>
      <c r="G48" s="494"/>
      <c r="H48" s="494"/>
      <c r="I48" s="494"/>
      <c r="J48" s="494"/>
      <c r="K48" s="785"/>
      <c r="L48" s="1143"/>
      <c r="M48" s="1144"/>
      <c r="N48" s="1144"/>
      <c r="O48" s="1144"/>
      <c r="P48" s="3188" t="str">
        <f>A48</f>
        <v>估价对象XX用房的比较价值（楼面单价，元/平方米）</v>
      </c>
      <c r="Q48" s="3189"/>
      <c r="R48" s="3190">
        <f>ROUND(AVERAGE(R47:V47),0)</f>
        <v>2734</v>
      </c>
      <c r="S48" s="3190"/>
      <c r="T48" s="3190"/>
      <c r="U48" s="3190"/>
      <c r="V48" s="3190"/>
      <c r="W48" s="31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0.13136176066024752</v>
      </c>
      <c r="F51" s="500" t="str">
        <f>IF(OR(E51&gt;=0.3,E51&lt;=-0.3),"超过30%","")</f>
        <v/>
      </c>
      <c r="G51" s="499">
        <f>IF(G46&lt;G47,G47/G46-1,G46/G47-1)</f>
        <v>0.15474397590361444</v>
      </c>
      <c r="H51" s="500" t="str">
        <f>IF(OR(G51&gt;=0.3,G51&lt;=-0.3),"超过30%","")</f>
        <v/>
      </c>
      <c r="I51" s="499">
        <f>IF(I46&lt;I47,I47/I46-1,I46/I47-1)</f>
        <v>6.5200909780136485E-2</v>
      </c>
      <c r="J51" s="500" t="str">
        <f>IF(OR(I51&gt;=0.3,I51&lt;=-0.3),"超过30%","")</f>
        <v/>
      </c>
      <c r="K51" s="1105"/>
      <c r="L51" s="1106"/>
      <c r="M51" s="1144"/>
      <c r="N51" s="1144"/>
      <c r="O51" s="1144"/>
    </row>
    <row r="52" spans="1:15" ht="13.5" customHeight="1">
      <c r="A52" s="1144"/>
      <c r="B52" s="1144"/>
      <c r="C52" s="497" t="s">
        <v>2668</v>
      </c>
      <c r="D52" s="501"/>
      <c r="E52" s="499">
        <f>IF(E47&lt;G47,G47/E47-1,E47/G47-1)</f>
        <v>9.4879518072289226E-2</v>
      </c>
      <c r="F52" s="500" t="str">
        <f>IF(OR(E52&gt;=0.2,E52&lt;=-0.2),"超过20%","")</f>
        <v/>
      </c>
      <c r="G52" s="499">
        <f>IF(G47&lt;I47,I47/G47-1,G47/I47-1)</f>
        <v>6.8233510235027328E-3</v>
      </c>
      <c r="H52" s="500" t="str">
        <f>IF(OR(G52&gt;=0.2,G52&lt;=-0.2),"超过20%","")</f>
        <v/>
      </c>
      <c r="I52" s="499">
        <f>IF(I47&lt;E47,E47/I47-1,I47/E47-1)</f>
        <v>0.10235026535253988</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3407</v>
      </c>
      <c r="D55" s="2705" t="s">
        <v>2757</v>
      </c>
      <c r="E55" s="686" t="s">
        <v>2758</v>
      </c>
      <c r="F55" s="1107" t="s">
        <v>2759</v>
      </c>
      <c r="G55" s="3169" t="s">
        <v>2760</v>
      </c>
      <c r="H55" s="3191"/>
      <c r="I55" s="144" t="s">
        <v>2761</v>
      </c>
      <c r="J55" s="2706" t="str">
        <f>项目基本情况!F35</f>
        <v>山东省</v>
      </c>
      <c r="K55" s="2707" t="s">
        <v>2762</v>
      </c>
      <c r="L55" s="1106"/>
      <c r="M55" s="1144"/>
      <c r="N55" s="1144"/>
      <c r="O55" s="1144"/>
    </row>
    <row r="56" spans="1:15" s="692" customFormat="1">
      <c r="A56" s="688" t="s">
        <v>2763</v>
      </c>
      <c r="B56" s="689">
        <f>C48</f>
        <v>2734</v>
      </c>
      <c r="C56" s="690">
        <v>1</v>
      </c>
      <c r="D56" s="1163">
        <v>1</v>
      </c>
      <c r="E56" s="690">
        <f>'数据-汇总表'!E8+'数据-汇总表'!E9</f>
        <v>57392.160000000003</v>
      </c>
      <c r="F56" s="1103">
        <f t="shared" ref="F56:F65" si="15">ROUND(B56*E56/10000,0)</f>
        <v>15691</v>
      </c>
      <c r="G56" s="3192"/>
      <c r="H56" s="3168"/>
      <c r="I56" s="1108">
        <v>1</v>
      </c>
      <c r="J56" s="1111">
        <v>1</v>
      </c>
      <c r="K56" s="1145"/>
      <c r="L56" s="941"/>
      <c r="M56" s="941"/>
      <c r="N56" s="941"/>
      <c r="O56" s="941"/>
    </row>
    <row r="57" spans="1:15" s="692" customFormat="1">
      <c r="A57" s="693" t="s">
        <v>2764</v>
      </c>
      <c r="B57" s="262">
        <f>ROUND($C$48*C57*D57,0)</f>
        <v>911</v>
      </c>
      <c r="C57" s="200">
        <f t="shared" ref="C57:C65" si="16">IF($C$55="北京市系数",I57,J57)</f>
        <v>0.33329999999999999</v>
      </c>
      <c r="D57" s="1164">
        <v>1</v>
      </c>
      <c r="E57" s="694">
        <f>'数据-汇总表'!G19</f>
        <v>0</v>
      </c>
      <c r="F57" s="1103">
        <f t="shared" si="15"/>
        <v>0</v>
      </c>
      <c r="G57" s="3193" t="s">
        <v>2765</v>
      </c>
      <c r="H57" s="1104">
        <f>项目基本情况!B37</f>
        <v>0</v>
      </c>
      <c r="I57" s="1108">
        <f>SUMIF(修正!A45:A56,H57,修正!B45:B56)</f>
        <v>0</v>
      </c>
      <c r="J57" s="1112">
        <v>0.33329999999999999</v>
      </c>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193"/>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193"/>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193"/>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08" t="s">
        <v>2765</v>
      </c>
      <c r="H64" s="1104">
        <f>项目基本情况!B37</f>
        <v>0</v>
      </c>
      <c r="I64" s="1108">
        <f>SUMIF(修正!A45:A56,H64,修正!H45:H56)</f>
        <v>0</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57392.160000000003</v>
      </c>
      <c r="F66" s="697">
        <f>IF(B46="楼面地价",SUM(F56:F65),ROUND(C48*E66/10000,0))</f>
        <v>15691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2779</v>
      </c>
      <c r="B71" s="332" t="str">
        <f>"北京市平均增长率"&amp;TEXT(SUMIF(基准地价修正!N21:N25,A71,基准地价修正!P21:P25),"0.00%")</f>
        <v>北京市平均增长率2.23%</v>
      </c>
      <c r="C71" s="603">
        <v>100</v>
      </c>
      <c r="D71" s="595">
        <v>98</v>
      </c>
      <c r="E71" s="595">
        <v>96</v>
      </c>
      <c r="F71" s="595">
        <v>96</v>
      </c>
      <c r="G71" s="595">
        <v>94</v>
      </c>
      <c r="H71" s="595">
        <v>92</v>
      </c>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59" t="s">
        <v>3085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0.5</v>
      </c>
      <c r="E80" s="549">
        <v>1</v>
      </c>
      <c r="F80" s="549">
        <v>1.5</v>
      </c>
      <c r="G80" s="549">
        <v>2</v>
      </c>
      <c r="H80" s="549">
        <v>2.5</v>
      </c>
      <c r="I80" s="549">
        <v>3</v>
      </c>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f>C117+10000</f>
        <v>10000</v>
      </c>
      <c r="E117" s="595">
        <f t="shared" ref="E117:J117" si="26">D117+10000</f>
        <v>20000</v>
      </c>
      <c r="F117" s="595">
        <f t="shared" si="26"/>
        <v>30000</v>
      </c>
      <c r="G117" s="595">
        <f t="shared" si="26"/>
        <v>40000</v>
      </c>
      <c r="H117" s="595">
        <f t="shared" si="26"/>
        <v>50000</v>
      </c>
      <c r="I117" s="595">
        <f t="shared" si="26"/>
        <v>60000</v>
      </c>
      <c r="J117" s="595">
        <f t="shared" si="26"/>
        <v>70000</v>
      </c>
      <c r="K117" s="596"/>
      <c r="L117" s="597"/>
      <c r="M117" s="598"/>
      <c r="N117" s="1152"/>
      <c r="O117" s="1152"/>
      <c r="P117" s="45"/>
      <c r="Q117" s="504"/>
    </row>
    <row r="118" spans="1:17" ht="15.75"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3"/>
      <c r="O118" s="1153"/>
      <c r="P118" s="45"/>
      <c r="Q118" s="504"/>
    </row>
    <row r="119" spans="1:17" ht="15" thickTop="1">
      <c r="A119" s="599"/>
      <c r="B119" s="538" t="s">
        <v>2788</v>
      </c>
      <c r="C119" s="2960" t="s">
        <v>3086</v>
      </c>
      <c r="D119" s="2960" t="s">
        <v>3087</v>
      </c>
      <c r="E119" s="2960" t="s">
        <v>3088</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2789</v>
      </c>
      <c r="C121" s="2961" t="s">
        <v>3092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2790</v>
      </c>
      <c r="C123" s="2961" t="s">
        <v>3089</v>
      </c>
      <c r="D123" s="2961" t="s">
        <v>3090</v>
      </c>
      <c r="E123" s="2961" t="s">
        <v>3091</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2791</v>
      </c>
      <c r="C125" s="2961" t="s">
        <v>3082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97348</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12721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19387</v>
      </c>
      <c r="D5" s="255" t="s">
        <v>2330</v>
      </c>
      <c r="E5" s="256" t="s">
        <v>2331</v>
      </c>
      <c r="F5" s="256" t="s">
        <v>2332</v>
      </c>
      <c r="G5" s="257"/>
    </row>
    <row r="6" spans="1:9" s="258" customFormat="1" ht="13.5" customHeight="1">
      <c r="A6" s="949" t="s">
        <v>2333</v>
      </c>
      <c r="B6" s="259" t="s">
        <v>2334</v>
      </c>
      <c r="C6" s="260">
        <f>'土地比较法-住宅、综合'!B2</f>
        <v>15691</v>
      </c>
      <c r="D6" s="261"/>
      <c r="E6" s="262"/>
      <c r="F6" s="262"/>
      <c r="G6" s="263"/>
    </row>
    <row r="7" spans="1:9" s="258" customFormat="1" ht="13.5" customHeight="1">
      <c r="A7" s="949" t="s">
        <v>2335</v>
      </c>
      <c r="B7" s="259" t="s">
        <v>2336</v>
      </c>
      <c r="C7" s="264">
        <f>ROUND(C6*F7,0)</f>
        <v>635</v>
      </c>
      <c r="D7" s="264"/>
      <c r="E7" s="262"/>
      <c r="F7" s="265">
        <f>IF(项目基本情况!B8="出让",0,'数据-取费表'!B48+'数据-取费表'!B49)</f>
        <v>4.0500000000000001E-2</v>
      </c>
      <c r="G7" s="263"/>
    </row>
    <row r="8" spans="1:9" s="267" customFormat="1">
      <c r="A8" s="949" t="s">
        <v>2337</v>
      </c>
      <c r="B8" s="259" t="s">
        <v>2338</v>
      </c>
      <c r="C8" s="264">
        <f>IF(G8="已包含在土地购买价格中","0",IF(B1="",'数据-取费表'!B29,IF(G9="全部缴纳",C9+C10,H9)))</f>
        <v>3061</v>
      </c>
      <c r="D8" s="266"/>
      <c r="E8" s="264"/>
      <c r="F8" s="265"/>
      <c r="G8" s="2549" t="s">
        <v>3408</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400</v>
      </c>
      <c r="F9" s="265"/>
      <c r="G9" s="2550"/>
      <c r="H9" s="1390"/>
      <c r="I9" s="2551" t="s">
        <v>2340</v>
      </c>
    </row>
    <row r="10" spans="1:9" s="258" customFormat="1" ht="13.5" customHeight="1">
      <c r="A10" s="950" t="s">
        <v>801</v>
      </c>
      <c r="B10" s="268" t="s">
        <v>2341</v>
      </c>
      <c r="C10" s="269">
        <f ca="1">ROUND(D10*E10/10000,0)</f>
        <v>3061</v>
      </c>
      <c r="D10" s="1032">
        <f ca="1">IF(B1="",'数据-汇总表'!E6,IF(INDIRECT("'数据-取费表'!c"&amp;$G$1)="住宅",INDIRECT("'数据-取费表'!s"&amp;$G$1),INDIRECT("'数据-取费表'!k"&amp;$G$1)+INDIRECT("'数据-取费表'!s"&amp;$G$1)))</f>
        <v>76522.880000000005</v>
      </c>
      <c r="E10" s="269">
        <f>'数据-取费表'!B28</f>
        <v>400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76522.880000000005</v>
      </c>
      <c r="E19" s="255">
        <f>'数据-取费表'!B31</f>
        <v>200</v>
      </c>
      <c r="F19" s="275"/>
      <c r="G19" s="2549" t="s">
        <v>3409</v>
      </c>
    </row>
    <row r="20" spans="1:7" s="258" customFormat="1" ht="13.5" customHeight="1">
      <c r="A20" s="299" t="s">
        <v>2354</v>
      </c>
      <c r="B20" s="254" t="s">
        <v>2355</v>
      </c>
      <c r="C20" s="276">
        <f>ROUND((C5+C19)*F20,0)</f>
        <v>582</v>
      </c>
      <c r="D20" s="276"/>
      <c r="E20" s="276"/>
      <c r="F20" s="277">
        <f>'数据-取费表'!B37</f>
        <v>0.03</v>
      </c>
      <c r="G20" s="278" t="s">
        <v>2356</v>
      </c>
    </row>
    <row r="21" spans="1:7" s="258" customFormat="1" ht="13.5" customHeight="1">
      <c r="A21" s="299" t="s">
        <v>2357</v>
      </c>
      <c r="B21" s="254" t="s">
        <v>2358</v>
      </c>
      <c r="C21" s="279">
        <f>F21</f>
        <v>2.5000000000000001E-2</v>
      </c>
      <c r="D21" s="280" t="s">
        <v>2359</v>
      </c>
      <c r="E21" s="276"/>
      <c r="F21" s="277">
        <f>'数据-取费表'!B38</f>
        <v>2.5000000000000001E-2</v>
      </c>
      <c r="G21" s="278" t="s">
        <v>2360</v>
      </c>
    </row>
    <row r="22" spans="1:7" s="258" customFormat="1" ht="13.5" customHeight="1">
      <c r="A22" s="299" t="s">
        <v>2361</v>
      </c>
      <c r="B22" s="254" t="s">
        <v>2362</v>
      </c>
      <c r="C22" s="1354">
        <f ca="1">ROUND(SUM(C23:C25),0)</f>
        <v>2420</v>
      </c>
      <c r="D22" s="279">
        <f ca="1">C26</f>
        <v>1.5E-3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2385</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35</v>
      </c>
      <c r="D25" s="282"/>
      <c r="E25" s="285"/>
      <c r="F25" s="283"/>
      <c r="G25" s="286" t="s">
        <v>2371</v>
      </c>
    </row>
    <row r="26" spans="1:7" s="258" customFormat="1">
      <c r="A26" s="951" t="s">
        <v>795</v>
      </c>
      <c r="B26" s="259" t="s">
        <v>2372</v>
      </c>
      <c r="C26" s="282">
        <f ca="1">ROUND(IF('数据-取费表'!B22&lt;=1,F21*F22*'数据-取费表'!B23/2,F21*(POWER((1+F22),'数据-取费表'!B23/2)-1)),4)</f>
        <v>1.5E-3</v>
      </c>
      <c r="D26" s="282"/>
      <c r="E26" s="285"/>
      <c r="F26" s="283"/>
      <c r="G26" s="287"/>
    </row>
    <row r="27" spans="1:7" s="258" customFormat="1" ht="24.75">
      <c r="A27" s="299" t="s">
        <v>2373</v>
      </c>
      <c r="B27" s="288" t="s">
        <v>2374</v>
      </c>
      <c r="C27" s="289">
        <f ca="1">C28</f>
        <v>5991</v>
      </c>
      <c r="D27" s="279">
        <f ca="1">C29</f>
        <v>7.4999999999999997E-3</v>
      </c>
      <c r="E27" s="280" t="s">
        <v>2375</v>
      </c>
      <c r="F27" s="290">
        <f ca="1">IF(B1="",'数据-取费表'!Q16,INDIRECT("'数据-取费表'!q"&amp;$G$1))</f>
        <v>0.3</v>
      </c>
      <c r="G27" s="291" t="s">
        <v>2376</v>
      </c>
    </row>
    <row r="28" spans="1:7" s="258" customFormat="1" ht="13.5" customHeight="1">
      <c r="A28" s="951" t="s">
        <v>791</v>
      </c>
      <c r="B28" s="292" t="s">
        <v>2377</v>
      </c>
      <c r="C28" s="293">
        <f ca="1">ROUND((C5+C19+C20)*F27*'数据-取费表'!B21/'数据-取费表'!B20,0)</f>
        <v>5991</v>
      </c>
      <c r="D28" s="279"/>
      <c r="E28" s="280"/>
      <c r="F28" s="290"/>
      <c r="G28" s="291"/>
    </row>
    <row r="29" spans="1:7" s="258" customFormat="1" ht="13.5" customHeight="1">
      <c r="A29" s="951" t="s">
        <v>792</v>
      </c>
      <c r="B29" s="292" t="s">
        <v>2378</v>
      </c>
      <c r="C29" s="282">
        <f ca="1">ROUND(C21*F27*'数据-取费表'!B21/'数据-取费表'!B20,4)</f>
        <v>7.4999999999999997E-3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31095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44512</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41131</v>
      </c>
      <c r="D34" s="261"/>
      <c r="E34" s="264"/>
      <c r="F34" s="301">
        <f ca="1">IF('数据-取费表'!B24=0,1,IF(B1="",'数据-取费表'!N16,INDIRECT("'数据-取费表'!n"&amp;$G$1)))</f>
        <v>1</v>
      </c>
      <c r="G34" s="263" t="s">
        <v>2387</v>
      </c>
    </row>
    <row r="35" spans="1:7" ht="13.5" customHeight="1">
      <c r="A35" s="951" t="s">
        <v>796</v>
      </c>
      <c r="B35" s="259" t="s">
        <v>2388</v>
      </c>
      <c r="C35" s="264">
        <f ca="1">ROUND(C34*F35,0)</f>
        <v>1234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1530</v>
      </c>
      <c r="D37" s="261">
        <f ca="1">D19</f>
        <v>76522.880000000005</v>
      </c>
      <c r="E37" s="293">
        <f>'数据-取费表'!B35</f>
        <v>200</v>
      </c>
      <c r="F37" s="303"/>
      <c r="G37" s="305" t="s">
        <v>2393</v>
      </c>
    </row>
    <row r="38" spans="1:7" ht="13.5" customHeight="1">
      <c r="A38" s="951" t="s">
        <v>799</v>
      </c>
      <c r="B38" s="259" t="s">
        <v>2394</v>
      </c>
      <c r="C38" s="264">
        <f ca="1">ROUND(C34*F38,0)</f>
        <v>617</v>
      </c>
      <c r="D38" s="264"/>
      <c r="E38" s="264"/>
      <c r="F38" s="303">
        <f>'数据-取费表'!B36</f>
        <v>1.4999999999999999E-2</v>
      </c>
      <c r="G38" s="263" t="s">
        <v>2389</v>
      </c>
    </row>
    <row r="39" spans="1:7" s="258" customFormat="1" ht="13.5" customHeight="1">
      <c r="A39" s="299" t="s">
        <v>2395</v>
      </c>
      <c r="B39" s="254" t="s">
        <v>2396</v>
      </c>
      <c r="C39" s="276">
        <f ca="1">ROUND(C33*F20,0)</f>
        <v>1335</v>
      </c>
      <c r="D39" s="276"/>
      <c r="E39" s="276"/>
      <c r="F39" s="277"/>
      <c r="G39" s="278" t="s">
        <v>2397</v>
      </c>
    </row>
    <row r="40" spans="1:7" s="258" customFormat="1" ht="13.5" customHeight="1">
      <c r="A40" s="299" t="s">
        <v>2398</v>
      </c>
      <c r="B40" s="254" t="s">
        <v>2399</v>
      </c>
      <c r="C40" s="1728">
        <f>F21</f>
        <v>2.5000000000000001E-2</v>
      </c>
      <c r="D40" s="280" t="s">
        <v>2400</v>
      </c>
      <c r="E40" s="276"/>
      <c r="F40" s="277"/>
      <c r="G40" s="278" t="s">
        <v>2401</v>
      </c>
    </row>
    <row r="41" spans="1:7" s="258" customFormat="1" ht="13.5" customHeight="1">
      <c r="A41" s="299" t="s">
        <v>2402</v>
      </c>
      <c r="B41" s="254" t="s">
        <v>2403</v>
      </c>
      <c r="C41" s="276">
        <f ca="1">ROUND(SUM(C42:C43),0)</f>
        <v>2738</v>
      </c>
      <c r="D41" s="279">
        <f ca="1">C44</f>
        <v>1.5E-3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2658</v>
      </c>
      <c r="D42" s="282"/>
      <c r="E42" s="282"/>
      <c r="F42" s="283"/>
      <c r="G42" s="3194" t="s">
        <v>2405</v>
      </c>
    </row>
    <row r="43" spans="1:7" ht="13.5" customHeight="1">
      <c r="A43" s="951" t="s">
        <v>792</v>
      </c>
      <c r="B43" s="259" t="s">
        <v>2406</v>
      </c>
      <c r="C43" s="282">
        <f ca="1">ROUND(IF('数据-取费表'!B22&lt;=1,C39*F22*'数据-取费表'!B21/2,C39*(POWER((1+F22),'数据-取费表'!B21/2)-1)),0)</f>
        <v>80</v>
      </c>
      <c r="D43" s="282"/>
      <c r="E43" s="282"/>
      <c r="F43" s="283"/>
      <c r="G43" s="3195"/>
    </row>
    <row r="44" spans="1:7" ht="13.5" customHeight="1">
      <c r="A44" s="951" t="s">
        <v>793</v>
      </c>
      <c r="B44" s="259" t="s">
        <v>2407</v>
      </c>
      <c r="C44" s="282">
        <f ca="1">ROUND(IF('数据-取费表'!B22&lt;=1,C40*F22*'数据-取费表'!B21/2,C40*(POWER((1+F22),'数据-取费表'!B21/2)-1)),4)</f>
        <v>1.5E-3</v>
      </c>
      <c r="D44" s="282"/>
      <c r="E44" s="282"/>
      <c r="F44" s="283"/>
      <c r="G44" s="3196"/>
    </row>
    <row r="45" spans="1:7" s="258" customFormat="1" ht="13.5" customHeight="1">
      <c r="A45" s="299" t="s">
        <v>2408</v>
      </c>
      <c r="B45" s="288" t="s">
        <v>2374</v>
      </c>
      <c r="C45" s="289">
        <f ca="1">C46</f>
        <v>13754</v>
      </c>
      <c r="D45" s="279">
        <f ca="1">C47</f>
        <v>7.4999999999999997E-3</v>
      </c>
      <c r="E45" s="280" t="s">
        <v>2400</v>
      </c>
      <c r="F45" s="290"/>
      <c r="G45" s="291" t="s">
        <v>2409</v>
      </c>
    </row>
    <row r="46" spans="1:7" s="258" customFormat="1" ht="13.5" customHeight="1">
      <c r="A46" s="951" t="s">
        <v>791</v>
      </c>
      <c r="B46" s="292" t="s">
        <v>2410</v>
      </c>
      <c r="C46" s="293">
        <f ca="1">ROUND((C33+C39)*F27,0)</f>
        <v>13754</v>
      </c>
      <c r="D46" s="307"/>
      <c r="E46" s="280"/>
      <c r="F46" s="290"/>
      <c r="G46" s="291"/>
    </row>
    <row r="47" spans="1:7" s="258" customFormat="1" ht="13.5" customHeight="1">
      <c r="A47" s="951" t="s">
        <v>792</v>
      </c>
      <c r="B47" s="292" t="s">
        <v>2411</v>
      </c>
      <c r="C47" s="282">
        <f ca="1">ROUND(C40*F27,4)</f>
        <v>7.4999999999999997E-3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68302</v>
      </c>
      <c r="D49" s="276"/>
      <c r="E49" s="276"/>
      <c r="F49" s="308"/>
      <c r="G49" s="278" t="s">
        <v>2415</v>
      </c>
    </row>
    <row r="50" spans="1:7" s="302" customFormat="1" ht="24">
      <c r="A50" s="299" t="s">
        <v>2416</v>
      </c>
      <c r="B50" s="254" t="s">
        <v>2417</v>
      </c>
      <c r="C50" s="276"/>
      <c r="D50" s="276"/>
      <c r="E50" s="276"/>
      <c r="F50" s="308">
        <f>IF('数据-取费表'!B24=0,'数据-取费表'!N16,1)</f>
        <v>0.97</v>
      </c>
      <c r="G50" s="291" t="s">
        <v>2418</v>
      </c>
    </row>
    <row r="51" spans="1:7" ht="16.5" customHeight="1">
      <c r="A51" s="299" t="s">
        <v>2419</v>
      </c>
      <c r="B51" s="254" t="s">
        <v>2420</v>
      </c>
      <c r="C51" s="276">
        <f ca="1">ROUND(C49*F50,0)</f>
        <v>66253</v>
      </c>
      <c r="D51" s="276"/>
      <c r="E51" s="276"/>
      <c r="F51" s="308"/>
      <c r="G51" s="278" t="s">
        <v>2421</v>
      </c>
    </row>
    <row r="52" spans="1:7" s="252" customFormat="1" ht="16.5" thickBot="1">
      <c r="A52" s="309" t="s">
        <v>2422</v>
      </c>
      <c r="B52" s="310"/>
      <c r="C52" s="311">
        <f ca="1">C31+C51</f>
        <v>97348</v>
      </c>
      <c r="D52" s="310"/>
      <c r="E52" s="310"/>
      <c r="F52" s="310"/>
      <c r="G52" s="312"/>
    </row>
    <row r="55" spans="1:7" ht="15">
      <c r="B55" s="314" t="s">
        <v>2423</v>
      </c>
      <c r="C55" s="315"/>
    </row>
    <row r="56" spans="1:7">
      <c r="B56" s="317" t="s">
        <v>1508</v>
      </c>
      <c r="C56" s="319">
        <f ca="1">1-C57</f>
        <v>0.31899999999999995</v>
      </c>
    </row>
    <row r="57" spans="1:7">
      <c r="B57" s="317" t="s">
        <v>1509</v>
      </c>
      <c r="C57" s="318">
        <f ca="1">ROUND(C51/C52,3)</f>
        <v>0.68100000000000005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73618</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9620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30609152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4.0500000000000001E-2</v>
      </c>
      <c r="G7" s="263"/>
    </row>
    <row r="8" spans="1:8" s="267" customFormat="1">
      <c r="A8" s="949" t="s">
        <v>2337</v>
      </c>
      <c r="B8" s="259" t="s">
        <v>2338</v>
      </c>
      <c r="C8" s="264">
        <f ca="1">IF(G8="已包含在土地购买价格中",0,C9+C10)</f>
        <v>30609152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400</v>
      </c>
      <c r="F9" s="265"/>
      <c r="G9" s="270"/>
    </row>
    <row r="10" spans="1:8" s="258" customFormat="1" ht="13.5" customHeight="1">
      <c r="A10" s="950" t="s">
        <v>801</v>
      </c>
      <c r="B10" s="268" t="s">
        <v>2341</v>
      </c>
      <c r="C10" s="269">
        <f ca="1">ROUND(D10*E10,0)</f>
        <v>30609152</v>
      </c>
      <c r="D10" s="1032">
        <f ca="1">IF(B1="",'数据-汇总表'!E6,IF(INDIRECT("'数据-取费表'!c"&amp;$G$1)="住宅",INDIRECT("'数据-取费表'!s"&amp;$G$1),INDIRECT("'数据-取费表'!k"&amp;$G$1)+INDIRECT("'数据-取费表'!s"&amp;$G$1)))</f>
        <v>76522.880000000005</v>
      </c>
      <c r="E10" s="269">
        <f>'数据-取费表'!B28</f>
        <v>400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15304576</v>
      </c>
      <c r="D19" s="1036">
        <f ca="1">D9+D10</f>
        <v>76522.880000000005</v>
      </c>
      <c r="E19" s="255">
        <f>'数据-取费表'!B31</f>
        <v>200</v>
      </c>
      <c r="F19" s="275"/>
      <c r="G19" s="2549"/>
    </row>
    <row r="20" spans="1:7" s="258" customFormat="1" ht="13.5" customHeight="1">
      <c r="A20" s="299" t="s">
        <v>2435</v>
      </c>
      <c r="B20" s="254" t="s">
        <v>2436</v>
      </c>
      <c r="C20" s="276">
        <f ca="1">ROUND((C5+C19)*F20,0)</f>
        <v>1377412</v>
      </c>
      <c r="D20" s="276"/>
      <c r="E20" s="276"/>
      <c r="F20" s="277">
        <f>'数据-取费表'!B37</f>
        <v>0.03</v>
      </c>
      <c r="G20" s="278" t="s">
        <v>2437</v>
      </c>
    </row>
    <row r="21" spans="1:7" s="258" customFormat="1" ht="13.5" customHeight="1">
      <c r="A21" s="299" t="s">
        <v>2438</v>
      </c>
      <c r="B21" s="254" t="s">
        <v>2439</v>
      </c>
      <c r="C21" s="279">
        <f>F21</f>
        <v>2.5000000000000001E-2</v>
      </c>
      <c r="D21" s="280" t="s">
        <v>2440</v>
      </c>
      <c r="E21" s="276"/>
      <c r="F21" s="277">
        <f>'数据-取费表'!B38</f>
        <v>2.5000000000000001E-2</v>
      </c>
      <c r="G21" s="278" t="s">
        <v>2441</v>
      </c>
    </row>
    <row r="22" spans="1:7" s="258" customFormat="1" ht="13.5" customHeight="1">
      <c r="A22" s="299" t="s">
        <v>2442</v>
      </c>
      <c r="B22" s="254" t="s">
        <v>2443</v>
      </c>
      <c r="C22" s="1380">
        <f ca="1">ROUND(SUM(C23:C25),0)</f>
        <v>5730284</v>
      </c>
      <c r="D22" s="279">
        <f ca="1">C26</f>
        <v>1.5E-3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3765347</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1882673</v>
      </c>
      <c r="D24" s="282"/>
      <c r="E24" s="282"/>
      <c r="F24" s="283"/>
      <c r="G24" s="284" t="s">
        <v>2447</v>
      </c>
    </row>
    <row r="25" spans="1:7" s="258" customFormat="1" ht="24">
      <c r="A25" s="951" t="s">
        <v>2337</v>
      </c>
      <c r="B25" s="259" t="s">
        <v>2448</v>
      </c>
      <c r="C25" s="1381">
        <f ca="1">ROUND(IF('数据-取费表'!B22&lt;=1,C20*F22*'数据-取费表'!B22/2,C20*(POWER((1+F22),'数据-取费表'!B22/2)-1)),0)</f>
        <v>82264</v>
      </c>
      <c r="D25" s="282"/>
      <c r="E25" s="285"/>
      <c r="F25" s="283"/>
      <c r="G25" s="286" t="s">
        <v>2449</v>
      </c>
    </row>
    <row r="26" spans="1:7" s="258" customFormat="1">
      <c r="A26" s="951" t="s">
        <v>795</v>
      </c>
      <c r="B26" s="259" t="s">
        <v>2372</v>
      </c>
      <c r="C26" s="282">
        <f ca="1">ROUND(IF('数据-取费表'!B22&lt;=1,F21*F22*'数据-取费表'!B22/2,F21*(POWER((1+F22),'数据-取费表'!B22/2)-1)),4)</f>
        <v>1.5E-3</v>
      </c>
      <c r="D26" s="282"/>
      <c r="E26" s="285"/>
      <c r="F26" s="283"/>
      <c r="G26" s="287"/>
    </row>
    <row r="27" spans="1:7" s="258" customFormat="1" ht="24.75">
      <c r="A27" s="299" t="s">
        <v>2373</v>
      </c>
      <c r="B27" s="288" t="s">
        <v>2374</v>
      </c>
      <c r="C27" s="289">
        <f ca="1">C28</f>
        <v>14187342</v>
      </c>
      <c r="D27" s="279">
        <f ca="1">C29</f>
        <v>7.4999999999999997E-3</v>
      </c>
      <c r="E27" s="280" t="s">
        <v>2375</v>
      </c>
      <c r="F27" s="290">
        <f ca="1">IF(B1="",'数据-取费表'!Q16,INDIRECT("'数据-取费表'!q"&amp;$G$1))</f>
        <v>0.3</v>
      </c>
      <c r="G27" s="291" t="s">
        <v>2376</v>
      </c>
    </row>
    <row r="28" spans="1:7" s="258" customFormat="1" ht="13.5" customHeight="1">
      <c r="A28" s="951" t="s">
        <v>791</v>
      </c>
      <c r="B28" s="292" t="s">
        <v>2377</v>
      </c>
      <c r="C28" s="293">
        <f ca="1">ROUND((C5+C19+C20)*F27,0)</f>
        <v>14187342</v>
      </c>
      <c r="D28" s="279"/>
      <c r="E28" s="280"/>
      <c r="F28" s="290"/>
      <c r="G28" s="291"/>
    </row>
    <row r="29" spans="1:7" s="258" customFormat="1" ht="13.5" customHeight="1">
      <c r="A29" s="951" t="s">
        <v>792</v>
      </c>
      <c r="B29" s="292" t="s">
        <v>2378</v>
      </c>
      <c r="C29" s="282">
        <f ca="1">ROUND(C21*F27,4)</f>
        <v>7.4999999999999997E-3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73637303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445124027</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411310480</v>
      </c>
      <c r="D34" s="261"/>
      <c r="E34" s="264"/>
      <c r="F34" s="301"/>
      <c r="G34" s="263"/>
    </row>
    <row r="35" spans="1:7" ht="13.5" customHeight="1">
      <c r="A35" s="951" t="s">
        <v>796</v>
      </c>
      <c r="B35" s="259" t="s">
        <v>2388</v>
      </c>
      <c r="C35" s="264">
        <f ca="1">ROUND(C34*F35,0)</f>
        <v>12339314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15304576</v>
      </c>
      <c r="D37" s="261">
        <f ca="1">D19</f>
        <v>76522.880000000005</v>
      </c>
      <c r="E37" s="293">
        <f>'数据-取费表'!B35</f>
        <v>200</v>
      </c>
      <c r="F37" s="303"/>
      <c r="G37" s="305"/>
    </row>
    <row r="38" spans="1:7" ht="13.5" customHeight="1">
      <c r="A38" s="951" t="s">
        <v>799</v>
      </c>
      <c r="B38" s="259" t="s">
        <v>2394</v>
      </c>
      <c r="C38" s="264">
        <f ca="1">ROUND(C34*F38,0)</f>
        <v>6169657</v>
      </c>
      <c r="D38" s="264"/>
      <c r="E38" s="264"/>
      <c r="F38" s="303">
        <f>'数据-取费表'!B36</f>
        <v>1.4999999999999999E-2</v>
      </c>
      <c r="G38" s="263" t="s">
        <v>2389</v>
      </c>
    </row>
    <row r="39" spans="1:7" s="258" customFormat="1" ht="13.5" customHeight="1">
      <c r="A39" s="299" t="s">
        <v>2395</v>
      </c>
      <c r="B39" s="254" t="s">
        <v>2396</v>
      </c>
      <c r="C39" s="276">
        <f ca="1">ROUND(C33*F20,0)</f>
        <v>13353721</v>
      </c>
      <c r="D39" s="276"/>
      <c r="E39" s="276"/>
      <c r="F39" s="277"/>
      <c r="G39" s="278" t="s">
        <v>2397</v>
      </c>
    </row>
    <row r="40" spans="1:7" s="258" customFormat="1" ht="13.5" customHeight="1">
      <c r="A40" s="299" t="s">
        <v>2398</v>
      </c>
      <c r="B40" s="254" t="s">
        <v>2399</v>
      </c>
      <c r="C40" s="1728">
        <f>F21</f>
        <v>2.5000000000000001E-2</v>
      </c>
      <c r="D40" s="280" t="s">
        <v>2400</v>
      </c>
      <c r="E40" s="276"/>
      <c r="F40" s="277"/>
      <c r="G40" s="278" t="s">
        <v>2401</v>
      </c>
    </row>
    <row r="41" spans="1:7" s="258" customFormat="1" ht="13.5" customHeight="1">
      <c r="A41" s="299" t="s">
        <v>2402</v>
      </c>
      <c r="B41" s="254" t="s">
        <v>2403</v>
      </c>
      <c r="C41" s="276">
        <f ca="1">ROUND(SUM(C42:C43),0)</f>
        <v>27381867</v>
      </c>
      <c r="D41" s="279">
        <f ca="1">C44</f>
        <v>1.5E-3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26584337</v>
      </c>
      <c r="D42" s="282"/>
      <c r="E42" s="282"/>
      <c r="F42" s="283"/>
      <c r="G42" s="3194" t="s">
        <v>2452</v>
      </c>
    </row>
    <row r="43" spans="1:7" ht="13.5" customHeight="1">
      <c r="A43" s="951" t="s">
        <v>792</v>
      </c>
      <c r="B43" s="259" t="s">
        <v>2406</v>
      </c>
      <c r="C43" s="282">
        <f ca="1">ROUND(IF('数据-取费表'!B22&lt;=1,C39*F22*'数据-取费表'!B20/2,C39*(POWER((1+F22),'数据-取费表'!B20/2)-1)),0)</f>
        <v>797530</v>
      </c>
      <c r="D43" s="282"/>
      <c r="E43" s="282"/>
      <c r="F43" s="283"/>
      <c r="G43" s="3195"/>
    </row>
    <row r="44" spans="1:7" ht="13.5" customHeight="1">
      <c r="A44" s="951" t="s">
        <v>793</v>
      </c>
      <c r="B44" s="259" t="s">
        <v>2407</v>
      </c>
      <c r="C44" s="282">
        <f ca="1">ROUND(IF('数据-取费表'!B22&lt;=1,C40*F22*'数据-取费表'!B20/2,C40*(POWER((1+F22),'数据-取费表'!B20/2)-1)),4)</f>
        <v>1.5E-3</v>
      </c>
      <c r="D44" s="282"/>
      <c r="E44" s="282"/>
      <c r="F44" s="283"/>
      <c r="G44" s="3196"/>
    </row>
    <row r="45" spans="1:7" s="258" customFormat="1" ht="13.5" customHeight="1">
      <c r="A45" s="299" t="s">
        <v>2408</v>
      </c>
      <c r="B45" s="288" t="s">
        <v>2374</v>
      </c>
      <c r="C45" s="289">
        <f ca="1">C46</f>
        <v>137543324</v>
      </c>
      <c r="D45" s="279">
        <f ca="1">C47</f>
        <v>7.4999999999999997E-3</v>
      </c>
      <c r="E45" s="280" t="s">
        <v>2400</v>
      </c>
      <c r="F45" s="290"/>
      <c r="G45" s="291" t="s">
        <v>2409</v>
      </c>
    </row>
    <row r="46" spans="1:7" s="258" customFormat="1" ht="13.5" customHeight="1">
      <c r="A46" s="951" t="s">
        <v>791</v>
      </c>
      <c r="B46" s="292" t="s">
        <v>2410</v>
      </c>
      <c r="C46" s="293">
        <f ca="1">ROUND((C33+C39)*F27,0)</f>
        <v>137543324</v>
      </c>
      <c r="D46" s="307"/>
      <c r="E46" s="280"/>
      <c r="F46" s="290"/>
      <c r="G46" s="291"/>
    </row>
    <row r="47" spans="1:7" s="258" customFormat="1" ht="13.5" customHeight="1">
      <c r="A47" s="951" t="s">
        <v>792</v>
      </c>
      <c r="B47" s="292" t="s">
        <v>2411</v>
      </c>
      <c r="C47" s="282">
        <f ca="1">ROUND(C40*F27,4)</f>
        <v>7.4999999999999997E-3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683031597</v>
      </c>
      <c r="D49" s="276"/>
      <c r="E49" s="276"/>
      <c r="F49" s="308"/>
      <c r="G49" s="278" t="s">
        <v>2415</v>
      </c>
    </row>
    <row r="50" spans="1:7" s="302" customFormat="1">
      <c r="A50" s="299" t="s">
        <v>2416</v>
      </c>
      <c r="B50" s="254" t="s">
        <v>2417</v>
      </c>
      <c r="C50" s="276"/>
      <c r="D50" s="276"/>
      <c r="E50" s="276"/>
      <c r="F50" s="308">
        <f>IF('数据-取费表'!B24=0,'数据-取费表'!N16,1)</f>
        <v>0.97</v>
      </c>
      <c r="G50" s="291"/>
    </row>
    <row r="51" spans="1:7" ht="16.5" customHeight="1">
      <c r="A51" s="299" t="s">
        <v>2419</v>
      </c>
      <c r="B51" s="254" t="s">
        <v>2454</v>
      </c>
      <c r="C51" s="276">
        <f ca="1">ROUND(C49*F50,0)</f>
        <v>662540649</v>
      </c>
      <c r="D51" s="276"/>
      <c r="E51" s="276"/>
      <c r="F51" s="308"/>
      <c r="G51" s="278" t="s">
        <v>2421</v>
      </c>
    </row>
    <row r="52" spans="1:7" s="252" customFormat="1" ht="16.5" thickBot="1">
      <c r="A52" s="309" t="s">
        <v>2422</v>
      </c>
      <c r="B52" s="310"/>
      <c r="C52" s="311">
        <f ca="1">C31+C51</f>
        <v>736177952</v>
      </c>
      <c r="D52" s="310"/>
      <c r="E52" s="310"/>
      <c r="F52" s="310"/>
      <c r="G52" s="312"/>
    </row>
    <row r="55" spans="1:7" ht="15">
      <c r="B55" s="314" t="s">
        <v>2423</v>
      </c>
      <c r="C55" s="315"/>
    </row>
    <row r="56" spans="1:7">
      <c r="B56" s="317" t="s">
        <v>1508</v>
      </c>
      <c r="C56" s="319">
        <f ca="1">1-C57</f>
        <v>9.9999999999999978E-2</v>
      </c>
    </row>
    <row r="57" spans="1:7">
      <c r="B57" s="317" t="s">
        <v>1509</v>
      </c>
      <c r="C57" s="318">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76522.880000000005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76522.880000000005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7"/>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400</v>
      </c>
      <c r="F19" s="976"/>
      <c r="G19" s="15"/>
      <c r="H19" s="1579"/>
      <c r="I19" s="981"/>
      <c r="J19" s="981"/>
      <c r="K19" s="982"/>
    </row>
    <row r="20" spans="1:33" s="975" customFormat="1" ht="13.5" customHeight="1">
      <c r="A20" s="971" t="s">
        <v>806</v>
      </c>
      <c r="B20" s="972" t="s">
        <v>2491</v>
      </c>
      <c r="C20" s="24">
        <f ca="1">ROUND(D20*E20/10000,0)</f>
        <v>3061</v>
      </c>
      <c r="D20" s="1033">
        <f ca="1">IF(C1="",'数据-汇总表'!E6,IF(INDIRECT("'数据-取费表'!c"&amp;$K$1)="住宅",INDIRECT("'数据-取费表'!s"&amp;$K$1),INDIRECT("'数据-取费表'!k"&amp;$K$1)+INDIRECT("'数据-取费表'!s"&amp;$K$1)))</f>
        <v>76522.880000000005</v>
      </c>
      <c r="E20" s="24">
        <f>'数据-取费表'!B28</f>
        <v>400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0.03</v>
      </c>
      <c r="G22" s="8" t="s">
        <v>2495</v>
      </c>
      <c r="H22" s="968"/>
      <c r="I22" s="968"/>
      <c r="J22" s="968"/>
      <c r="K22" s="969"/>
    </row>
    <row r="23" spans="1:33" s="975" customFormat="1" ht="13.5" customHeight="1">
      <c r="A23" s="961" t="s">
        <v>2467</v>
      </c>
      <c r="B23" s="985" t="s">
        <v>2496</v>
      </c>
      <c r="C23" s="986">
        <f ca="1">ROUND(C4*F23*F11,0)</f>
        <v>0</v>
      </c>
      <c r="D23" s="325"/>
      <c r="E23" s="325"/>
      <c r="F23" s="988">
        <f>'数据-取费表'!B38</f>
        <v>2.5000000000000001E-2</v>
      </c>
      <c r="G23" s="8" t="s">
        <v>2497</v>
      </c>
      <c r="H23" s="968"/>
      <c r="I23" s="968"/>
      <c r="J23" s="968"/>
      <c r="K23" s="969"/>
    </row>
    <row r="24" spans="1:33" s="975" customFormat="1" ht="13.5" customHeight="1">
      <c r="A24" s="961" t="s">
        <v>2498</v>
      </c>
      <c r="B24" s="985" t="s">
        <v>2499</v>
      </c>
      <c r="C24" s="324">
        <f>ROUND(F24/(1+'数据-取费表'!C42),4)</f>
        <v>3.8600000000000002E-2</v>
      </c>
      <c r="D24" s="325" t="s">
        <v>15</v>
      </c>
      <c r="E24" s="325"/>
      <c r="F24" s="988">
        <f>IF(项目基本情况!B8="出让",0,'数据-取费表'!B48+'数据-取费表'!B49)</f>
        <v>4.0500000000000001E-2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34.090000000000003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61041</v>
      </c>
      <c r="C2" s="1845" t="s">
        <v>1511</v>
      </c>
      <c r="D2" s="1845"/>
      <c r="E2" s="1846"/>
      <c r="F2" s="1847"/>
      <c r="G2" s="1848"/>
      <c r="H2" s="1840"/>
      <c r="I2" s="1840"/>
      <c r="J2" s="1840"/>
      <c r="K2" s="1841"/>
      <c r="L2" s="1840"/>
      <c r="M2" s="1840"/>
    </row>
    <row r="3" spans="1:37" ht="18" customHeight="1" thickBot="1">
      <c r="A3" s="1849" t="s">
        <v>1512</v>
      </c>
      <c r="B3" s="1850">
        <f ca="1">IF(ISERROR(B2*10000/F43),0,ROUND(B2*10000/F43,0))</f>
        <v>10636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4341</v>
      </c>
      <c r="D5" s="1822" t="s">
        <v>1397</v>
      </c>
      <c r="E5" s="1293"/>
      <c r="F5" s="1294"/>
      <c r="G5" s="1851"/>
      <c r="H5" s="344">
        <v>1</v>
      </c>
      <c r="I5" s="345" t="s">
        <v>1396</v>
      </c>
      <c r="J5" s="1292">
        <f ca="1">J6+J10+J12</f>
        <v>0</v>
      </c>
      <c r="K5" s="1822" t="s">
        <v>1397</v>
      </c>
      <c r="L5" s="1293"/>
      <c r="M5" s="1294"/>
    </row>
    <row r="6" spans="1:37" ht="18" customHeight="1">
      <c r="A6" s="1291" t="s">
        <v>1032</v>
      </c>
      <c r="B6" s="3199" t="s">
        <v>1398</v>
      </c>
      <c r="C6" s="1296">
        <f ca="1">ROUND(F6*F8*F7*(1-F9)/10000,0)</f>
        <v>4336</v>
      </c>
      <c r="D6" s="164" t="s">
        <v>3028</v>
      </c>
      <c r="E6" s="347" t="s">
        <v>1400</v>
      </c>
      <c r="F6" s="348">
        <f ca="1">INDIRECT("'数据-取费表'!u"&amp;$G$1)</f>
        <v>2.2999999999999998</v>
      </c>
      <c r="G6" s="1851"/>
      <c r="H6" s="1291" t="s">
        <v>1032</v>
      </c>
      <c r="I6" s="3199" t="s">
        <v>1398</v>
      </c>
      <c r="J6" s="346">
        <f ca="1">ROUND(M6*M8*M7*(1-M9)/10000,0)</f>
        <v>0</v>
      </c>
      <c r="K6" s="164" t="s">
        <v>3027</v>
      </c>
      <c r="L6" s="347" t="s">
        <v>1400</v>
      </c>
      <c r="M6" s="348">
        <f ca="1">INDIRECT("'数据-取费表'!z"&amp;$G$1)</f>
        <v>0</v>
      </c>
    </row>
    <row r="7" spans="1:37" ht="18" customHeight="1">
      <c r="A7" s="1295"/>
      <c r="B7" s="3200"/>
      <c r="C7" s="1297"/>
      <c r="D7" s="352"/>
      <c r="E7" s="1298" t="s">
        <v>1401</v>
      </c>
      <c r="F7" s="348">
        <f ca="1">IF(INDIRECT("'数据-取费表'!ah"&amp;$G$1)="",INDIRECT("'数据-取费表'!k"&amp;$G$1),INDIRECT("'数据-取费表'!ah"&amp;$G$1))</f>
        <v>57392.160000000003</v>
      </c>
      <c r="G7" s="1851"/>
      <c r="H7" s="349"/>
      <c r="I7" s="3200"/>
      <c r="J7" s="351"/>
      <c r="K7" s="352"/>
      <c r="L7" s="347" t="s">
        <v>1401</v>
      </c>
      <c r="M7" s="348">
        <f ca="1">F7</f>
        <v>57392.160000000003</v>
      </c>
    </row>
    <row r="8" spans="1:37" ht="18" customHeight="1">
      <c r="A8" s="349"/>
      <c r="B8" s="3200"/>
      <c r="C8" s="351"/>
      <c r="D8" s="352"/>
      <c r="E8" s="347" t="s">
        <v>1402</v>
      </c>
      <c r="F8" s="348">
        <f ca="1">INDIRECT("'数据-取费表'!ai"&amp;$G$1)</f>
        <v>365</v>
      </c>
      <c r="G8" s="1851"/>
      <c r="H8" s="349"/>
      <c r="I8" s="3200"/>
      <c r="J8" s="351"/>
      <c r="K8" s="352"/>
      <c r="L8" s="347" t="s">
        <v>1402</v>
      </c>
      <c r="M8" s="348">
        <f ca="1">INDIRECT("'数据-取费表'!ai"&amp;$G$1)</f>
        <v>365</v>
      </c>
    </row>
    <row r="9" spans="1:37" ht="18" customHeight="1">
      <c r="A9" s="349"/>
      <c r="B9" s="3201"/>
      <c r="C9" s="351"/>
      <c r="D9" s="352"/>
      <c r="E9" s="347" t="s">
        <v>1403</v>
      </c>
      <c r="F9" s="357">
        <f ca="1">INDIRECT("'数据-取费表'!w"&amp;$G$1)</f>
        <v>0.1</v>
      </c>
      <c r="G9" s="1851"/>
      <c r="H9" s="349"/>
      <c r="I9" s="3201"/>
      <c r="J9" s="351"/>
      <c r="K9" s="352"/>
      <c r="L9" s="358" t="s">
        <v>1403</v>
      </c>
      <c r="M9" s="359">
        <f ca="1">INDIRECT("'数据-取费表'!ab"&amp;$G$1)</f>
        <v>0</v>
      </c>
    </row>
    <row r="10" spans="1:37" ht="18" customHeight="1">
      <c r="A10" s="1291" t="s">
        <v>1036</v>
      </c>
      <c r="B10" s="1823" t="s">
        <v>1404</v>
      </c>
      <c r="C10" s="361">
        <f ca="1">ROUND(IF(F10="押一",C6/12*F11,IF(F10="押二",C6/12*2*F11,IF(F10="押三",C6/12*3*F11,C11*F11))),0)</f>
        <v>5</v>
      </c>
      <c r="D10" s="1824" t="s">
        <v>3037</v>
      </c>
      <c r="E10" s="358" t="s">
        <v>1405</v>
      </c>
      <c r="F10" s="1366" t="s">
        <v>3414</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66253</v>
      </c>
      <c r="D13" s="1331" t="s">
        <v>1410</v>
      </c>
      <c r="E13" s="1331" t="s">
        <v>1411</v>
      </c>
      <c r="F13" s="1332">
        <f ca="1">INDIRECT("'数据-取费表'!y"&amp;$G$1)</f>
        <v>0.97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41131</v>
      </c>
      <c r="D14" s="1800" t="s">
        <v>1413</v>
      </c>
      <c r="E14" s="1794"/>
      <c r="F14" s="364"/>
      <c r="G14" s="1851"/>
      <c r="H14" s="1201" t="s">
        <v>1032</v>
      </c>
      <c r="I14" s="347" t="s">
        <v>1414</v>
      </c>
      <c r="J14" s="24">
        <f ca="1">C29</f>
        <v>68302</v>
      </c>
      <c r="K14" s="15"/>
      <c r="L14" s="979"/>
      <c r="M14" s="980"/>
    </row>
    <row r="15" spans="1:37" s="1858" customFormat="1" ht="18" customHeight="1" thickBot="1">
      <c r="A15" s="1201" t="s">
        <v>1033</v>
      </c>
      <c r="B15" s="347" t="s">
        <v>1415</v>
      </c>
      <c r="C15" s="24">
        <f ca="1">ROUND(C14*F15,0)</f>
        <v>1234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1530</v>
      </c>
      <c r="K16" s="1337" t="s">
        <v>1420</v>
      </c>
      <c r="L16" s="1338"/>
      <c r="M16" s="1294"/>
    </row>
    <row r="17" spans="1:37" s="1858" customFormat="1" ht="18" customHeight="1">
      <c r="A17" s="1201" t="s">
        <v>1385</v>
      </c>
      <c r="B17" s="347" t="s">
        <v>1421</v>
      </c>
      <c r="C17" s="24">
        <f ca="1">ROUND(F17*(F43+INDIRECT("'数据-取费表'!S"&amp;$G$1))/10000,0)</f>
        <v>1530</v>
      </c>
      <c r="D17" s="347" t="s">
        <v>1422</v>
      </c>
      <c r="E17" s="347" t="s">
        <v>1423</v>
      </c>
      <c r="F17" s="26">
        <f>'数据-取费表'!B35</f>
        <v>200</v>
      </c>
      <c r="G17" s="1854"/>
      <c r="H17" s="1201" t="s">
        <v>1032</v>
      </c>
      <c r="I17" s="347" t="s">
        <v>1424</v>
      </c>
      <c r="J17" s="24">
        <f ca="1">ROUND(IF(项目基本情况!B11="自然人",J6*M17/(1+'数据-取费表'!C42),J18+J19+J20),1)</f>
        <v>573.70000000000005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44512</v>
      </c>
      <c r="D19" s="140" t="s">
        <v>1431</v>
      </c>
      <c r="E19" s="1818"/>
      <c r="F19" s="26"/>
      <c r="G19" s="1851"/>
      <c r="H19" s="1201" t="s">
        <v>1033</v>
      </c>
      <c r="I19" s="347" t="s">
        <v>1432</v>
      </c>
      <c r="J19" s="24">
        <f ca="1">IF(K19="按租金收入计税",ROUND(J6*M19/(1+'数据-取费表'!C42),2),ROUND(C29*M19*0.7,2))</f>
        <v>573.74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1335</v>
      </c>
      <c r="D20" s="369" t="s">
        <v>1435</v>
      </c>
      <c r="E20" s="347" t="s">
        <v>1417</v>
      </c>
      <c r="F20" s="367">
        <f>'数据-取费表'!B37</f>
        <v>0.03</v>
      </c>
      <c r="G20" s="1854"/>
      <c r="H20" s="1201" t="s">
        <v>1384</v>
      </c>
      <c r="I20" s="164" t="s">
        <v>1436</v>
      </c>
      <c r="J20" s="25">
        <f ca="1">ROUND(M20*M21/10000,2)</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2.5000000000000001E-2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956.2</v>
      </c>
      <c r="K22" s="1798" t="s">
        <v>1445</v>
      </c>
      <c r="L22" s="347" t="s">
        <v>1417</v>
      </c>
      <c r="M22" s="374">
        <f ca="1">INDIRECT("'数据-取费表'!Ak"&amp;$G$1)</f>
        <v>1.4E-2</v>
      </c>
    </row>
    <row r="23" spans="1:37" s="1858" customFormat="1" ht="18" customHeight="1">
      <c r="A23" s="1201" t="s">
        <v>1031</v>
      </c>
      <c r="B23" s="347" t="s">
        <v>1446</v>
      </c>
      <c r="C23" s="24">
        <f ca="1">IF('数据-取费表'!B22&lt;=1,ROUND(C19*F24*F23/2,0)+ROUND(C20*F24*F23/2,0),ROUND(C19*(POWER((1+F24),F23/2)-1),0)+ROUND(C20*(POWER((1+F24),F23/2)-1),0))</f>
        <v>2738</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1.6000000000000001E-3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1.5E-3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-1530</v>
      </c>
      <c r="K25" s="1345" t="s">
        <v>1459</v>
      </c>
      <c r="L25" s="1346"/>
      <c r="M25" s="1347"/>
    </row>
    <row r="26" spans="1:37">
      <c r="A26" s="1201" t="s">
        <v>1031</v>
      </c>
      <c r="B26" s="347" t="s">
        <v>1460</v>
      </c>
      <c r="C26" s="24">
        <f ca="1">ROUND((C19+C20)*F26,0)</f>
        <v>13754</v>
      </c>
      <c r="D26" s="369" t="s">
        <v>1461</v>
      </c>
      <c r="E26" s="358" t="s">
        <v>1462</v>
      </c>
      <c r="F26" s="357">
        <f ca="1">INDIRECT("'数据-取费表'!q"&amp;$G$1)</f>
        <v>0.3</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7.4999999999999997E-3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68302</v>
      </c>
      <c r="D29" s="1342"/>
      <c r="E29" s="1340"/>
      <c r="F29" s="1343"/>
      <c r="G29" s="1854"/>
      <c r="H29" s="380" t="s">
        <v>1030</v>
      </c>
      <c r="I29" s="381" t="s">
        <v>1474</v>
      </c>
      <c r="J29" s="382">
        <f ca="1">ROUND(J26/(1+F40)^F41,0)</f>
        <v>0</v>
      </c>
      <c r="K29" s="383" t="s">
        <v>1475</v>
      </c>
      <c r="L29" s="384"/>
      <c r="M29" s="385">
        <f ca="1">INDIRECT("'数据-取费表'!k"&amp;$G$1)</f>
        <v>57392.160000000003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1854</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726.8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231.25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495.54</v>
      </c>
      <c r="D33" s="1828" t="s">
        <v>3415</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956.2</v>
      </c>
      <c r="D36" s="1798" t="s">
        <v>1477</v>
      </c>
      <c r="E36" s="347" t="s">
        <v>1417</v>
      </c>
      <c r="F36" s="374">
        <f ca="1">INDIRECT("'数据-取费表'!Ak"&amp;$G$1)</f>
        <v>1.4E-2</v>
      </c>
      <c r="G36" s="1851"/>
      <c r="H36" s="1859"/>
      <c r="I36" s="1860"/>
      <c r="J36" s="1861"/>
      <c r="K36" s="751"/>
      <c r="L36" s="1859"/>
      <c r="M36" s="1859"/>
    </row>
    <row r="37" spans="1:18" ht="18" customHeight="1">
      <c r="A37" s="1201" t="s">
        <v>1072</v>
      </c>
      <c r="B37" s="347" t="s">
        <v>1448</v>
      </c>
      <c r="C37" s="24">
        <f ca="1">ROUND(C13*F37,1)</f>
        <v>106</v>
      </c>
      <c r="D37" s="1798" t="s">
        <v>1449</v>
      </c>
      <c r="E37" s="347" t="s">
        <v>1450</v>
      </c>
      <c r="F37" s="376">
        <f ca="1">INDIRECT("'数据-取费表'!Al"&amp;$G$1)</f>
        <v>1.6000000000000001E-3</v>
      </c>
      <c r="G37" s="1851"/>
      <c r="H37" s="1859"/>
      <c r="I37" s="1860"/>
      <c r="J37" s="1861"/>
      <c r="K37" s="751"/>
      <c r="L37" s="1859"/>
      <c r="M37" s="1859"/>
    </row>
    <row r="38" spans="1:18" ht="18" customHeight="1" thickBot="1">
      <c r="A38" s="1339" t="s">
        <v>1388</v>
      </c>
      <c r="B38" s="1340" t="s">
        <v>1434</v>
      </c>
      <c r="C38" s="1341">
        <f ca="1">ROUND(C5*F38,1)</f>
        <v>65.099999999999994</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2487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59593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34.090000000000003</v>
      </c>
      <c r="G41" s="1851"/>
      <c r="H41" s="732"/>
      <c r="I41" s="1860"/>
      <c r="J41" s="1861"/>
      <c r="K41" s="751"/>
      <c r="L41" s="732"/>
      <c r="M41" s="732"/>
    </row>
    <row r="42" spans="1:18" ht="18" customHeight="1">
      <c r="A42" s="353"/>
      <c r="B42" s="354"/>
      <c r="C42" s="355"/>
      <c r="D42" s="373"/>
      <c r="E42" s="347" t="s">
        <v>1472</v>
      </c>
      <c r="F42" s="357">
        <f ca="1">INDIRECT("'数据-取费表'!v"&amp;$G$1)</f>
        <v>3.5000000000000003E-2</v>
      </c>
      <c r="G42" s="1851"/>
      <c r="H42" s="732"/>
      <c r="I42" s="1860"/>
      <c r="J42" s="1861"/>
      <c r="K42" s="751"/>
      <c r="L42" s="732"/>
      <c r="M42" s="732"/>
    </row>
    <row r="43" spans="1:18" ht="18" customHeight="1" thickBot="1">
      <c r="A43" s="380" t="s">
        <v>1030</v>
      </c>
      <c r="B43" s="381" t="s">
        <v>1482</v>
      </c>
      <c r="C43" s="382">
        <f ca="1">ROUND(C40*10000/F43,0)</f>
        <v>10383</v>
      </c>
      <c r="D43" s="383" t="s">
        <v>1483</v>
      </c>
      <c r="E43" s="384" t="s">
        <v>1484</v>
      </c>
      <c r="F43" s="385">
        <f ca="1">INDIRECT("'数据-取费表'!k"&amp;$G$1)</f>
        <v>57392.160000000003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-163301</v>
      </c>
      <c r="D46" s="1872" t="str">
        <f>C2</f>
        <v>万元</v>
      </c>
      <c r="E46" s="1866"/>
      <c r="F46" s="1866"/>
      <c r="I46" s="1873" t="s">
        <v>1516</v>
      </c>
      <c r="J46" s="1874"/>
      <c r="K46" s="1875"/>
      <c r="L46" s="1876">
        <f ca="1">IF(M47="住宅",0,IF(L48&gt;J51,L60,J60))</f>
        <v>1448</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3416</v>
      </c>
      <c r="K47" s="1882" t="s">
        <v>1522</v>
      </c>
      <c r="L47" s="1883">
        <f ca="1">INDIRECT("'数据-取费表'!d"&amp;$G$1)</f>
        <v>40</v>
      </c>
      <c r="M47" s="1838" t="str">
        <f>IF(ISNUMBER(FIND("住宅",C1)),"住宅","非住宅")</f>
        <v>非住宅</v>
      </c>
      <c r="O47" s="1884" t="s">
        <v>1037</v>
      </c>
      <c r="P47" s="1885" t="s">
        <v>1523</v>
      </c>
      <c r="Q47" s="1886">
        <f ca="1">C40+J29</f>
        <v>59593</v>
      </c>
      <c r="R47" s="1886" t="s">
        <v>1524</v>
      </c>
    </row>
    <row r="48" spans="1:18" s="1842" customFormat="1" ht="28.5" thickBot="1">
      <c r="A48" s="1360" t="s">
        <v>1132</v>
      </c>
      <c r="B48" s="345" t="s">
        <v>1396</v>
      </c>
      <c r="C48" s="1817">
        <f ca="1">C49+C53+C55</f>
        <v>0</v>
      </c>
      <c r="D48" s="1362"/>
      <c r="E48" s="1363"/>
      <c r="F48" s="1181"/>
      <c r="G48" s="792"/>
      <c r="H48" s="793"/>
      <c r="I48" s="1887" t="s">
        <v>1525</v>
      </c>
      <c r="J48" s="1888" t="s">
        <v>3417</v>
      </c>
      <c r="K48" s="1889" t="s">
        <v>1526</v>
      </c>
      <c r="L48" s="1890">
        <f ca="1">INDIRECT("'数据-取费表'!f"&amp;$G$1)</f>
        <v>34.090000000000003</v>
      </c>
      <c r="O48" s="1884" t="s">
        <v>1038</v>
      </c>
      <c r="P48" s="1885" t="s">
        <v>1527</v>
      </c>
      <c r="Q48" s="1886">
        <f ca="1">J60</f>
        <v>1448</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2017</v>
      </c>
      <c r="K49" s="1889" t="s">
        <v>1530</v>
      </c>
      <c r="L49" s="1893"/>
      <c r="O49" s="1894" t="s">
        <v>1039</v>
      </c>
      <c r="P49" s="1885" t="s">
        <v>1531</v>
      </c>
      <c r="Q49" s="1886">
        <f ca="1">C29</f>
        <v>68302</v>
      </c>
      <c r="R49" s="1886" t="s">
        <v>1524</v>
      </c>
    </row>
    <row r="50" spans="1:18" s="1842" customFormat="1" ht="13.5" thickBot="1">
      <c r="A50" s="1195"/>
      <c r="B50" s="1198"/>
      <c r="C50" s="1368"/>
      <c r="D50" s="1172"/>
      <c r="E50" s="1277" t="s">
        <v>1401</v>
      </c>
      <c r="F50" s="1278">
        <f ca="1">F7</f>
        <v>57392.160000000003</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58</v>
      </c>
      <c r="K51" s="1900" t="s">
        <v>1536</v>
      </c>
      <c r="L51" s="1901">
        <f ca="1">ROUND(-PV(INDIRECT("'数据-取费表'!h"&amp;$G$1),L48,(C39-C13*C76),0),0)</f>
        <v>-50971</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34.090000000000003</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9">
        <f ca="1">IF(M47="住宅",IF(D1="——",MAX(J51,L48),MAX(J51,L48-'数据-取费表'!B24)),IF(D1="——",MIN(J51,L48),MIN(J51,L48-'数据-取费表'!B24)))</f>
        <v>34.090000000000003</v>
      </c>
      <c r="K53" s="3197" t="s">
        <v>1543</v>
      </c>
      <c r="L53" s="3198"/>
      <c r="O53" s="1884" t="s">
        <v>1043</v>
      </c>
      <c r="P53" s="1885" t="s">
        <v>1544</v>
      </c>
      <c r="Q53" s="1886">
        <f ca="1">Q47+Q48</f>
        <v>61041</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0.39900000000000002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66253</v>
      </c>
      <c r="D56" s="1913"/>
      <c r="E56" s="1914"/>
      <c r="F56" s="1906"/>
      <c r="I56" s="1915" t="s">
        <v>1549</v>
      </c>
      <c r="J56" s="1916" t="s">
        <v>70</v>
      </c>
      <c r="K56" s="1887" t="s">
        <v>1550</v>
      </c>
      <c r="L56" s="1890" t="str">
        <f ca="1">IF(L48&lt;J51,"——",L48-J53)</f>
        <v>——</v>
      </c>
      <c r="O56" s="1884" t="s">
        <v>1037</v>
      </c>
      <c r="P56" s="1885" t="s">
        <v>1523</v>
      </c>
      <c r="Q56" s="1886">
        <f ca="1">C40+J29</f>
        <v>59593</v>
      </c>
      <c r="R56" s="1886" t="s">
        <v>1524</v>
      </c>
    </row>
    <row r="57" spans="1:18" s="1842" customFormat="1" ht="24.75" thickBot="1">
      <c r="A57" s="1917"/>
      <c r="B57" s="1169" t="s">
        <v>1473</v>
      </c>
      <c r="C57" s="282">
        <f ca="1">C29</f>
        <v>68302</v>
      </c>
      <c r="D57" s="1918"/>
      <c r="E57" s="1919"/>
      <c r="F57" s="1920"/>
      <c r="I57" s="1921" t="s">
        <v>1551</v>
      </c>
      <c r="J57" s="1922">
        <f ca="1">IF(OR(M47="住宅",J51&lt;L48,J56="是"),"——",J51-L48)</f>
        <v>23.909999999999997</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6800</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5737.4</v>
      </c>
      <c r="D59" s="1182" t="s">
        <v>1425</v>
      </c>
      <c r="E59" s="1183" t="s">
        <v>1426</v>
      </c>
      <c r="F59" s="368" t="str">
        <f ca="1">IF(项目基本情况!B11="企业","",IF(INDIRECT("'数据-取费表'!c"&amp;$G$1)="住宅",5%,IF(F49*F50*F51/12/(1+'数据-取费表'!C42)&gt;20000,12%,7%)))</f>
        <v/>
      </c>
      <c r="I59" s="1921" t="s">
        <v>1558</v>
      </c>
      <c r="J59" s="1922">
        <f ca="1">IF(OR(M47="住宅",J51&lt;L48,J56="是"),"——",ROUND(C29*J58,0))</f>
        <v>27321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1448</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5737.37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9.6</v>
      </c>
      <c r="I62" s="1928" t="s">
        <v>1565</v>
      </c>
      <c r="J62" s="1929" t="s">
        <v>1566</v>
      </c>
      <c r="K62" s="1929" t="s">
        <v>1567</v>
      </c>
      <c r="L62" s="1929" t="s">
        <v>1568</v>
      </c>
      <c r="M62" s="1930" t="s">
        <v>1569</v>
      </c>
      <c r="O62" s="1884" t="s">
        <v>1043</v>
      </c>
      <c r="P62" s="1885" t="s">
        <v>1570</v>
      </c>
      <c r="Q62" s="1886">
        <f ca="1">Q56+Q57</f>
        <v>59593</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956.2</v>
      </c>
      <c r="D64" s="1183" t="s">
        <v>1497</v>
      </c>
      <c r="E64" s="1169" t="s">
        <v>1489</v>
      </c>
      <c r="F64" s="374">
        <f t="shared" ca="1" si="0"/>
        <v>1.4E-2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106</v>
      </c>
      <c r="D65" s="1183" t="s">
        <v>1449</v>
      </c>
      <c r="E65" s="1169" t="s">
        <v>1450</v>
      </c>
      <c r="F65" s="376">
        <f t="shared" ca="1" si="0"/>
        <v>1.6000000000000001E-3</v>
      </c>
      <c r="I65" s="1928" t="s">
        <v>1574</v>
      </c>
      <c r="J65" s="1929">
        <v>40</v>
      </c>
      <c r="K65" s="1929">
        <v>30</v>
      </c>
      <c r="L65" s="1929">
        <v>50</v>
      </c>
      <c r="M65" s="1931">
        <v>0.02</v>
      </c>
      <c r="O65" s="1884" t="s">
        <v>1037</v>
      </c>
      <c r="P65" s="1885" t="s">
        <v>1575</v>
      </c>
      <c r="Q65" s="1886">
        <f ca="1">C40+J29</f>
        <v>59593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-6800</v>
      </c>
      <c r="D67" s="1182" t="s">
        <v>1459</v>
      </c>
      <c r="E67" s="1187"/>
      <c r="F67" s="1188"/>
      <c r="O67" s="1894" t="s">
        <v>1039</v>
      </c>
      <c r="P67" s="1885" t="s">
        <v>1557</v>
      </c>
      <c r="Q67" s="1932">
        <f ca="1">L51</f>
        <v>-50971</v>
      </c>
      <c r="R67" s="1886" t="s">
        <v>1577</v>
      </c>
    </row>
    <row r="68" spans="1:18" s="1842" customFormat="1" ht="16.5" thickBot="1">
      <c r="A68" s="1166" t="s">
        <v>1029</v>
      </c>
      <c r="B68" s="1167" t="s">
        <v>1480</v>
      </c>
      <c r="C68" s="346">
        <f ca="1">ROUND(C67*(1-((1+F70)/(1+F68))^F69)/(F68-F70),0)</f>
        <v>-103708</v>
      </c>
      <c r="D68" s="1184" t="s">
        <v>1464</v>
      </c>
      <c r="E68" s="1169" t="s">
        <v>1465</v>
      </c>
      <c r="F68" s="357">
        <f ca="1">F40</f>
        <v>5.5E-2</v>
      </c>
      <c r="O68" s="1894" t="s">
        <v>1040</v>
      </c>
      <c r="P68" s="1933" t="s">
        <v>1578</v>
      </c>
      <c r="Q68" s="1886">
        <f ca="1">ROUND(Q69-Q70*Q71,0)</f>
        <v>-3145</v>
      </c>
      <c r="R68" s="1886" t="s">
        <v>1048</v>
      </c>
    </row>
    <row r="69" spans="1:18" s="1842" customFormat="1" ht="13.5" thickBot="1">
      <c r="A69" s="1170"/>
      <c r="B69" s="1171"/>
      <c r="C69" s="351"/>
      <c r="D69" s="1189" t="s">
        <v>1468</v>
      </c>
      <c r="E69" s="1169" t="s">
        <v>1469</v>
      </c>
      <c r="F69" s="379">
        <f ca="1">F41</f>
        <v>34.090000000000003</v>
      </c>
      <c r="O69" s="1894" t="s">
        <v>1045</v>
      </c>
      <c r="P69" s="1933" t="s">
        <v>1579</v>
      </c>
      <c r="Q69" s="1886">
        <f ca="1">C39</f>
        <v>2487</v>
      </c>
      <c r="R69" s="1886" t="s">
        <v>1524</v>
      </c>
    </row>
    <row r="70" spans="1:18" s="1842" customFormat="1" ht="13.5" thickBot="1">
      <c r="A70" s="1173"/>
      <c r="B70" s="1174"/>
      <c r="C70" s="355"/>
      <c r="D70" s="1185"/>
      <c r="E70" s="1169" t="s">
        <v>1472</v>
      </c>
      <c r="F70" s="1275"/>
      <c r="O70" s="1894" t="s">
        <v>1046</v>
      </c>
      <c r="P70" s="1933" t="s">
        <v>1580</v>
      </c>
      <c r="Q70" s="1886">
        <f ca="1">C13</f>
        <v>66253</v>
      </c>
      <c r="R70" s="1886" t="s">
        <v>1524</v>
      </c>
    </row>
    <row r="71" spans="1:18" s="1842" customFormat="1" ht="13.5" thickBot="1">
      <c r="A71" s="1190" t="s">
        <v>1030</v>
      </c>
      <c r="B71" s="1191" t="s">
        <v>1482</v>
      </c>
      <c r="C71" s="382">
        <f ca="1">ROUND(C68*10000/F71,0)</f>
        <v>-18070</v>
      </c>
      <c r="D71" s="1192" t="s">
        <v>1483</v>
      </c>
      <c r="E71" s="1193" t="s">
        <v>1484</v>
      </c>
      <c r="F71" s="385">
        <f ca="1">F43</f>
        <v>57392.160000000003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5632</v>
      </c>
      <c r="D75" s="1842"/>
      <c r="E75" s="1842"/>
      <c r="F75" s="1842"/>
      <c r="K75" s="1868"/>
      <c r="L75" s="1842"/>
      <c r="O75" s="1884" t="s">
        <v>1043</v>
      </c>
      <c r="P75" s="1885" t="s">
        <v>1544</v>
      </c>
      <c r="Q75" s="1886">
        <f ca="1">Q65+Q66</f>
        <v>59593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-1.2650000000000001</v>
      </c>
    </row>
    <row r="80" spans="1:18">
      <c r="B80" s="386" t="s">
        <v>1506</v>
      </c>
      <c r="C80" s="318">
        <f ca="1">ROUND(C75/C39,3)</f>
        <v>2.2650000000000001</v>
      </c>
    </row>
    <row r="81" spans="2:3">
      <c r="B81" s="314" t="s">
        <v>1507</v>
      </c>
      <c r="C81" s="282"/>
    </row>
    <row r="82" spans="2:3">
      <c r="B82" s="317" t="s">
        <v>1508</v>
      </c>
      <c r="C82" s="319">
        <f ca="1">1-C83</f>
        <v>-0.1120000000000001</v>
      </c>
    </row>
    <row r="83" spans="2:3">
      <c r="B83" s="317" t="s">
        <v>1509</v>
      </c>
      <c r="C83" s="318">
        <f ca="1">ROUND(C13/C40,3)</f>
        <v>1.1120000000000001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9" t="s">
        <v>1398</v>
      </c>
      <c r="C6" s="1296">
        <f ca="1">ROUND(F6*F8*F7*(1-F9),0)</f>
        <v>0</v>
      </c>
      <c r="D6" s="164" t="s">
        <v>3025</v>
      </c>
      <c r="E6" s="347" t="s">
        <v>1400</v>
      </c>
      <c r="F6" s="348">
        <f ca="1">INDIRECT("'数据-取费表'!u"&amp;$G$1)</f>
        <v>0</v>
      </c>
      <c r="G6" s="1851"/>
      <c r="H6" s="1291" t="s">
        <v>1032</v>
      </c>
      <c r="I6" s="3199" t="s">
        <v>1398</v>
      </c>
      <c r="J6" s="346">
        <f ca="1">ROUND(M6*M8*M7*(1-M9),0)</f>
        <v>0</v>
      </c>
      <c r="K6" s="1834" t="s">
        <v>3026</v>
      </c>
      <c r="L6" s="347" t="s">
        <v>1400</v>
      </c>
      <c r="M6" s="348">
        <f ca="1">INDIRECT("'数据-取费表'!z"&amp;$G$1)</f>
        <v>0</v>
      </c>
    </row>
    <row r="7" spans="1:37" ht="18" customHeight="1">
      <c r="A7" s="1295"/>
      <c r="B7" s="3200"/>
      <c r="C7" s="1297"/>
      <c r="D7" s="352"/>
      <c r="E7" s="1298" t="s">
        <v>1401</v>
      </c>
      <c r="F7" s="348">
        <f ca="1">IF(INDIRECT("'数据-取费表'!ah"&amp;$G$1)="",INDIRECT("'数据-取费表'!k"&amp;$G$1),INDIRECT("'数据-取费表'!ah"&amp;$G$1))</f>
        <v>0</v>
      </c>
      <c r="G7" s="1851"/>
      <c r="H7" s="349"/>
      <c r="I7" s="3200"/>
      <c r="J7" s="351"/>
      <c r="K7" s="352"/>
      <c r="L7" s="347" t="s">
        <v>1401</v>
      </c>
      <c r="M7" s="348">
        <f ca="1">F7</f>
        <v>0</v>
      </c>
    </row>
    <row r="8" spans="1:37" ht="18" customHeight="1">
      <c r="A8" s="349"/>
      <c r="B8" s="3200"/>
      <c r="C8" s="351"/>
      <c r="D8" s="352"/>
      <c r="E8" s="347" t="s">
        <v>1402</v>
      </c>
      <c r="F8" s="348">
        <f ca="1">INDIRECT("'数据-取费表'!ai"&amp;$G$1)</f>
        <v>0</v>
      </c>
      <c r="G8" s="1851"/>
      <c r="H8" s="349"/>
      <c r="I8" s="3200"/>
      <c r="J8" s="351"/>
      <c r="K8" s="352"/>
      <c r="L8" s="347" t="s">
        <v>1402</v>
      </c>
      <c r="M8" s="348">
        <f ca="1">INDIRECT("'数据-取费表'!ai"&amp;$G$1)</f>
        <v>0</v>
      </c>
    </row>
    <row r="9" spans="1:37" ht="18" customHeight="1">
      <c r="A9" s="349"/>
      <c r="B9" s="3201"/>
      <c r="C9" s="351"/>
      <c r="D9" s="352"/>
      <c r="E9" s="347" t="s">
        <v>1403</v>
      </c>
      <c r="F9" s="357">
        <f ca="1">INDIRECT("'数据-取费表'!w"&amp;$G$1)</f>
        <v>0</v>
      </c>
      <c r="G9" s="1851"/>
      <c r="H9" s="349"/>
      <c r="I9" s="320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2.5000000000000001E-2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1.5E-3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9">
        <f ca="1">IF(M47="住宅",IF(D1="——",MAX(J51,L48),MAX(J51,L48-'数据-取费表'!B24)),IF(D1="——",MIN(J51,L48),MIN(J51,L48-'数据-取费表'!B24)))</f>
        <v>0</v>
      </c>
      <c r="K53" s="3197" t="s">
        <v>1543</v>
      </c>
      <c r="L53" s="319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9.6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2522</v>
      </c>
      <c r="B1" s="2561"/>
      <c r="C1" s="2561"/>
      <c r="D1" s="2561"/>
      <c r="E1" s="2562"/>
    </row>
    <row r="2" spans="1:6" ht="15.75">
      <c r="A2" s="2563" t="s">
        <v>2323</v>
      </c>
      <c r="B2" s="2564">
        <f ca="1">SUMIF(B6:B13,"&lt;&gt;#ref!",B6:B13)</f>
        <v>61041</v>
      </c>
      <c r="C2" s="2565" t="s">
        <v>2515</v>
      </c>
      <c r="D2" s="2566" t="s">
        <v>2516</v>
      </c>
      <c r="E2" s="2567">
        <f>SUM(E6:E13)</f>
        <v>76522.880000000005</v>
      </c>
    </row>
    <row r="3" spans="1:6" ht="15.75">
      <c r="A3" s="2563" t="s">
        <v>1390</v>
      </c>
      <c r="B3" s="2564">
        <f ca="1">ROUND(B2*10000/E2,0)</f>
        <v>7977</v>
      </c>
      <c r="C3" s="2565" t="s">
        <v>2523</v>
      </c>
      <c r="D3" s="2568"/>
      <c r="E3" s="2569"/>
    </row>
    <row r="4" spans="1:6" ht="15.75">
      <c r="A4" s="2570"/>
      <c r="B4" s="2568"/>
      <c r="C4" s="2568"/>
      <c r="D4" s="2568"/>
      <c r="E4" s="2569"/>
    </row>
    <row r="5" spans="1:6" ht="15">
      <c r="A5" s="2571" t="s">
        <v>2517</v>
      </c>
      <c r="B5" s="3202" t="s">
        <v>2518</v>
      </c>
      <c r="C5" s="3202"/>
      <c r="D5" s="2572"/>
      <c r="E5" s="2573" t="s">
        <v>2519</v>
      </c>
      <c r="F5" s="2574" t="s">
        <v>2520</v>
      </c>
    </row>
    <row r="6" spans="1:6">
      <c r="A6" s="2575" t="str">
        <f>'数据-取费表'!AN6</f>
        <v>收益法</v>
      </c>
      <c r="B6" s="2574">
        <f ca="1">IF(F6="是",'数据-取费表'!AO6,0)</f>
        <v>61041</v>
      </c>
      <c r="C6" s="2565" t="s">
        <v>2515</v>
      </c>
      <c r="D6" s="2568"/>
      <c r="E6" s="2576">
        <f>IF(OR(A6=0,F6="否"),0,'数据-取费表'!K6+'数据-取费表'!S6)</f>
        <v>76522.880000000005</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t="e">
        <f ca="1">IF(F8="是",'数据-取费表'!AO8,0)</f>
        <v>#REF!</v>
      </c>
      <c r="C8" s="2565" t="s">
        <v>2515</v>
      </c>
      <c r="D8" s="2568"/>
      <c r="E8" s="2576">
        <f>IF(OR(A8=0,F8="否"),0,'数据-取费表'!K8+'数据-取费表'!S8)</f>
        <v>0</v>
      </c>
      <c r="F8" s="2577" t="s">
        <v>2521</v>
      </c>
    </row>
    <row r="9" spans="1:6">
      <c r="A9" s="2575">
        <f>'数据-取费表'!AN9</f>
        <v>0</v>
      </c>
      <c r="B9" s="2574" t="e">
        <f ca="1">IF(F9="是",'数据-取费表'!AO9,0)</f>
        <v>#REF!</v>
      </c>
      <c r="C9" s="2565" t="s">
        <v>2515</v>
      </c>
      <c r="D9" s="2568"/>
      <c r="E9" s="2576">
        <f>IF(OR(A9=0,F9="否"),0,'数据-取费表'!K9+'数据-取费表'!S9)</f>
        <v>0</v>
      </c>
      <c r="F9" s="2577" t="s">
        <v>2521</v>
      </c>
    </row>
    <row r="10" spans="1:6">
      <c r="A10" s="2575">
        <f>'数据-取费表'!AN10</f>
        <v>0</v>
      </c>
      <c r="B10" s="2574" t="e">
        <f ca="1">IF(F10="是",'数据-取费表'!AO10,0)</f>
        <v>#REF!</v>
      </c>
      <c r="C10" s="2565" t="s">
        <v>2515</v>
      </c>
      <c r="D10" s="2568"/>
      <c r="E10" s="2576">
        <f>IF(OR(A10=0,F10="否"),0,'数据-取费表'!K10+'数据-取费表'!S10)</f>
        <v>0</v>
      </c>
      <c r="F10" s="2577" t="s">
        <v>2521</v>
      </c>
    </row>
    <row r="11" spans="1:6">
      <c r="A11" s="2575">
        <f>'数据-取费表'!AN11</f>
        <v>0</v>
      </c>
      <c r="B11" s="2574" t="e">
        <f ca="1">IF(F11="是",'数据-取费表'!AO11,0)</f>
        <v>#REF!</v>
      </c>
      <c r="C11" s="2565" t="s">
        <v>2515</v>
      </c>
      <c r="D11" s="2568"/>
      <c r="E11" s="2576">
        <f>IF(OR(A11=0,F11="否"),0,'数据-取费表'!K11+'数据-取费表'!S11)</f>
        <v>0</v>
      </c>
      <c r="F11" s="2577" t="s">
        <v>2521</v>
      </c>
    </row>
    <row r="12" spans="1:6">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208" t="s">
        <v>1074</v>
      </c>
      <c r="B2" s="3209" t="s">
        <v>1075</v>
      </c>
      <c r="C2" s="3209"/>
      <c r="D2" s="1301" t="s">
        <v>1076</v>
      </c>
      <c r="E2" s="1301" t="s">
        <v>1077</v>
      </c>
      <c r="F2" s="1301" t="s">
        <v>1078</v>
      </c>
      <c r="G2" s="1301" t="s">
        <v>1079</v>
      </c>
      <c r="H2" s="1301" t="s">
        <v>1080</v>
      </c>
      <c r="I2" s="1302" t="s">
        <v>1081</v>
      </c>
    </row>
    <row r="3" spans="1:9">
      <c r="A3" s="3208"/>
      <c r="B3" s="3209" t="s">
        <v>1082</v>
      </c>
      <c r="C3" s="3209"/>
      <c r="D3" s="1303"/>
      <c r="E3" s="1301"/>
      <c r="F3" s="1304"/>
      <c r="G3" s="1304"/>
      <c r="H3" s="1305"/>
      <c r="I3" s="1306">
        <f>ROUND(D3*E3*F3*G3*H3/10000,0)</f>
        <v>0</v>
      </c>
    </row>
    <row r="4" spans="1:9">
      <c r="A4" s="3208"/>
      <c r="B4" s="3209" t="s">
        <v>1083</v>
      </c>
      <c r="C4" s="3209"/>
      <c r="D4" s="1303"/>
      <c r="E4" s="1301"/>
      <c r="F4" s="1304"/>
      <c r="G4" s="1304"/>
      <c r="H4" s="1305"/>
      <c r="I4" s="1306">
        <f t="shared" ref="I4:I9" si="0">ROUND(D4*E4*F4*G4*H4/10000,0)</f>
        <v>0</v>
      </c>
    </row>
    <row r="5" spans="1:9">
      <c r="A5" s="3208"/>
      <c r="B5" s="3209" t="s">
        <v>1084</v>
      </c>
      <c r="C5" s="3209"/>
      <c r="D5" s="1303"/>
      <c r="E5" s="1301"/>
      <c r="F5" s="1304"/>
      <c r="G5" s="1304"/>
      <c r="H5" s="1305"/>
      <c r="I5" s="1306">
        <f t="shared" si="0"/>
        <v>0</v>
      </c>
    </row>
    <row r="6" spans="1:9">
      <c r="A6" s="3208"/>
      <c r="B6" s="3209" t="s">
        <v>1085</v>
      </c>
      <c r="C6" s="3209"/>
      <c r="D6" s="1303"/>
      <c r="E6" s="1301"/>
      <c r="F6" s="1304"/>
      <c r="G6" s="1304"/>
      <c r="H6" s="1305"/>
      <c r="I6" s="1306">
        <f t="shared" si="0"/>
        <v>0</v>
      </c>
    </row>
    <row r="7" spans="1:9">
      <c r="A7" s="3208"/>
      <c r="B7" s="3209" t="s">
        <v>1086</v>
      </c>
      <c r="C7" s="3209"/>
      <c r="D7" s="1303"/>
      <c r="E7" s="1301"/>
      <c r="F7" s="1304"/>
      <c r="G7" s="1304"/>
      <c r="H7" s="1305"/>
      <c r="I7" s="1306">
        <f t="shared" si="0"/>
        <v>0</v>
      </c>
    </row>
    <row r="8" spans="1:9">
      <c r="A8" s="3208"/>
      <c r="B8" s="3209" t="s">
        <v>1087</v>
      </c>
      <c r="C8" s="3209"/>
      <c r="D8" s="1303"/>
      <c r="E8" s="1301"/>
      <c r="F8" s="1304"/>
      <c r="G8" s="1304"/>
      <c r="H8" s="1305"/>
      <c r="I8" s="1306">
        <f t="shared" si="0"/>
        <v>0</v>
      </c>
    </row>
    <row r="9" spans="1:9">
      <c r="A9" s="3208"/>
      <c r="B9" s="3209" t="s">
        <v>1088</v>
      </c>
      <c r="C9" s="3209"/>
      <c r="D9" s="1303"/>
      <c r="E9" s="1301"/>
      <c r="F9" s="1304"/>
      <c r="G9" s="1304"/>
      <c r="H9" s="1305"/>
      <c r="I9" s="1306">
        <f t="shared" si="0"/>
        <v>0</v>
      </c>
    </row>
    <row r="10" spans="1:9">
      <c r="A10" s="3208"/>
      <c r="B10" s="3210" t="s">
        <v>1089</v>
      </c>
      <c r="C10" s="3210"/>
      <c r="D10" s="1307"/>
      <c r="E10" s="1307" t="e">
        <f>ROUND(D1*10000/D10/H9,0)</f>
        <v>#DIV/0!</v>
      </c>
      <c r="F10" s="1308"/>
      <c r="G10" s="1308"/>
      <c r="H10" s="1309"/>
      <c r="I10" s="1310">
        <f>SUM(I3:I9)</f>
        <v>0</v>
      </c>
    </row>
    <row r="11" spans="1:9" ht="14.25">
      <c r="A11" s="3208" t="s">
        <v>1090</v>
      </c>
      <c r="B11" s="3209" t="s">
        <v>1091</v>
      </c>
      <c r="C11" s="3209"/>
      <c r="D11" s="1303" t="s">
        <v>1092</v>
      </c>
      <c r="E11" s="1303" t="s">
        <v>1093</v>
      </c>
      <c r="F11" s="1304" t="s">
        <v>1094</v>
      </c>
      <c r="G11" s="1304" t="s">
        <v>1080</v>
      </c>
      <c r="H11" s="1311" t="s">
        <v>1095</v>
      </c>
      <c r="I11" s="1302" t="s">
        <v>1081</v>
      </c>
    </row>
    <row r="12" spans="1:9">
      <c r="A12" s="3208"/>
      <c r="B12" s="3209" t="s">
        <v>1096</v>
      </c>
      <c r="C12" s="3209"/>
      <c r="D12" s="1303"/>
      <c r="E12" s="1303"/>
      <c r="F12" s="1304"/>
      <c r="G12" s="1305"/>
      <c r="H12" s="1312"/>
      <c r="I12" s="1302">
        <f>ROUND(D12*E12*F12*G12/10000,0)</f>
        <v>0</v>
      </c>
    </row>
    <row r="13" spans="1:9">
      <c r="A13" s="3208"/>
      <c r="B13" s="3209" t="s">
        <v>1097</v>
      </c>
      <c r="C13" s="3209"/>
      <c r="D13" s="1303"/>
      <c r="E13" s="1303"/>
      <c r="F13" s="1304"/>
      <c r="G13" s="1305"/>
      <c r="H13" s="1312"/>
      <c r="I13" s="1302">
        <f>ROUND(D13*E13*F13*G13/10000,0)</f>
        <v>0</v>
      </c>
    </row>
    <row r="14" spans="1:9">
      <c r="A14" s="3208"/>
      <c r="B14" s="3209" t="s">
        <v>1098</v>
      </c>
      <c r="C14" s="3209"/>
      <c r="D14" s="1303"/>
      <c r="E14" s="1303"/>
      <c r="F14" s="1304"/>
      <c r="G14" s="1305"/>
      <c r="H14" s="1312"/>
      <c r="I14" s="1302">
        <f>ROUND(D14*E14*F14*G14/10000,0)</f>
        <v>0</v>
      </c>
    </row>
    <row r="15" spans="1:9">
      <c r="A15" s="3208"/>
      <c r="B15" s="3210" t="s">
        <v>1089</v>
      </c>
      <c r="C15" s="3210"/>
      <c r="D15" s="1307"/>
      <c r="E15" s="1307">
        <f>SUM(E12:E14)</f>
        <v>0</v>
      </c>
      <c r="F15" s="1308"/>
      <c r="G15" s="1305"/>
      <c r="H15" s="1312"/>
      <c r="I15" s="1313">
        <f>SUM(I12:I14)</f>
        <v>0</v>
      </c>
    </row>
    <row r="16" spans="1:9" ht="24">
      <c r="A16" s="3208" t="s">
        <v>1099</v>
      </c>
      <c r="B16" s="3209" t="s">
        <v>1100</v>
      </c>
      <c r="C16" s="3209"/>
      <c r="D16" s="1303" t="s">
        <v>1076</v>
      </c>
      <c r="E16" s="1314" t="s">
        <v>1101</v>
      </c>
      <c r="F16" s="1304" t="s">
        <v>1102</v>
      </c>
      <c r="G16" s="1305" t="s">
        <v>1080</v>
      </c>
      <c r="H16" s="1311" t="s">
        <v>1095</v>
      </c>
      <c r="I16" s="1302" t="s">
        <v>1081</v>
      </c>
    </row>
    <row r="17" spans="1:9" ht="14.25">
      <c r="A17" s="3208"/>
      <c r="B17" s="3209" t="s">
        <v>1103</v>
      </c>
      <c r="C17" s="3209"/>
      <c r="D17" s="1303"/>
      <c r="E17" s="1303"/>
      <c r="F17" s="1304"/>
      <c r="G17" s="1305"/>
      <c r="H17" s="1315"/>
      <c r="I17" s="1316">
        <f>ROUND(D17*E17*F17*G17/10000,0)</f>
        <v>0</v>
      </c>
    </row>
    <row r="18" spans="1:9" ht="14.25">
      <c r="A18" s="3208"/>
      <c r="B18" s="3209" t="s">
        <v>1104</v>
      </c>
      <c r="C18" s="3209"/>
      <c r="D18" s="1303"/>
      <c r="E18" s="1303"/>
      <c r="F18" s="1304"/>
      <c r="G18" s="1305"/>
      <c r="H18" s="1315"/>
      <c r="I18" s="1316">
        <f>ROUND(D18*E18*F18*G18/10000,0)</f>
        <v>0</v>
      </c>
    </row>
    <row r="19" spans="1:9" ht="14.25">
      <c r="A19" s="3208"/>
      <c r="B19" s="3209" t="s">
        <v>1105</v>
      </c>
      <c r="C19" s="3209"/>
      <c r="D19" s="1303"/>
      <c r="E19" s="1303"/>
      <c r="F19" s="1304"/>
      <c r="G19" s="1305"/>
      <c r="H19" s="1315"/>
      <c r="I19" s="1316">
        <f>ROUND(D19*E19*F19*G19/10000,0)</f>
        <v>0</v>
      </c>
    </row>
    <row r="20" spans="1:9">
      <c r="A20" s="3208"/>
      <c r="B20" s="3210" t="s">
        <v>1089</v>
      </c>
      <c r="C20" s="3210"/>
      <c r="D20" s="1307">
        <f>SUM(D17:D19)</f>
        <v>0</v>
      </c>
      <c r="E20" s="1307"/>
      <c r="F20" s="1308"/>
      <c r="G20" s="1305"/>
      <c r="H20" s="1312"/>
      <c r="I20" s="1313">
        <f>SUM(I17:I19)</f>
        <v>0</v>
      </c>
    </row>
    <row r="21" spans="1:9">
      <c r="A21" s="3208" t="s">
        <v>1106</v>
      </c>
      <c r="B21" s="3212"/>
      <c r="C21" s="3212"/>
      <c r="D21" s="3212"/>
      <c r="E21" s="3212"/>
      <c r="F21" s="3212"/>
      <c r="G21" s="3212"/>
      <c r="H21" s="1765">
        <v>0.1</v>
      </c>
      <c r="I21" s="1310">
        <f>ROUND(I10*H21,0)</f>
        <v>0</v>
      </c>
    </row>
    <row r="22" spans="1:9" ht="14.25">
      <c r="A22" s="3213" t="s">
        <v>1107</v>
      </c>
      <c r="B22" s="3214"/>
      <c r="C22" s="3215"/>
      <c r="D22" s="1317" t="s">
        <v>1108</v>
      </c>
      <c r="E22" s="1317" t="s">
        <v>1109</v>
      </c>
      <c r="F22" s="1318" t="s">
        <v>1110</v>
      </c>
      <c r="G22" s="1318" t="s">
        <v>1111</v>
      </c>
      <c r="H22" s="1311" t="s">
        <v>1112</v>
      </c>
      <c r="I22" s="1302" t="s">
        <v>1113</v>
      </c>
    </row>
    <row r="23" spans="1:9" ht="14.25" thickBot="1">
      <c r="A23" s="3216"/>
      <c r="B23" s="3217"/>
      <c r="C23" s="3218"/>
      <c r="D23" s="1319"/>
      <c r="E23" s="1319"/>
      <c r="F23" s="1319"/>
      <c r="G23" s="1320"/>
      <c r="H23" s="1321"/>
      <c r="I23" s="1322">
        <f>ROUND(E23*D23*F23*(1-G23)/10000,0)</f>
        <v>0</v>
      </c>
    </row>
    <row r="26" spans="1:9">
      <c r="A26" s="1323" t="s">
        <v>1114</v>
      </c>
      <c r="B26" s="1323"/>
      <c r="C26" s="1323"/>
      <c r="D26" s="1323"/>
      <c r="E26" s="3219">
        <f>C27-C30-C31-C32</f>
        <v>0</v>
      </c>
      <c r="F26" s="3219"/>
      <c r="G26" s="3219"/>
      <c r="H26" s="1737" t="s">
        <v>1336</v>
      </c>
    </row>
    <row r="27" spans="1:9">
      <c r="A27" s="1324">
        <v>1</v>
      </c>
      <c r="B27" s="1325" t="s">
        <v>1115</v>
      </c>
      <c r="C27" s="1325">
        <f>C28+C29</f>
        <v>0</v>
      </c>
      <c r="D27" s="1325"/>
      <c r="E27" s="3220"/>
      <c r="F27" s="3220"/>
      <c r="G27" s="3220"/>
    </row>
    <row r="28" spans="1:9">
      <c r="A28" s="1326" t="s">
        <v>1116</v>
      </c>
      <c r="B28" s="1325" t="s">
        <v>1117</v>
      </c>
      <c r="C28" s="1325"/>
      <c r="D28" s="1325"/>
      <c r="E28" s="3220"/>
      <c r="F28" s="3220"/>
      <c r="G28" s="322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1"/>
      <c r="F32" s="3211"/>
      <c r="G32" s="3211"/>
    </row>
    <row r="33" spans="1:7" hidden="1">
      <c r="A33" s="3221" t="s">
        <v>1126</v>
      </c>
      <c r="B33" s="3222"/>
      <c r="C33" s="3222"/>
      <c r="D33" s="3223"/>
      <c r="E33" s="3219"/>
      <c r="F33" s="3219"/>
      <c r="G33" s="3219"/>
    </row>
    <row r="34" spans="1:7" hidden="1">
      <c r="A34" s="1328">
        <v>1</v>
      </c>
      <c r="B34" s="1325" t="s">
        <v>1127</v>
      </c>
      <c r="C34" s="1325"/>
      <c r="D34" s="1325"/>
      <c r="E34" s="3220"/>
      <c r="F34" s="3220"/>
      <c r="G34" s="3220"/>
    </row>
    <row r="35" spans="1:7" hidden="1">
      <c r="A35" s="1328">
        <v>2</v>
      </c>
      <c r="B35" s="1325" t="s">
        <v>1128</v>
      </c>
      <c r="C35" s="1325"/>
      <c r="D35" s="1325"/>
      <c r="E35" s="3220"/>
      <c r="F35" s="3220"/>
      <c r="G35" s="3220"/>
    </row>
    <row r="36" spans="1:7" hidden="1">
      <c r="A36" s="1328">
        <v>3</v>
      </c>
      <c r="B36" s="1325" t="s">
        <v>1129</v>
      </c>
      <c r="C36" s="1325"/>
      <c r="D36" s="1325"/>
      <c r="E36" s="3220"/>
      <c r="F36" s="3220"/>
      <c r="G36" s="3220"/>
    </row>
    <row r="37" spans="1:7" hidden="1">
      <c r="A37" s="1328">
        <v>4</v>
      </c>
      <c r="B37" s="1325" t="s">
        <v>1130</v>
      </c>
      <c r="C37" s="1325"/>
      <c r="D37" s="1325"/>
      <c r="E37" s="3220"/>
      <c r="F37" s="3220"/>
      <c r="G37" s="3220"/>
    </row>
    <row r="38" spans="1:7" hidden="1">
      <c r="A38" s="3221" t="s">
        <v>1131</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2525</v>
      </c>
      <c r="C1" s="1634" t="s">
        <v>2526</v>
      </c>
      <c r="D1" s="1621"/>
      <c r="E1" s="2582"/>
      <c r="F1" s="2583" t="s">
        <v>2527</v>
      </c>
      <c r="G1" s="1631" t="s">
        <v>2528</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76522.880000000005</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69" t="s">
        <v>2532</v>
      </c>
      <c r="D4" s="3170"/>
      <c r="E4" s="3171" t="s">
        <v>2533</v>
      </c>
      <c r="F4" s="3172"/>
      <c r="G4" s="3169" t="s">
        <v>2534</v>
      </c>
      <c r="H4" s="3170"/>
      <c r="I4" s="3169" t="s">
        <v>2535</v>
      </c>
      <c r="J4" s="3170"/>
      <c r="K4" s="2595" t="s">
        <v>2536</v>
      </c>
      <c r="L4" s="1130"/>
      <c r="M4" s="1131"/>
      <c r="N4" s="1131"/>
      <c r="O4" s="1131"/>
      <c r="P4" s="3173" t="s">
        <v>2537</v>
      </c>
      <c r="Q4" s="3174"/>
      <c r="R4" s="3157" t="s">
        <v>2533</v>
      </c>
      <c r="S4" s="3158"/>
      <c r="T4" s="3157" t="s">
        <v>2534</v>
      </c>
      <c r="U4" s="3158"/>
      <c r="V4" s="3181" t="s">
        <v>2535</v>
      </c>
      <c r="W4" s="3181"/>
      <c r="X4" s="1813"/>
      <c r="Y4" s="3157" t="s">
        <v>2537</v>
      </c>
      <c r="Z4" s="3158"/>
      <c r="AA4" s="3152" t="s">
        <v>2533</v>
      </c>
      <c r="AB4" s="3152" t="s">
        <v>2534</v>
      </c>
      <c r="AC4" s="3152" t="s">
        <v>2535</v>
      </c>
    </row>
    <row r="5" spans="1:29" ht="15">
      <c r="A5" s="404"/>
      <c r="B5" s="405"/>
      <c r="C5" s="3167" t="s">
        <v>2538</v>
      </c>
      <c r="D5" s="3164"/>
      <c r="E5" s="3161" t="s">
        <v>2539</v>
      </c>
      <c r="F5" s="3162"/>
      <c r="G5" s="3167" t="s">
        <v>2540</v>
      </c>
      <c r="H5" s="3164"/>
      <c r="I5" s="3167" t="s">
        <v>2541</v>
      </c>
      <c r="J5" s="3164"/>
      <c r="K5" s="2596"/>
      <c r="L5" s="1130"/>
      <c r="M5" s="1131"/>
      <c r="N5" s="1131"/>
      <c r="O5" s="1131"/>
      <c r="P5" s="3175"/>
      <c r="Q5" s="3176"/>
      <c r="R5" s="3159"/>
      <c r="S5" s="3160"/>
      <c r="T5" s="3159"/>
      <c r="U5" s="3160"/>
      <c r="V5" s="3181"/>
      <c r="W5" s="3181"/>
      <c r="X5" s="1813"/>
      <c r="Y5" s="3159"/>
      <c r="Z5" s="3160"/>
      <c r="AA5" s="3153"/>
      <c r="AB5" s="3153"/>
      <c r="AC5" s="3153"/>
    </row>
    <row r="6" spans="1:29" ht="15.75" thickBot="1">
      <c r="A6" s="406"/>
      <c r="B6" s="407"/>
      <c r="C6" s="3224" t="s">
        <v>2542</v>
      </c>
      <c r="D6" s="3166"/>
      <c r="E6" s="3225" t="s">
        <v>2542</v>
      </c>
      <c r="F6" s="3226"/>
      <c r="G6" s="3224" t="s">
        <v>2542</v>
      </c>
      <c r="H6" s="3166"/>
      <c r="I6" s="3224" t="s">
        <v>2542</v>
      </c>
      <c r="J6" s="3166"/>
      <c r="K6" s="2596" t="s">
        <v>2543</v>
      </c>
      <c r="L6" s="1130"/>
      <c r="M6" s="1131"/>
      <c r="N6" s="1131"/>
      <c r="O6" s="1131"/>
      <c r="P6" s="3177"/>
      <c r="Q6" s="3178"/>
      <c r="R6" s="3159"/>
      <c r="S6" s="3160"/>
      <c r="T6" s="3179"/>
      <c r="U6" s="3180"/>
      <c r="V6" s="3181"/>
      <c r="W6" s="3181"/>
      <c r="X6" s="1813"/>
      <c r="Y6" s="3179"/>
      <c r="Z6" s="3180"/>
      <c r="AA6" s="3154"/>
      <c r="AB6" s="3154"/>
      <c r="AC6" s="3154"/>
    </row>
    <row r="7" spans="1:29" s="117" customFormat="1" ht="15.7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55" t="s">
        <v>2545</v>
      </c>
      <c r="Q7" s="3182"/>
      <c r="R7" s="770" t="s">
        <v>23</v>
      </c>
      <c r="S7" s="771">
        <f t="shared" ref="S7:S15" si="0">F7</f>
        <v>0</v>
      </c>
      <c r="T7" s="770" t="s">
        <v>23</v>
      </c>
      <c r="U7" s="771">
        <f t="shared" ref="U7:U15" si="1">H7</f>
        <v>0</v>
      </c>
      <c r="V7" s="770" t="s">
        <v>23</v>
      </c>
      <c r="W7" s="771">
        <f t="shared" ref="W7:W15" si="2">J7</f>
        <v>0</v>
      </c>
      <c r="X7" s="772"/>
      <c r="Y7" s="3155" t="s">
        <v>2545</v>
      </c>
      <c r="Z7" s="3156"/>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55" t="s">
        <v>2548</v>
      </c>
      <c r="Q8" s="3156"/>
      <c r="R8" s="770" t="s">
        <v>23</v>
      </c>
      <c r="S8" s="771">
        <f t="shared" si="0"/>
        <v>0</v>
      </c>
      <c r="T8" s="770" t="s">
        <v>23</v>
      </c>
      <c r="U8" s="771">
        <f t="shared" si="1"/>
        <v>0</v>
      </c>
      <c r="V8" s="770" t="s">
        <v>23</v>
      </c>
      <c r="W8" s="771">
        <f t="shared" si="2"/>
        <v>0</v>
      </c>
      <c r="X8" s="772"/>
      <c r="Y8" s="3155" t="s">
        <v>2548</v>
      </c>
      <c r="Z8" s="3156"/>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
      <c r="A15" s="440" t="s">
        <v>2555</v>
      </c>
      <c r="B15" s="69" t="s">
        <v>2084</v>
      </c>
      <c r="C15" s="2602" t="str">
        <f>估价对象房地状况!C3</f>
        <v xml:space="preserve"> </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3" t="s">
        <v>2556</v>
      </c>
      <c r="Q15" s="1810" t="str">
        <f t="shared" si="6"/>
        <v>居住社区成熟度</v>
      </c>
      <c r="R15" s="774" t="s">
        <v>21</v>
      </c>
      <c r="S15" s="775">
        <f t="shared" si="0"/>
        <v>100</v>
      </c>
      <c r="T15" s="774" t="s">
        <v>21</v>
      </c>
      <c r="U15" s="775">
        <f t="shared" si="1"/>
        <v>100</v>
      </c>
      <c r="V15" s="774" t="s">
        <v>21</v>
      </c>
      <c r="W15" s="775">
        <f t="shared" si="2"/>
        <v>100</v>
      </c>
      <c r="X15" s="1813"/>
      <c r="Y15" s="3183" t="s">
        <v>2556</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4"/>
      <c r="Q16" s="1810"/>
      <c r="R16" s="774"/>
      <c r="S16" s="775"/>
      <c r="T16" s="774"/>
      <c r="U16" s="775"/>
      <c r="V16" s="774"/>
      <c r="W16" s="775"/>
      <c r="X16" s="1813"/>
      <c r="Y16" s="3184"/>
      <c r="Z16" s="1814"/>
      <c r="AA16" s="1811">
        <v>1</v>
      </c>
      <c r="AB16" s="1811">
        <v>1</v>
      </c>
      <c r="AC16" s="1811">
        <v>1</v>
      </c>
    </row>
    <row r="17" spans="1:29" ht="15">
      <c r="A17" s="428"/>
      <c r="B17" s="451" t="s">
        <v>2093</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4"/>
      <c r="Q17" s="1810" t="str">
        <f>B17</f>
        <v>交通便捷度</v>
      </c>
      <c r="R17" s="774" t="s">
        <v>21</v>
      </c>
      <c r="S17" s="775">
        <f>F17</f>
        <v>100</v>
      </c>
      <c r="T17" s="774" t="s">
        <v>21</v>
      </c>
      <c r="U17" s="775">
        <f>H17</f>
        <v>100</v>
      </c>
      <c r="V17" s="774" t="s">
        <v>21</v>
      </c>
      <c r="W17" s="775">
        <f>J17</f>
        <v>100</v>
      </c>
      <c r="X17" s="1813"/>
      <c r="Y17" s="318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4"/>
      <c r="Q18" s="1810"/>
      <c r="R18" s="774"/>
      <c r="S18" s="775"/>
      <c r="T18" s="774"/>
      <c r="U18" s="775"/>
      <c r="V18" s="774"/>
      <c r="W18" s="775"/>
      <c r="X18" s="1813"/>
      <c r="Y18" s="3184"/>
      <c r="Z18" s="1814"/>
      <c r="AA18" s="1811">
        <v>1</v>
      </c>
      <c r="AB18" s="1811">
        <v>1</v>
      </c>
      <c r="AC18" s="1811">
        <v>1</v>
      </c>
    </row>
    <row r="19" spans="1:29" ht="15">
      <c r="A19" s="428"/>
      <c r="B19" s="451" t="s">
        <v>2091</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4"/>
      <c r="Q19" s="1810" t="str">
        <f>B19</f>
        <v>公共配套设施</v>
      </c>
      <c r="R19" s="774" t="s">
        <v>21</v>
      </c>
      <c r="S19" s="775">
        <f>F19</f>
        <v>100</v>
      </c>
      <c r="T19" s="774" t="s">
        <v>21</v>
      </c>
      <c r="U19" s="775">
        <f>H19</f>
        <v>100</v>
      </c>
      <c r="V19" s="774" t="s">
        <v>21</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4"/>
      <c r="Q20" s="1810"/>
      <c r="R20" s="774"/>
      <c r="S20" s="775"/>
      <c r="T20" s="774"/>
      <c r="U20" s="775"/>
      <c r="V20" s="774"/>
      <c r="W20" s="775"/>
      <c r="X20" s="1813"/>
      <c r="Y20" s="3184"/>
      <c r="Z20" s="1814"/>
      <c r="AA20" s="1811">
        <v>1</v>
      </c>
      <c r="AB20" s="1811">
        <v>1</v>
      </c>
      <c r="AC20" s="1811">
        <v>1</v>
      </c>
    </row>
    <row r="21" spans="1:29" ht="15">
      <c r="A21" s="428"/>
      <c r="B21" s="1384"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4"/>
      <c r="Q22" s="1810"/>
      <c r="R22" s="774"/>
      <c r="S22" s="775"/>
      <c r="T22" s="774"/>
      <c r="U22" s="775"/>
      <c r="V22" s="774"/>
      <c r="W22" s="775"/>
      <c r="X22" s="1813"/>
      <c r="Y22" s="3184"/>
      <c r="Z22" s="1814"/>
      <c r="AA22" s="1811">
        <v>1</v>
      </c>
      <c r="AB22" s="1811">
        <v>1</v>
      </c>
      <c r="AC22" s="1811">
        <v>1</v>
      </c>
    </row>
    <row r="23" spans="1:29" ht="15">
      <c r="A23" s="428"/>
      <c r="B23" s="451" t="s">
        <v>2098</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4"/>
      <c r="Q23" s="1810" t="str">
        <f>B23</f>
        <v>自然及人文环境</v>
      </c>
      <c r="R23" s="774" t="s">
        <v>21</v>
      </c>
      <c r="S23" s="775">
        <f>F23</f>
        <v>100</v>
      </c>
      <c r="T23" s="774" t="s">
        <v>21</v>
      </c>
      <c r="U23" s="775">
        <f>H23</f>
        <v>100</v>
      </c>
      <c r="V23" s="774" t="s">
        <v>21</v>
      </c>
      <c r="W23" s="775">
        <f>J23</f>
        <v>100</v>
      </c>
      <c r="X23" s="1813"/>
      <c r="Y23" s="318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4"/>
      <c r="Q24" s="1810"/>
      <c r="R24" s="774"/>
      <c r="S24" s="775"/>
      <c r="T24" s="774"/>
      <c r="U24" s="775"/>
      <c r="V24" s="774"/>
      <c r="W24" s="775"/>
      <c r="X24" s="1813"/>
      <c r="Y24" s="3184"/>
      <c r="Z24" s="1814"/>
      <c r="AA24" s="1811">
        <v>1</v>
      </c>
      <c r="AB24" s="1811">
        <v>1</v>
      </c>
      <c r="AC24" s="1811">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4"/>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4"/>
      <c r="Q26" s="1810" t="str">
        <f t="shared" si="11"/>
        <v>朝向</v>
      </c>
      <c r="R26" s="774" t="s">
        <v>21</v>
      </c>
      <c r="S26" s="775">
        <f t="shared" si="12"/>
        <v>100</v>
      </c>
      <c r="T26" s="774" t="s">
        <v>21</v>
      </c>
      <c r="U26" s="775">
        <f t="shared" si="13"/>
        <v>100</v>
      </c>
      <c r="V26" s="774" t="s">
        <v>21</v>
      </c>
      <c r="W26" s="775">
        <f t="shared" si="14"/>
        <v>100</v>
      </c>
      <c r="X26" s="1813"/>
      <c r="Y26" s="31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4"/>
      <c r="Q27" s="1795">
        <f t="shared" si="11"/>
        <v>111</v>
      </c>
      <c r="R27" s="770" t="s">
        <v>21</v>
      </c>
      <c r="S27" s="771">
        <f t="shared" si="12"/>
        <v>100</v>
      </c>
      <c r="T27" s="770" t="s">
        <v>21</v>
      </c>
      <c r="U27" s="771">
        <f t="shared" si="13"/>
        <v>100</v>
      </c>
      <c r="V27" s="770" t="s">
        <v>21</v>
      </c>
      <c r="W27" s="771">
        <f t="shared" si="14"/>
        <v>100</v>
      </c>
      <c r="X27" s="772"/>
      <c r="Y27" s="31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4"/>
      <c r="Q28" s="1810">
        <f t="shared" si="11"/>
        <v>111</v>
      </c>
      <c r="R28" s="774" t="s">
        <v>21</v>
      </c>
      <c r="S28" s="775">
        <f t="shared" si="12"/>
        <v>100</v>
      </c>
      <c r="T28" s="774" t="s">
        <v>21</v>
      </c>
      <c r="U28" s="775">
        <f t="shared" si="13"/>
        <v>100</v>
      </c>
      <c r="V28" s="774" t="s">
        <v>21</v>
      </c>
      <c r="W28" s="775">
        <f t="shared" si="14"/>
        <v>100</v>
      </c>
      <c r="X28" s="1813"/>
      <c r="Y28" s="31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4"/>
      <c r="Q29" s="1810">
        <f t="shared" si="11"/>
        <v>111</v>
      </c>
      <c r="R29" s="774" t="s">
        <v>21</v>
      </c>
      <c r="S29" s="775">
        <f t="shared" si="12"/>
        <v>100</v>
      </c>
      <c r="T29" s="774" t="s">
        <v>21</v>
      </c>
      <c r="U29" s="775">
        <f t="shared" si="13"/>
        <v>100</v>
      </c>
      <c r="V29" s="774" t="s">
        <v>21</v>
      </c>
      <c r="W29" s="775">
        <f t="shared" si="14"/>
        <v>100</v>
      </c>
      <c r="X29" s="1813"/>
      <c r="Y29" s="31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4"/>
      <c r="Q30" s="1810">
        <f t="shared" si="11"/>
        <v>111</v>
      </c>
      <c r="R30" s="774" t="s">
        <v>21</v>
      </c>
      <c r="S30" s="775">
        <f t="shared" si="12"/>
        <v>100</v>
      </c>
      <c r="T30" s="774" t="s">
        <v>21</v>
      </c>
      <c r="U30" s="775">
        <f t="shared" si="13"/>
        <v>100</v>
      </c>
      <c r="V30" s="774" t="s">
        <v>21</v>
      </c>
      <c r="W30" s="775">
        <f t="shared" si="14"/>
        <v>100</v>
      </c>
      <c r="X30" s="1813"/>
      <c r="Y30" s="318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4"/>
      <c r="Q31" s="1810">
        <f t="shared" si="11"/>
        <v>111</v>
      </c>
      <c r="R31" s="774" t="s">
        <v>21</v>
      </c>
      <c r="S31" s="775">
        <f t="shared" si="12"/>
        <v>100</v>
      </c>
      <c r="T31" s="774" t="s">
        <v>21</v>
      </c>
      <c r="U31" s="775">
        <f t="shared" si="13"/>
        <v>100</v>
      </c>
      <c r="V31" s="774" t="s">
        <v>21</v>
      </c>
      <c r="W31" s="775">
        <f t="shared" si="14"/>
        <v>100</v>
      </c>
      <c r="X31" s="1813"/>
      <c r="Y31" s="3184"/>
      <c r="Z31" s="1814">
        <f t="shared" si="18"/>
        <v>111</v>
      </c>
      <c r="AA31" s="1811">
        <f t="shared" si="15"/>
        <v>1</v>
      </c>
      <c r="AB31" s="1811">
        <f t="shared" si="16"/>
        <v>1</v>
      </c>
      <c r="AC31" s="1811">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9" t="s">
        <v>2561</v>
      </c>
      <c r="Q32" s="1810" t="str">
        <f t="shared" si="11"/>
        <v>建筑类型</v>
      </c>
      <c r="R32" s="774" t="s">
        <v>21</v>
      </c>
      <c r="S32" s="775">
        <f t="shared" si="12"/>
        <v>100</v>
      </c>
      <c r="T32" s="774" t="s">
        <v>21</v>
      </c>
      <c r="U32" s="775">
        <f t="shared" si="13"/>
        <v>100</v>
      </c>
      <c r="V32" s="774" t="s">
        <v>21</v>
      </c>
      <c r="W32" s="775">
        <f t="shared" si="14"/>
        <v>100</v>
      </c>
      <c r="X32" s="1813"/>
      <c r="Y32" s="3186"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1" t="e">
        <f t="shared" si="15"/>
        <v>#N/A</v>
      </c>
      <c r="AB33" s="1811" t="e">
        <f t="shared" si="16"/>
        <v>#N/A</v>
      </c>
      <c r="AC33" s="1811"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186"/>
      <c r="Z34" s="1814" t="str">
        <f t="shared" si="18"/>
        <v>建筑结构</v>
      </c>
      <c r="AA34" s="1811">
        <f t="shared" si="15"/>
        <v>1</v>
      </c>
      <c r="AB34" s="1811">
        <f t="shared" si="16"/>
        <v>1</v>
      </c>
      <c r="AC34" s="1811">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186"/>
      <c r="Z35" s="1814" t="str">
        <f t="shared" si="18"/>
        <v>建筑品质</v>
      </c>
      <c r="AA35" s="1811">
        <f t="shared" si="15"/>
        <v>1</v>
      </c>
      <c r="AB35" s="1811">
        <f t="shared" si="16"/>
        <v>1</v>
      </c>
      <c r="AC35" s="1811">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186"/>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0" t="s">
        <v>2561</v>
      </c>
      <c r="Q38" s="1810" t="str">
        <f t="shared" si="11"/>
        <v>物业管理</v>
      </c>
      <c r="R38" s="774" t="s">
        <v>21</v>
      </c>
      <c r="S38" s="775">
        <f t="shared" si="12"/>
        <v>100</v>
      </c>
      <c r="T38" s="774" t="s">
        <v>21</v>
      </c>
      <c r="U38" s="775">
        <f t="shared" si="13"/>
        <v>100</v>
      </c>
      <c r="V38" s="774" t="s">
        <v>21</v>
      </c>
      <c r="W38" s="775">
        <f t="shared" si="14"/>
        <v>100</v>
      </c>
      <c r="X38" s="1813"/>
      <c r="Y38" s="3186" t="s">
        <v>2561</v>
      </c>
      <c r="Z38" s="1814" t="str">
        <f t="shared" si="18"/>
        <v>物业管理</v>
      </c>
      <c r="AA38" s="1811">
        <f t="shared" si="15"/>
        <v>1</v>
      </c>
      <c r="AB38" s="1811">
        <f t="shared" si="16"/>
        <v>1</v>
      </c>
      <c r="AC38" s="1811">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186"/>
      <c r="Z39" s="1814" t="str">
        <f t="shared" si="18"/>
        <v>市政基础设施</v>
      </c>
      <c r="AA39" s="1811">
        <f t="shared" si="15"/>
        <v>1</v>
      </c>
      <c r="AB39" s="1811">
        <f t="shared" si="16"/>
        <v>1</v>
      </c>
      <c r="AC39" s="1811">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186"/>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1">
        <f t="shared" si="15"/>
        <v>1</v>
      </c>
      <c r="AB41" s="1811">
        <f t="shared" si="16"/>
        <v>1</v>
      </c>
      <c r="AC41" s="1811">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186"/>
      <c r="Z42" s="1814" t="str">
        <f t="shared" si="18"/>
        <v>内部装修</v>
      </c>
      <c r="AA42" s="1811">
        <f t="shared" si="15"/>
        <v>1</v>
      </c>
      <c r="AB42" s="1811">
        <f t="shared" si="16"/>
        <v>1</v>
      </c>
      <c r="AC42" s="1811">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18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18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0"/>
      <c r="L47" s="1143"/>
      <c r="M47" s="1144"/>
      <c r="N47" s="1131"/>
      <c r="O47" s="1144"/>
      <c r="P47" s="3168" t="str">
        <f>A47</f>
        <v>成交单价（元/平方米）</v>
      </c>
      <c r="Q47" s="3168"/>
      <c r="R47" s="3228">
        <f>E47</f>
        <v>0</v>
      </c>
      <c r="S47" s="3228"/>
      <c r="T47" s="3228">
        <f>G47</f>
        <v>0</v>
      </c>
      <c r="U47" s="3228"/>
      <c r="V47" s="3228">
        <f>I47</f>
        <v>0</v>
      </c>
      <c r="W47" s="3228"/>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68" t="str">
        <f>A48</f>
        <v>比较价值（元/平方米）</v>
      </c>
      <c r="Q48" s="3168"/>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88" t="str">
        <f>A49</f>
        <v>估价对象XX用房的比较价值（楼面单价，元/平方米）</v>
      </c>
      <c r="Q49" s="3189"/>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2638</v>
      </c>
      <c r="C1" s="1634" t="s">
        <v>2526</v>
      </c>
      <c r="D1" s="1621"/>
      <c r="E1" s="2656"/>
      <c r="F1" s="2583"/>
      <c r="G1" s="1631" t="s">
        <v>2639</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81" t="s">
        <v>2644</v>
      </c>
      <c r="AC4" s="3152" t="s">
        <v>2645</v>
      </c>
    </row>
    <row r="5" spans="1:29" ht="15">
      <c r="A5" s="404"/>
      <c r="B5" s="405"/>
      <c r="C5" s="3167" t="s">
        <v>2538</v>
      </c>
      <c r="D5" s="3164"/>
      <c r="E5" s="3161" t="s">
        <v>2539</v>
      </c>
      <c r="F5" s="3162"/>
      <c r="G5" s="3167" t="s">
        <v>2540</v>
      </c>
      <c r="H5" s="3164"/>
      <c r="I5" s="3167" t="s">
        <v>2541</v>
      </c>
      <c r="J5" s="3164"/>
      <c r="K5" s="610"/>
      <c r="L5" s="1130"/>
      <c r="M5" s="1131"/>
      <c r="N5" s="1131"/>
      <c r="O5" s="1131"/>
      <c r="P5" s="3175"/>
      <c r="Q5" s="3176"/>
      <c r="R5" s="3159"/>
      <c r="S5" s="3160"/>
      <c r="T5" s="3159"/>
      <c r="U5" s="3160"/>
      <c r="V5" s="3181"/>
      <c r="W5" s="3181"/>
      <c r="X5" s="1813"/>
      <c r="Y5" s="3159"/>
      <c r="Z5" s="3160"/>
      <c r="AA5" s="3153"/>
      <c r="AB5" s="3181"/>
      <c r="AC5" s="3153"/>
    </row>
    <row r="6" spans="1:29" ht="15.75" thickBot="1">
      <c r="A6" s="406"/>
      <c r="B6" s="407"/>
      <c r="C6" s="3224" t="s">
        <v>2542</v>
      </c>
      <c r="D6" s="3166"/>
      <c r="E6" s="3225" t="s">
        <v>2542</v>
      </c>
      <c r="F6" s="3226"/>
      <c r="G6" s="3224" t="s">
        <v>2542</v>
      </c>
      <c r="H6" s="3166"/>
      <c r="I6" s="3224" t="s">
        <v>2542</v>
      </c>
      <c r="J6" s="3166"/>
      <c r="K6" s="610" t="s">
        <v>2543</v>
      </c>
      <c r="L6" s="1130"/>
      <c r="M6" s="1131"/>
      <c r="N6" s="1131"/>
      <c r="O6" s="1131"/>
      <c r="P6" s="3177"/>
      <c r="Q6" s="3178"/>
      <c r="R6" s="3159"/>
      <c r="S6" s="3160"/>
      <c r="T6" s="3179"/>
      <c r="U6" s="3180"/>
      <c r="V6" s="3181"/>
      <c r="W6" s="3181"/>
      <c r="X6" s="1813"/>
      <c r="Y6" s="3179"/>
      <c r="Z6" s="3180"/>
      <c r="AA6" s="3154"/>
      <c r="AB6" s="3181"/>
      <c r="AC6" s="3154"/>
    </row>
    <row r="7" spans="1:29" s="117" customFormat="1" ht="15.7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5" t="s">
        <v>2545</v>
      </c>
      <c r="Q7" s="3182"/>
      <c r="R7" s="770" t="s">
        <v>17</v>
      </c>
      <c r="S7" s="771">
        <f t="shared" ref="S7:S15" si="0">F7</f>
        <v>0</v>
      </c>
      <c r="T7" s="770" t="s">
        <v>17</v>
      </c>
      <c r="U7" s="771">
        <f t="shared" ref="U7:U15" si="1">H7</f>
        <v>0</v>
      </c>
      <c r="V7" s="770" t="s">
        <v>17</v>
      </c>
      <c r="W7" s="771">
        <f t="shared" ref="W7:W15" si="2">J7</f>
        <v>0</v>
      </c>
      <c r="X7" s="772"/>
      <c r="Y7" s="3155" t="s">
        <v>2545</v>
      </c>
      <c r="Z7" s="3156"/>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5" t="s">
        <v>2548</v>
      </c>
      <c r="Q8" s="3156"/>
      <c r="R8" s="770" t="s">
        <v>17</v>
      </c>
      <c r="S8" s="771">
        <f t="shared" si="0"/>
        <v>0</v>
      </c>
      <c r="T8" s="770" t="s">
        <v>17</v>
      </c>
      <c r="U8" s="771">
        <f t="shared" si="1"/>
        <v>0</v>
      </c>
      <c r="V8" s="770" t="s">
        <v>17</v>
      </c>
      <c r="W8" s="771">
        <f t="shared" si="2"/>
        <v>0</v>
      </c>
      <c r="X8" s="772"/>
      <c r="Y8" s="3155" t="s">
        <v>2548</v>
      </c>
      <c r="Z8" s="3156"/>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2555</v>
      </c>
      <c r="B15" s="69" t="s">
        <v>2649</v>
      </c>
      <c r="C15" s="2602"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3" t="s">
        <v>2556</v>
      </c>
      <c r="Q15" s="1810" t="str">
        <f t="shared" si="6"/>
        <v>商业繁华度</v>
      </c>
      <c r="R15" s="774" t="s">
        <v>17</v>
      </c>
      <c r="S15" s="775">
        <f t="shared" si="0"/>
        <v>100</v>
      </c>
      <c r="T15" s="774" t="s">
        <v>17</v>
      </c>
      <c r="U15" s="775">
        <f t="shared" si="1"/>
        <v>100</v>
      </c>
      <c r="V15" s="774" t="s">
        <v>17</v>
      </c>
      <c r="W15" s="775">
        <f t="shared" si="2"/>
        <v>100</v>
      </c>
      <c r="X15" s="1813"/>
      <c r="Y15" s="3183"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4"/>
      <c r="Q16" s="1810"/>
      <c r="R16" s="774"/>
      <c r="S16" s="775"/>
      <c r="T16" s="774"/>
      <c r="U16" s="775"/>
      <c r="V16" s="774"/>
      <c r="W16" s="775"/>
      <c r="X16" s="1813"/>
      <c r="Y16" s="3184"/>
      <c r="Z16" s="1814"/>
      <c r="AA16" s="1811">
        <v>1</v>
      </c>
      <c r="AB16" s="1811">
        <v>1</v>
      </c>
      <c r="AC16" s="1811">
        <v>1</v>
      </c>
    </row>
    <row r="17" spans="1:29" ht="15">
      <c r="A17" s="428"/>
      <c r="B17" s="451" t="s">
        <v>2093</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4"/>
      <c r="Q18" s="1810"/>
      <c r="R18" s="774"/>
      <c r="S18" s="775"/>
      <c r="T18" s="774"/>
      <c r="U18" s="775"/>
      <c r="V18" s="774"/>
      <c r="W18" s="775"/>
      <c r="X18" s="1813"/>
      <c r="Y18" s="3184"/>
      <c r="Z18" s="1814"/>
      <c r="AA18" s="1811">
        <v>1</v>
      </c>
      <c r="AB18" s="1811">
        <v>1</v>
      </c>
      <c r="AC18" s="1811">
        <v>1</v>
      </c>
    </row>
    <row r="19" spans="1:29" ht="15">
      <c r="A19" s="428"/>
      <c r="B19" s="451" t="s">
        <v>2650</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4"/>
      <c r="Q20" s="1810"/>
      <c r="R20" s="774"/>
      <c r="S20" s="775"/>
      <c r="T20" s="774"/>
      <c r="U20" s="775"/>
      <c r="V20" s="774"/>
      <c r="W20" s="775"/>
      <c r="X20" s="1813"/>
      <c r="Y20" s="3184"/>
      <c r="Z20" s="1814"/>
      <c r="AA20" s="1811">
        <v>1</v>
      </c>
      <c r="AB20" s="1811">
        <v>1</v>
      </c>
      <c r="AC20" s="1811">
        <v>1</v>
      </c>
    </row>
    <row r="21" spans="1:29" ht="15">
      <c r="A21" s="428"/>
      <c r="B21" s="1384" t="s">
        <v>2651</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4"/>
      <c r="Q22" s="1810"/>
      <c r="R22" s="774"/>
      <c r="S22" s="775"/>
      <c r="T22" s="774"/>
      <c r="U22" s="775"/>
      <c r="V22" s="774"/>
      <c r="W22" s="775"/>
      <c r="X22" s="1813"/>
      <c r="Y22" s="3184"/>
      <c r="Z22" s="1814"/>
      <c r="AA22" s="1811">
        <v>1</v>
      </c>
      <c r="AB22" s="1811">
        <v>1</v>
      </c>
      <c r="AC22" s="1811">
        <v>1</v>
      </c>
    </row>
    <row r="23" spans="1:29" ht="15">
      <c r="A23" s="428"/>
      <c r="B23" s="451" t="s">
        <v>2098</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4"/>
      <c r="Q23" s="1810" t="str">
        <f>B23</f>
        <v>自然及人文环境</v>
      </c>
      <c r="R23" s="774" t="s">
        <v>17</v>
      </c>
      <c r="S23" s="775">
        <f>F23</f>
        <v>100</v>
      </c>
      <c r="T23" s="774" t="s">
        <v>17</v>
      </c>
      <c r="U23" s="775">
        <f>H23</f>
        <v>100</v>
      </c>
      <c r="V23" s="774" t="s">
        <v>17</v>
      </c>
      <c r="W23" s="775">
        <f>J23</f>
        <v>100</v>
      </c>
      <c r="X23" s="1813"/>
      <c r="Y23" s="318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4"/>
      <c r="Q24" s="1810"/>
      <c r="R24" s="774"/>
      <c r="S24" s="775"/>
      <c r="T24" s="774"/>
      <c r="U24" s="775"/>
      <c r="V24" s="774"/>
      <c r="W24" s="775"/>
      <c r="X24" s="1813"/>
      <c r="Y24" s="3184"/>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4"/>
      <c r="Q25" s="1810" t="str">
        <f t="shared" ref="Q25:Q46" si="11">B25</f>
        <v>临街状况</v>
      </c>
      <c r="R25" s="774" t="s">
        <v>17</v>
      </c>
      <c r="S25" s="775">
        <f>F25</f>
        <v>100</v>
      </c>
      <c r="T25" s="774" t="s">
        <v>17</v>
      </c>
      <c r="U25" s="775">
        <f>H25</f>
        <v>100</v>
      </c>
      <c r="V25" s="774" t="s">
        <v>17</v>
      </c>
      <c r="W25" s="775">
        <f>J25</f>
        <v>100</v>
      </c>
      <c r="X25" s="1813"/>
      <c r="Y25" s="3184"/>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4"/>
      <c r="Q26" s="1810" t="str">
        <f t="shared" si="11"/>
        <v>平面位置/可视性</v>
      </c>
      <c r="R26" s="774" t="s">
        <v>17</v>
      </c>
      <c r="S26" s="775">
        <f>F26</f>
        <v>100</v>
      </c>
      <c r="T26" s="774" t="s">
        <v>17</v>
      </c>
      <c r="U26" s="775">
        <f>H26</f>
        <v>100</v>
      </c>
      <c r="V26" s="774" t="s">
        <v>17</v>
      </c>
      <c r="W26" s="775">
        <f>J26</f>
        <v>100</v>
      </c>
      <c r="X26" s="1813"/>
      <c r="Y26" s="3184"/>
      <c r="Z26" s="1814" t="str">
        <f>Q26</f>
        <v>平面位置/可视性</v>
      </c>
      <c r="AA26" s="1811">
        <f t="shared" si="3"/>
        <v>1</v>
      </c>
      <c r="AB26" s="1811">
        <f t="shared" si="4"/>
        <v>1</v>
      </c>
      <c r="AC26" s="1811">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4"/>
      <c r="Q27" s="1795" t="str">
        <f t="shared" si="11"/>
        <v>人流量</v>
      </c>
      <c r="R27" s="770" t="s">
        <v>17</v>
      </c>
      <c r="S27" s="771">
        <f>F27</f>
        <v>100</v>
      </c>
      <c r="T27" s="770" t="s">
        <v>17</v>
      </c>
      <c r="U27" s="771">
        <f>H27</f>
        <v>100</v>
      </c>
      <c r="V27" s="770" t="s">
        <v>17</v>
      </c>
      <c r="W27" s="771">
        <f>J27</f>
        <v>100</v>
      </c>
      <c r="X27" s="772"/>
      <c r="Y27" s="3184"/>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4"/>
      <c r="Q29" s="1810">
        <f t="shared" si="11"/>
        <v>111</v>
      </c>
      <c r="R29" s="774" t="s">
        <v>17</v>
      </c>
      <c r="S29" s="775">
        <f t="shared" si="12"/>
        <v>100</v>
      </c>
      <c r="T29" s="774" t="s">
        <v>17</v>
      </c>
      <c r="U29" s="775">
        <f t="shared" si="13"/>
        <v>100</v>
      </c>
      <c r="V29" s="774" t="s">
        <v>17</v>
      </c>
      <c r="W29" s="775">
        <f t="shared" si="14"/>
        <v>100</v>
      </c>
      <c r="X29" s="1813"/>
      <c r="Y29" s="318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1811">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9" t="s">
        <v>2561</v>
      </c>
      <c r="Q32" s="1810" t="str">
        <f t="shared" si="11"/>
        <v>商业类型</v>
      </c>
      <c r="R32" s="774" t="s">
        <v>17</v>
      </c>
      <c r="S32" s="775">
        <f t="shared" si="12"/>
        <v>100</v>
      </c>
      <c r="T32" s="774" t="s">
        <v>17</v>
      </c>
      <c r="U32" s="775">
        <f t="shared" si="13"/>
        <v>100</v>
      </c>
      <c r="V32" s="774" t="s">
        <v>17</v>
      </c>
      <c r="W32" s="775">
        <f t="shared" si="14"/>
        <v>100</v>
      </c>
      <c r="X32" s="1813"/>
      <c r="Y32" s="3186"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1" t="e">
        <f t="shared" si="3"/>
        <v>#N/A</v>
      </c>
      <c r="AB33" s="1811" t="e">
        <f t="shared" si="4"/>
        <v>#N/A</v>
      </c>
      <c r="AC33" s="1811"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186"/>
      <c r="Z34" s="1814" t="str">
        <f t="shared" si="15"/>
        <v>建筑结构</v>
      </c>
      <c r="AA34" s="1811">
        <f t="shared" si="3"/>
        <v>1</v>
      </c>
      <c r="AB34" s="1811">
        <f t="shared" si="4"/>
        <v>1</v>
      </c>
      <c r="AC34" s="1811">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186"/>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186"/>
      <c r="Z36" s="1814" t="str">
        <f t="shared" si="15"/>
        <v>成新度</v>
      </c>
      <c r="AA36" s="1811" t="e">
        <f t="shared" si="3"/>
        <v>#N/A</v>
      </c>
      <c r="AB36" s="1811" t="e">
        <f t="shared" si="4"/>
        <v>#N/A</v>
      </c>
      <c r="AC36" s="1811"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0" t="s">
        <v>2561</v>
      </c>
      <c r="Q38" s="1810" t="str">
        <f t="shared" si="11"/>
        <v>业态</v>
      </c>
      <c r="R38" s="774" t="s">
        <v>17</v>
      </c>
      <c r="S38" s="775">
        <f t="shared" si="12"/>
        <v>100</v>
      </c>
      <c r="T38" s="774" t="s">
        <v>17</v>
      </c>
      <c r="U38" s="775">
        <f t="shared" si="13"/>
        <v>100</v>
      </c>
      <c r="V38" s="774" t="s">
        <v>17</v>
      </c>
      <c r="W38" s="775">
        <f t="shared" si="14"/>
        <v>100</v>
      </c>
      <c r="X38" s="1813"/>
      <c r="Y38" s="3186" t="s">
        <v>2561</v>
      </c>
      <c r="Z38" s="1814" t="str">
        <f t="shared" si="15"/>
        <v>业态</v>
      </c>
      <c r="AA38" s="1811">
        <f t="shared" si="3"/>
        <v>1</v>
      </c>
      <c r="AB38" s="1811">
        <f t="shared" si="4"/>
        <v>1</v>
      </c>
      <c r="AC38" s="1811">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186"/>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186"/>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1">
        <f t="shared" si="3"/>
        <v>1</v>
      </c>
      <c r="AB41" s="1811">
        <f t="shared" si="4"/>
        <v>1</v>
      </c>
      <c r="AC41" s="1811">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186"/>
      <c r="Z42" s="1814" t="str">
        <f t="shared" si="15"/>
        <v>内部装修</v>
      </c>
      <c r="AA42" s="1811">
        <f t="shared" si="3"/>
        <v>1</v>
      </c>
      <c r="AB42" s="1811">
        <f t="shared" si="4"/>
        <v>1</v>
      </c>
      <c r="AC42" s="1811">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18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186"/>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68" t="str">
        <f>A47</f>
        <v>成交单价（元/平方米）</v>
      </c>
      <c r="Q47" s="3168"/>
      <c r="R47" s="3181">
        <f>E47</f>
        <v>0</v>
      </c>
      <c r="S47" s="3181"/>
      <c r="T47" s="3181">
        <f>G47</f>
        <v>0</v>
      </c>
      <c r="U47" s="3181"/>
      <c r="V47" s="3181">
        <f>I47</f>
        <v>0</v>
      </c>
      <c r="W47" s="3181"/>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68" t="str">
        <f>A48</f>
        <v>比较价值（元/平方米）</v>
      </c>
      <c r="Q48" s="3168"/>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受贵公司委托，我公司对山东省青岛市黄岛区开发区汉江路3号万达广场全幢、地下房地产抵押价值进行了预评估。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2019年8月15日（评估专业人员实地查勘之日）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2682</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241" t="s">
        <v>2647</v>
      </c>
      <c r="Q4" s="3242"/>
      <c r="R4" s="3236" t="s">
        <v>2643</v>
      </c>
      <c r="S4" s="3237"/>
      <c r="T4" s="3236" t="s">
        <v>2644</v>
      </c>
      <c r="U4" s="3237"/>
      <c r="V4" s="3245" t="s">
        <v>2645</v>
      </c>
      <c r="W4" s="3245"/>
      <c r="X4" s="2669"/>
      <c r="Y4" s="3236" t="s">
        <v>2647</v>
      </c>
      <c r="Z4" s="3237"/>
      <c r="AA4" s="3235" t="s">
        <v>2643</v>
      </c>
      <c r="AB4" s="3235" t="s">
        <v>2644</v>
      </c>
      <c r="AC4" s="3238" t="s">
        <v>2645</v>
      </c>
    </row>
    <row r="5" spans="1:29" ht="15">
      <c r="A5" s="404"/>
      <c r="B5" s="405"/>
      <c r="C5" s="3167" t="s">
        <v>2538</v>
      </c>
      <c r="D5" s="3164"/>
      <c r="E5" s="3161" t="s">
        <v>2539</v>
      </c>
      <c r="F5" s="3162"/>
      <c r="G5" s="3167" t="s">
        <v>2540</v>
      </c>
      <c r="H5" s="3164"/>
      <c r="I5" s="3167" t="s">
        <v>2541</v>
      </c>
      <c r="J5" s="3164"/>
      <c r="K5" s="610"/>
      <c r="L5" s="1130"/>
      <c r="M5" s="1131"/>
      <c r="N5" s="1131"/>
      <c r="O5" s="1131"/>
      <c r="P5" s="3243"/>
      <c r="Q5" s="3176"/>
      <c r="R5" s="3159"/>
      <c r="S5" s="3160"/>
      <c r="T5" s="3159"/>
      <c r="U5" s="3160"/>
      <c r="V5" s="3181"/>
      <c r="W5" s="3181"/>
      <c r="X5" s="1813"/>
      <c r="Y5" s="3159"/>
      <c r="Z5" s="3160"/>
      <c r="AA5" s="3153"/>
      <c r="AB5" s="3153"/>
      <c r="AC5" s="3239"/>
    </row>
    <row r="6" spans="1:29" ht="15.75" thickBot="1">
      <c r="A6" s="406"/>
      <c r="B6" s="407"/>
      <c r="C6" s="3224" t="s">
        <v>2542</v>
      </c>
      <c r="D6" s="3166"/>
      <c r="E6" s="3225" t="s">
        <v>2542</v>
      </c>
      <c r="F6" s="3226"/>
      <c r="G6" s="3224" t="s">
        <v>2542</v>
      </c>
      <c r="H6" s="3166"/>
      <c r="I6" s="3224" t="s">
        <v>2542</v>
      </c>
      <c r="J6" s="3166"/>
      <c r="K6" s="610" t="s">
        <v>2543</v>
      </c>
      <c r="L6" s="1130"/>
      <c r="M6" s="1131"/>
      <c r="N6" s="1131"/>
      <c r="O6" s="1131"/>
      <c r="P6" s="3244"/>
      <c r="Q6" s="3178"/>
      <c r="R6" s="3159"/>
      <c r="S6" s="3160"/>
      <c r="T6" s="3179"/>
      <c r="U6" s="3180"/>
      <c r="V6" s="3181"/>
      <c r="W6" s="3181"/>
      <c r="X6" s="1813"/>
      <c r="Y6" s="3179"/>
      <c r="Z6" s="3180"/>
      <c r="AA6" s="3154"/>
      <c r="AB6" s="3154"/>
      <c r="AC6" s="3240"/>
    </row>
    <row r="7" spans="1:29" s="117" customFormat="1" ht="15.75" thickBot="1">
      <c r="A7" s="408" t="s">
        <v>2544</v>
      </c>
      <c r="B7" s="409"/>
      <c r="C7" s="410">
        <f>'数据-取费表'!B2</f>
        <v>43692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6" t="s">
        <v>2545</v>
      </c>
      <c r="Q7" s="3182"/>
      <c r="R7" s="770" t="s">
        <v>17</v>
      </c>
      <c r="S7" s="771">
        <f t="shared" ref="S7:S15" si="0">F7</f>
        <v>0</v>
      </c>
      <c r="T7" s="770" t="s">
        <v>17</v>
      </c>
      <c r="U7" s="771">
        <f t="shared" ref="U7:U15" si="1">H7</f>
        <v>0</v>
      </c>
      <c r="V7" s="770" t="s">
        <v>17</v>
      </c>
      <c r="W7" s="771">
        <f t="shared" ref="W7:W15" si="2">J7</f>
        <v>0</v>
      </c>
      <c r="X7" s="772"/>
      <c r="Y7" s="3155" t="s">
        <v>2545</v>
      </c>
      <c r="Z7" s="3156"/>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6" t="s">
        <v>2548</v>
      </c>
      <c r="Q8" s="3156"/>
      <c r="R8" s="770" t="s">
        <v>17</v>
      </c>
      <c r="S8" s="771">
        <f t="shared" si="0"/>
        <v>0</v>
      </c>
      <c r="T8" s="770" t="s">
        <v>17</v>
      </c>
      <c r="U8" s="771">
        <f t="shared" si="1"/>
        <v>0</v>
      </c>
      <c r="V8" s="770" t="s">
        <v>17</v>
      </c>
      <c r="W8" s="771">
        <f t="shared" si="2"/>
        <v>0</v>
      </c>
      <c r="X8" s="772"/>
      <c r="Y8" s="3155" t="s">
        <v>2548</v>
      </c>
      <c r="Z8" s="3156"/>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0">
        <f t="shared" si="5"/>
        <v>1</v>
      </c>
    </row>
    <row r="15" spans="1:29" ht="15">
      <c r="A15" s="440" t="s">
        <v>2555</v>
      </c>
      <c r="B15" s="629" t="s">
        <v>2683</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3" t="s">
        <v>2556</v>
      </c>
      <c r="Q15" s="1810" t="str">
        <f t="shared" si="6"/>
        <v>办公集聚程度</v>
      </c>
      <c r="R15" s="774" t="s">
        <v>17</v>
      </c>
      <c r="S15" s="775">
        <f t="shared" si="0"/>
        <v>100</v>
      </c>
      <c r="T15" s="774" t="s">
        <v>17</v>
      </c>
      <c r="U15" s="775">
        <f t="shared" si="1"/>
        <v>100</v>
      </c>
      <c r="V15" s="774" t="s">
        <v>17</v>
      </c>
      <c r="W15" s="775">
        <f t="shared" si="2"/>
        <v>100</v>
      </c>
      <c r="X15" s="1813"/>
      <c r="Y15" s="3183" t="s">
        <v>2556</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4"/>
      <c r="Q16" s="1810"/>
      <c r="R16" s="774"/>
      <c r="S16" s="775"/>
      <c r="T16" s="774"/>
      <c r="U16" s="775"/>
      <c r="V16" s="774"/>
      <c r="W16" s="775"/>
      <c r="X16" s="1813"/>
      <c r="Y16" s="3184"/>
      <c r="Z16" s="1814"/>
      <c r="AA16" s="1811">
        <v>1</v>
      </c>
      <c r="AB16" s="1811">
        <v>1</v>
      </c>
      <c r="AC16" s="2673">
        <v>1</v>
      </c>
    </row>
    <row r="17" spans="1:29" ht="15">
      <c r="A17" s="428"/>
      <c r="B17" s="631" t="s">
        <v>2093</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4"/>
      <c r="Q18" s="1810"/>
      <c r="R18" s="774"/>
      <c r="S18" s="775"/>
      <c r="T18" s="774"/>
      <c r="U18" s="775"/>
      <c r="V18" s="774"/>
      <c r="W18" s="775"/>
      <c r="X18" s="1813"/>
      <c r="Y18" s="3184"/>
      <c r="Z18" s="1814"/>
      <c r="AA18" s="1811">
        <v>1</v>
      </c>
      <c r="AB18" s="1811">
        <v>1</v>
      </c>
      <c r="AC18" s="2673">
        <v>1</v>
      </c>
    </row>
    <row r="19" spans="1:29" ht="15">
      <c r="A19" s="428"/>
      <c r="B19" s="631" t="s">
        <v>2684</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4"/>
      <c r="Q20" s="1810"/>
      <c r="R20" s="774"/>
      <c r="S20" s="775"/>
      <c r="T20" s="774"/>
      <c r="U20" s="775"/>
      <c r="V20" s="774"/>
      <c r="W20" s="775"/>
      <c r="X20" s="1813"/>
      <c r="Y20" s="3184"/>
      <c r="Z20" s="1814"/>
      <c r="AA20" s="1811">
        <v>1</v>
      </c>
      <c r="AB20" s="1811">
        <v>1</v>
      </c>
      <c r="AC20" s="2673">
        <v>1</v>
      </c>
    </row>
    <row r="21" spans="1:29" ht="15">
      <c r="A21" s="428"/>
      <c r="B21" s="633" t="s">
        <v>2685</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4"/>
      <c r="Q22" s="1810"/>
      <c r="R22" s="774"/>
      <c r="S22" s="775"/>
      <c r="T22" s="774"/>
      <c r="U22" s="775"/>
      <c r="V22" s="774"/>
      <c r="W22" s="775"/>
      <c r="X22" s="1813"/>
      <c r="Y22" s="3184"/>
      <c r="Z22" s="1814"/>
      <c r="AA22" s="1811">
        <v>1</v>
      </c>
      <c r="AB22" s="1811">
        <v>1</v>
      </c>
      <c r="AC22" s="2673">
        <v>1</v>
      </c>
    </row>
    <row r="23" spans="1:29" ht="15">
      <c r="A23" s="428"/>
      <c r="B23" s="631" t="s">
        <v>2686</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4"/>
      <c r="Q24" s="1810"/>
      <c r="R24" s="774"/>
      <c r="S24" s="775"/>
      <c r="T24" s="774"/>
      <c r="U24" s="775"/>
      <c r="V24" s="774"/>
      <c r="W24" s="775"/>
      <c r="X24" s="1813"/>
      <c r="Y24" s="3184"/>
      <c r="Z24" s="1814"/>
      <c r="AA24" s="1811">
        <v>1</v>
      </c>
      <c r="AB24" s="1811">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4"/>
      <c r="Q25" s="1810" t="str">
        <f>B25</f>
        <v>毗邻道路的类型与等级</v>
      </c>
      <c r="R25" s="774" t="s">
        <v>17</v>
      </c>
      <c r="S25" s="775">
        <f>F25</f>
        <v>100</v>
      </c>
      <c r="T25" s="774" t="s">
        <v>17</v>
      </c>
      <c r="U25" s="775">
        <f>H25</f>
        <v>100</v>
      </c>
      <c r="V25" s="774" t="s">
        <v>17</v>
      </c>
      <c r="W25" s="775">
        <f>J25</f>
        <v>100</v>
      </c>
      <c r="X25" s="1813"/>
      <c r="Y25" s="318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4"/>
      <c r="Q26" s="1810"/>
      <c r="R26" s="774"/>
      <c r="S26" s="775"/>
      <c r="T26" s="774"/>
      <c r="U26" s="775"/>
      <c r="V26" s="774"/>
      <c r="W26" s="775"/>
      <c r="X26" s="1813"/>
      <c r="Y26" s="3184"/>
      <c r="Z26" s="1814"/>
      <c r="AA26" s="1811">
        <v>1</v>
      </c>
      <c r="AB26" s="1811">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4"/>
      <c r="Q27" s="1810" t="str">
        <f t="shared" ref="Q27:Q47" si="11">B27</f>
        <v>楼层</v>
      </c>
      <c r="R27" s="774" t="s">
        <v>17</v>
      </c>
      <c r="S27" s="775">
        <f>F27</f>
        <v>100</v>
      </c>
      <c r="T27" s="774" t="s">
        <v>17</v>
      </c>
      <c r="U27" s="775">
        <f>H27</f>
        <v>100</v>
      </c>
      <c r="V27" s="774" t="s">
        <v>17</v>
      </c>
      <c r="W27" s="775">
        <f>J27</f>
        <v>100</v>
      </c>
      <c r="X27" s="1813"/>
      <c r="Y27" s="3184"/>
      <c r="Z27" s="1814" t="str">
        <f>Q27</f>
        <v>楼层</v>
      </c>
      <c r="AA27" s="1811">
        <f t="shared" si="3"/>
        <v>1</v>
      </c>
      <c r="AB27" s="1811">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4"/>
      <c r="Q28" s="1795" t="str">
        <f t="shared" si="11"/>
        <v>朝向</v>
      </c>
      <c r="R28" s="770" t="s">
        <v>17</v>
      </c>
      <c r="S28" s="771">
        <f>F28</f>
        <v>100</v>
      </c>
      <c r="T28" s="770" t="s">
        <v>17</v>
      </c>
      <c r="U28" s="771">
        <f>H28</f>
        <v>100</v>
      </c>
      <c r="V28" s="770" t="s">
        <v>17</v>
      </c>
      <c r="W28" s="771">
        <f>J28</f>
        <v>100</v>
      </c>
      <c r="X28" s="772"/>
      <c r="Y28" s="318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4"/>
      <c r="Q29" s="1810">
        <f t="shared" si="11"/>
        <v>111</v>
      </c>
      <c r="R29" s="774" t="s">
        <v>17</v>
      </c>
      <c r="S29" s="775">
        <f t="shared" ref="S29:S47" si="12">F29</f>
        <v>100</v>
      </c>
      <c r="T29" s="774" t="s">
        <v>17</v>
      </c>
      <c r="U29" s="775">
        <f t="shared" ref="U29:U47" si="13">H29</f>
        <v>100</v>
      </c>
      <c r="V29" s="774" t="s">
        <v>17</v>
      </c>
      <c r="W29" s="775">
        <f t="shared" ref="W29:W47" si="14">J29</f>
        <v>100</v>
      </c>
      <c r="X29" s="1813"/>
      <c r="Y29" s="318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4"/>
      <c r="Q32" s="1810">
        <f t="shared" si="11"/>
        <v>111</v>
      </c>
      <c r="R32" s="774" t="s">
        <v>17</v>
      </c>
      <c r="S32" s="775">
        <f t="shared" si="12"/>
        <v>100</v>
      </c>
      <c r="T32" s="774" t="s">
        <v>17</v>
      </c>
      <c r="U32" s="775">
        <f t="shared" si="13"/>
        <v>100</v>
      </c>
      <c r="V32" s="774" t="s">
        <v>17</v>
      </c>
      <c r="W32" s="775">
        <f t="shared" si="14"/>
        <v>100</v>
      </c>
      <c r="X32" s="1813"/>
      <c r="Y32" s="3184"/>
      <c r="Z32" s="1814">
        <f t="shared" si="15"/>
        <v>111</v>
      </c>
      <c r="AA32" s="1811">
        <f t="shared" si="3"/>
        <v>1</v>
      </c>
      <c r="AB32" s="1811">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9" t="s">
        <v>2561</v>
      </c>
      <c r="Q33" s="1810" t="str">
        <f t="shared" si="11"/>
        <v>建筑类型</v>
      </c>
      <c r="R33" s="774" t="s">
        <v>17</v>
      </c>
      <c r="S33" s="775">
        <f t="shared" si="12"/>
        <v>100</v>
      </c>
      <c r="T33" s="774" t="s">
        <v>17</v>
      </c>
      <c r="U33" s="775">
        <f t="shared" si="13"/>
        <v>100</v>
      </c>
      <c r="V33" s="774" t="s">
        <v>17</v>
      </c>
      <c r="W33" s="775">
        <f t="shared" si="14"/>
        <v>100</v>
      </c>
      <c r="X33" s="1813"/>
      <c r="Y33" s="3186" t="s">
        <v>2561</v>
      </c>
      <c r="Z33" s="1814" t="str">
        <f t="shared" si="15"/>
        <v>建筑类型</v>
      </c>
      <c r="AA33" s="1811">
        <f t="shared" si="3"/>
        <v>1</v>
      </c>
      <c r="AB33" s="1811">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1" t="e">
        <f t="shared" si="3"/>
        <v>#N/A</v>
      </c>
      <c r="AB34" s="1811"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186"/>
      <c r="Z35" s="1814" t="str">
        <f t="shared" si="15"/>
        <v>建筑结构</v>
      </c>
      <c r="AA35" s="1811">
        <f t="shared" si="3"/>
        <v>1</v>
      </c>
      <c r="AB35" s="1811">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186"/>
      <c r="Z36" s="1814" t="str">
        <f t="shared" si="15"/>
        <v>公共部分装修</v>
      </c>
      <c r="AA36" s="1811">
        <f t="shared" si="3"/>
        <v>1</v>
      </c>
      <c r="AB36" s="1811">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10" t="str">
        <f t="shared" si="11"/>
        <v>成新度</v>
      </c>
      <c r="R37" s="774" t="s">
        <v>17</v>
      </c>
      <c r="S37" s="775" t="e">
        <f t="shared" si="12"/>
        <v>#N/A</v>
      </c>
      <c r="T37" s="774" t="s">
        <v>17</v>
      </c>
      <c r="U37" s="775" t="e">
        <f t="shared" si="13"/>
        <v>#N/A</v>
      </c>
      <c r="V37" s="774" t="s">
        <v>17</v>
      </c>
      <c r="W37" s="775" t="e">
        <f t="shared" si="14"/>
        <v>#N/A</v>
      </c>
      <c r="X37" s="1813"/>
      <c r="Y37" s="3186"/>
      <c r="Z37" s="1814" t="str">
        <f t="shared" si="15"/>
        <v>成新度</v>
      </c>
      <c r="AA37" s="1811" t="e">
        <f t="shared" si="3"/>
        <v>#N/A</v>
      </c>
      <c r="AB37" s="1811"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2561</v>
      </c>
      <c r="Q39" s="1810" t="str">
        <f t="shared" si="11"/>
        <v>物业管理</v>
      </c>
      <c r="R39" s="774" t="s">
        <v>17</v>
      </c>
      <c r="S39" s="775">
        <f t="shared" si="12"/>
        <v>100</v>
      </c>
      <c r="T39" s="774" t="s">
        <v>17</v>
      </c>
      <c r="U39" s="775">
        <f t="shared" si="13"/>
        <v>100</v>
      </c>
      <c r="V39" s="774" t="s">
        <v>17</v>
      </c>
      <c r="W39" s="775">
        <f t="shared" si="14"/>
        <v>100</v>
      </c>
      <c r="X39" s="1813"/>
      <c r="Y39" s="3186" t="s">
        <v>2561</v>
      </c>
      <c r="Z39" s="1814" t="str">
        <f t="shared" si="15"/>
        <v>物业管理</v>
      </c>
      <c r="AA39" s="1811">
        <f t="shared" si="3"/>
        <v>1</v>
      </c>
      <c r="AB39" s="1811">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186"/>
      <c r="Z40" s="1814" t="str">
        <f t="shared" si="15"/>
        <v>市政基础设施</v>
      </c>
      <c r="AA40" s="1811">
        <f t="shared" si="3"/>
        <v>1</v>
      </c>
      <c r="AB40" s="1811">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186"/>
      <c r="Z41" s="1814" t="str">
        <f t="shared" si="15"/>
        <v>层高</v>
      </c>
      <c r="AA41" s="1811">
        <f t="shared" si="3"/>
        <v>1</v>
      </c>
      <c r="AB41" s="1811">
        <f t="shared" si="4"/>
        <v>1</v>
      </c>
      <c r="AC41" s="2673">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1">
        <f t="shared" si="3"/>
        <v>1</v>
      </c>
      <c r="AB42" s="1811">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186"/>
      <c r="Z43" s="1814" t="str">
        <f t="shared" si="15"/>
        <v>内部装修</v>
      </c>
      <c r="AA43" s="1811">
        <f t="shared" si="3"/>
        <v>1</v>
      </c>
      <c r="AB43" s="1811">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186"/>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232"/>
      <c r="Z47" s="1814">
        <f t="shared" si="15"/>
        <v>111</v>
      </c>
      <c r="AA47" s="1811">
        <f t="shared" si="3"/>
        <v>1</v>
      </c>
      <c r="AB47" s="1811">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92" t="str">
        <f>A48</f>
        <v>成交单价（元/平方米）</v>
      </c>
      <c r="Q48" s="3168"/>
      <c r="R48" s="3228">
        <f>E48</f>
        <v>0</v>
      </c>
      <c r="S48" s="3228"/>
      <c r="T48" s="3228">
        <f>G48</f>
        <v>0</v>
      </c>
      <c r="U48" s="3228"/>
      <c r="V48" s="3228">
        <f>I48</f>
        <v>0</v>
      </c>
      <c r="W48" s="3228"/>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2" t="str">
        <f>A49</f>
        <v>比较价值（元/平方米）</v>
      </c>
      <c r="Q49" s="3168"/>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47" t="str">
        <f>A50</f>
        <v>估价对象XX用房的比较价值（楼面单价，元/平方米）</v>
      </c>
      <c r="Q50" s="3248"/>
      <c r="R50" s="3249" t="e">
        <f>IF(F1="售价",ROUND(AVERAGE(R49:V49),0),ROUND(AVERAGE(R49:V49),1))</f>
        <v>#DIV/0!</v>
      </c>
      <c r="S50" s="3249"/>
      <c r="T50" s="3249"/>
      <c r="U50" s="3249"/>
      <c r="V50" s="3249"/>
      <c r="W50" s="324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2698</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76522.880000000005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53" t="s">
        <v>2644</v>
      </c>
      <c r="AC4" s="3152" t="s">
        <v>2645</v>
      </c>
    </row>
    <row r="5" spans="1:29" ht="15">
      <c r="A5" s="404"/>
      <c r="B5" s="405"/>
      <c r="C5" s="3167" t="s">
        <v>2538</v>
      </c>
      <c r="D5" s="3164"/>
      <c r="E5" s="3161" t="s">
        <v>2539</v>
      </c>
      <c r="F5" s="3162"/>
      <c r="G5" s="3167" t="s">
        <v>2540</v>
      </c>
      <c r="H5" s="3164"/>
      <c r="I5" s="3167" t="s">
        <v>2541</v>
      </c>
      <c r="J5" s="3164"/>
      <c r="K5" s="610"/>
      <c r="L5" s="1130"/>
      <c r="M5" s="1131"/>
      <c r="N5" s="1131"/>
      <c r="O5" s="1131"/>
      <c r="P5" s="3175"/>
      <c r="Q5" s="3176"/>
      <c r="R5" s="3159"/>
      <c r="S5" s="3160"/>
      <c r="T5" s="3159"/>
      <c r="U5" s="3160"/>
      <c r="V5" s="3181"/>
      <c r="W5" s="3181"/>
      <c r="X5" s="1813"/>
      <c r="Y5" s="3159"/>
      <c r="Z5" s="3160"/>
      <c r="AA5" s="3153"/>
      <c r="AB5" s="3153"/>
      <c r="AC5" s="3153"/>
    </row>
    <row r="6" spans="1:29" ht="15.75" thickBot="1">
      <c r="A6" s="406"/>
      <c r="B6" s="407"/>
      <c r="C6" s="3224" t="s">
        <v>2542</v>
      </c>
      <c r="D6" s="3166"/>
      <c r="E6" s="3225" t="s">
        <v>2542</v>
      </c>
      <c r="F6" s="3226"/>
      <c r="G6" s="3224" t="s">
        <v>2542</v>
      </c>
      <c r="H6" s="3166"/>
      <c r="I6" s="3224" t="s">
        <v>2542</v>
      </c>
      <c r="J6" s="3166"/>
      <c r="K6" s="610" t="s">
        <v>2543</v>
      </c>
      <c r="L6" s="1130"/>
      <c r="M6" s="1131"/>
      <c r="N6" s="1131"/>
      <c r="O6" s="1131"/>
      <c r="P6" s="3177"/>
      <c r="Q6" s="3178"/>
      <c r="R6" s="3159"/>
      <c r="S6" s="3160"/>
      <c r="T6" s="3179"/>
      <c r="U6" s="3180"/>
      <c r="V6" s="3181"/>
      <c r="W6" s="3181"/>
      <c r="X6" s="1813"/>
      <c r="Y6" s="3179"/>
      <c r="Z6" s="3180"/>
      <c r="AA6" s="3154"/>
      <c r="AB6" s="3154"/>
      <c r="AC6" s="3154"/>
    </row>
    <row r="7" spans="1:29" s="117" customFormat="1" ht="15.75" thickBot="1">
      <c r="A7" s="408" t="s">
        <v>2544</v>
      </c>
      <c r="B7" s="409"/>
      <c r="C7" s="410">
        <f>'数据-取费表'!B2</f>
        <v>43692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5" t="s">
        <v>2545</v>
      </c>
      <c r="Q7" s="3182"/>
      <c r="R7" s="770" t="s">
        <v>17</v>
      </c>
      <c r="S7" s="771">
        <f t="shared" ref="S7:S15" si="0">F7</f>
        <v>0</v>
      </c>
      <c r="T7" s="770" t="s">
        <v>17</v>
      </c>
      <c r="U7" s="771">
        <f t="shared" ref="U7:U15" si="1">H7</f>
        <v>0</v>
      </c>
      <c r="V7" s="770" t="s">
        <v>17</v>
      </c>
      <c r="W7" s="771">
        <f t="shared" ref="W7:W15" si="2">J7</f>
        <v>0</v>
      </c>
      <c r="X7" s="772"/>
      <c r="Y7" s="3155" t="s">
        <v>2545</v>
      </c>
      <c r="Z7" s="3156"/>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5" t="s">
        <v>2548</v>
      </c>
      <c r="Q8" s="3156"/>
      <c r="R8" s="770" t="s">
        <v>17</v>
      </c>
      <c r="S8" s="771">
        <f t="shared" si="0"/>
        <v>0</v>
      </c>
      <c r="T8" s="770" t="s">
        <v>17</v>
      </c>
      <c r="U8" s="771">
        <f t="shared" si="1"/>
        <v>0</v>
      </c>
      <c r="V8" s="770" t="s">
        <v>17</v>
      </c>
      <c r="W8" s="771">
        <f t="shared" si="2"/>
        <v>0</v>
      </c>
      <c r="X8" s="772"/>
      <c r="Y8" s="3155" t="s">
        <v>2548</v>
      </c>
      <c r="Z8" s="3156"/>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8"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8"/>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8"/>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68"/>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68"/>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68"/>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2556</v>
      </c>
      <c r="Q15" s="1810" t="str">
        <f t="shared" si="6"/>
        <v>产业集聚程度</v>
      </c>
      <c r="R15" s="774" t="s">
        <v>17</v>
      </c>
      <c r="S15" s="775">
        <f t="shared" si="0"/>
        <v>100</v>
      </c>
      <c r="T15" s="774" t="s">
        <v>17</v>
      </c>
      <c r="U15" s="775">
        <f t="shared" si="1"/>
        <v>100</v>
      </c>
      <c r="V15" s="774" t="s">
        <v>17</v>
      </c>
      <c r="W15" s="775">
        <f t="shared" si="2"/>
        <v>100</v>
      </c>
      <c r="X15" s="1813"/>
      <c r="Y15" s="3183"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4"/>
      <c r="Q16" s="1810"/>
      <c r="R16" s="774"/>
      <c r="S16" s="775"/>
      <c r="T16" s="774"/>
      <c r="U16" s="775"/>
      <c r="V16" s="774"/>
      <c r="W16" s="775"/>
      <c r="X16" s="1813"/>
      <c r="Y16" s="3184"/>
      <c r="Z16" s="1814"/>
      <c r="AA16" s="1811">
        <v>1</v>
      </c>
      <c r="AB16" s="1811">
        <v>1</v>
      </c>
      <c r="AC16" s="1811">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84"/>
      <c r="Q18" s="1810"/>
      <c r="R18" s="774"/>
      <c r="S18" s="775"/>
      <c r="T18" s="774"/>
      <c r="U18" s="775"/>
      <c r="V18" s="774"/>
      <c r="W18" s="775"/>
      <c r="X18" s="1813"/>
      <c r="Y18" s="3184"/>
      <c r="Z18" s="1814"/>
      <c r="AA18" s="1811">
        <v>1</v>
      </c>
      <c r="AB18" s="1811">
        <v>1</v>
      </c>
      <c r="AC18" s="1811">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84"/>
      <c r="Q20" s="1810"/>
      <c r="R20" s="774"/>
      <c r="S20" s="775"/>
      <c r="T20" s="774"/>
      <c r="U20" s="775"/>
      <c r="V20" s="774"/>
      <c r="W20" s="775"/>
      <c r="X20" s="1813"/>
      <c r="Y20" s="3184"/>
      <c r="Z20" s="1814"/>
      <c r="AA20" s="1811">
        <v>1</v>
      </c>
      <c r="AB20" s="1811">
        <v>1</v>
      </c>
      <c r="AC20" s="1811">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84"/>
      <c r="Q22" s="1810"/>
      <c r="R22" s="774"/>
      <c r="S22" s="775"/>
      <c r="T22" s="774"/>
      <c r="U22" s="775"/>
      <c r="V22" s="774"/>
      <c r="W22" s="775"/>
      <c r="X22" s="1813"/>
      <c r="Y22" s="3184"/>
      <c r="Z22" s="1814"/>
      <c r="AA22" s="1811">
        <v>1</v>
      </c>
      <c r="AB22" s="1811">
        <v>1</v>
      </c>
      <c r="AC22" s="1811">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84"/>
      <c r="Q24" s="1810"/>
      <c r="R24" s="774"/>
      <c r="S24" s="775"/>
      <c r="T24" s="774"/>
      <c r="U24" s="775"/>
      <c r="V24" s="774"/>
      <c r="W24" s="775"/>
      <c r="X24" s="1813"/>
      <c r="Y24" s="318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10">
        <f>B25</f>
        <v>111</v>
      </c>
      <c r="R25" s="774" t="s">
        <v>17</v>
      </c>
      <c r="S25" s="775">
        <f>F25</f>
        <v>100</v>
      </c>
      <c r="T25" s="774" t="s">
        <v>17</v>
      </c>
      <c r="U25" s="775">
        <f>H25</f>
        <v>100</v>
      </c>
      <c r="V25" s="774" t="s">
        <v>17</v>
      </c>
      <c r="W25" s="775">
        <f>J25</f>
        <v>100</v>
      </c>
      <c r="X25" s="1813"/>
      <c r="Y25" s="318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10">
        <f t="shared" ref="Q26:Q40" si="11">B26</f>
        <v>111</v>
      </c>
      <c r="R26" s="774" t="s">
        <v>17</v>
      </c>
      <c r="S26" s="775">
        <f>F26</f>
        <v>100</v>
      </c>
      <c r="T26" s="774" t="s">
        <v>17</v>
      </c>
      <c r="U26" s="775">
        <f>H26</f>
        <v>100</v>
      </c>
      <c r="V26" s="774" t="s">
        <v>17</v>
      </c>
      <c r="W26" s="775">
        <f>J26</f>
        <v>100</v>
      </c>
      <c r="X26" s="1813"/>
      <c r="Y26" s="318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5">
        <f t="shared" si="11"/>
        <v>111</v>
      </c>
      <c r="R27" s="770" t="s">
        <v>17</v>
      </c>
      <c r="S27" s="771">
        <f>F27</f>
        <v>100</v>
      </c>
      <c r="T27" s="770" t="s">
        <v>17</v>
      </c>
      <c r="U27" s="771">
        <f>H27</f>
        <v>100</v>
      </c>
      <c r="V27" s="770" t="s">
        <v>17</v>
      </c>
      <c r="W27" s="771">
        <f>J27</f>
        <v>100</v>
      </c>
      <c r="X27" s="772"/>
      <c r="Y27" s="318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10">
        <f t="shared" si="11"/>
        <v>111</v>
      </c>
      <c r="R28" s="774" t="s">
        <v>17</v>
      </c>
      <c r="S28" s="775">
        <f t="shared" ref="S28:S40" si="12">F28</f>
        <v>100</v>
      </c>
      <c r="T28" s="774" t="s">
        <v>17</v>
      </c>
      <c r="U28" s="775">
        <f t="shared" ref="U28:U40" si="13">H28</f>
        <v>100</v>
      </c>
      <c r="V28" s="774" t="s">
        <v>17</v>
      </c>
      <c r="W28" s="775">
        <f t="shared" ref="W28:W40" si="14">J28</f>
        <v>100</v>
      </c>
      <c r="X28" s="1813"/>
      <c r="Y28" s="3184"/>
      <c r="Z28" s="1814">
        <f t="shared" ref="Z28:Z40" si="15">Q28</f>
        <v>111</v>
      </c>
      <c r="AA28" s="1811">
        <f t="shared" si="3"/>
        <v>1</v>
      </c>
      <c r="AB28" s="1811">
        <f t="shared" si="4"/>
        <v>1</v>
      </c>
      <c r="AC28" s="1811">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85" t="s">
        <v>2561</v>
      </c>
      <c r="Q29" s="1810" t="str">
        <f t="shared" si="11"/>
        <v>建筑类型</v>
      </c>
      <c r="R29" s="774" t="s">
        <v>17</v>
      </c>
      <c r="S29" s="775">
        <f t="shared" si="12"/>
        <v>100</v>
      </c>
      <c r="T29" s="774" t="s">
        <v>17</v>
      </c>
      <c r="U29" s="775">
        <f t="shared" si="13"/>
        <v>100</v>
      </c>
      <c r="V29" s="774" t="s">
        <v>17</v>
      </c>
      <c r="W29" s="775">
        <f t="shared" si="14"/>
        <v>100</v>
      </c>
      <c r="X29" s="1813"/>
      <c r="Y29" s="3186"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6"/>
      <c r="Q31" s="1810" t="str">
        <f t="shared" si="11"/>
        <v>建筑结构</v>
      </c>
      <c r="R31" s="774" t="s">
        <v>17</v>
      </c>
      <c r="S31" s="775">
        <f t="shared" si="12"/>
        <v>100</v>
      </c>
      <c r="T31" s="774" t="s">
        <v>17</v>
      </c>
      <c r="U31" s="775">
        <f t="shared" si="13"/>
        <v>100</v>
      </c>
      <c r="V31" s="774" t="s">
        <v>17</v>
      </c>
      <c r="W31" s="775">
        <f t="shared" si="14"/>
        <v>100</v>
      </c>
      <c r="X31" s="1813"/>
      <c r="Y31" s="3186"/>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6"/>
      <c r="Q32" s="1810" t="str">
        <f t="shared" si="11"/>
        <v>公共部分装修</v>
      </c>
      <c r="R32" s="774" t="s">
        <v>17</v>
      </c>
      <c r="S32" s="775">
        <f t="shared" si="12"/>
        <v>100</v>
      </c>
      <c r="T32" s="774" t="s">
        <v>17</v>
      </c>
      <c r="U32" s="775">
        <f t="shared" si="13"/>
        <v>100</v>
      </c>
      <c r="V32" s="774" t="s">
        <v>17</v>
      </c>
      <c r="W32" s="775">
        <f t="shared" si="14"/>
        <v>100</v>
      </c>
      <c r="X32" s="1813"/>
      <c r="Y32" s="3186"/>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6"/>
      <c r="Q33" s="1810" t="str">
        <f t="shared" si="11"/>
        <v>成新度</v>
      </c>
      <c r="R33" s="774" t="s">
        <v>17</v>
      </c>
      <c r="S33" s="775" t="e">
        <f t="shared" si="12"/>
        <v>#N/A</v>
      </c>
      <c r="T33" s="774" t="s">
        <v>17</v>
      </c>
      <c r="U33" s="775" t="e">
        <f t="shared" si="13"/>
        <v>#N/A</v>
      </c>
      <c r="V33" s="774" t="s">
        <v>17</v>
      </c>
      <c r="W33" s="775" t="e">
        <f t="shared" si="14"/>
        <v>#N/A</v>
      </c>
      <c r="X33" s="1813"/>
      <c r="Y33" s="3186"/>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6"/>
      <c r="Q34" s="1795"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6" t="s">
        <v>2561</v>
      </c>
      <c r="Q35" s="1810" t="str">
        <f t="shared" si="11"/>
        <v>市政基础设施</v>
      </c>
      <c r="R35" s="774" t="s">
        <v>17</v>
      </c>
      <c r="S35" s="775">
        <f t="shared" si="12"/>
        <v>100</v>
      </c>
      <c r="T35" s="774" t="s">
        <v>17</v>
      </c>
      <c r="U35" s="775">
        <f t="shared" si="13"/>
        <v>100</v>
      </c>
      <c r="V35" s="774" t="s">
        <v>17</v>
      </c>
      <c r="W35" s="775">
        <f t="shared" si="14"/>
        <v>100</v>
      </c>
      <c r="X35" s="1813"/>
      <c r="Y35" s="3186"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6"/>
      <c r="Q36" s="1810" t="str">
        <f t="shared" si="11"/>
        <v>内部装修</v>
      </c>
      <c r="R36" s="774" t="s">
        <v>17</v>
      </c>
      <c r="S36" s="775">
        <f t="shared" si="12"/>
        <v>100</v>
      </c>
      <c r="T36" s="774" t="s">
        <v>17</v>
      </c>
      <c r="U36" s="775">
        <f t="shared" si="13"/>
        <v>100</v>
      </c>
      <c r="V36" s="774" t="s">
        <v>17</v>
      </c>
      <c r="W36" s="775">
        <f t="shared" si="14"/>
        <v>100</v>
      </c>
      <c r="X36" s="1813"/>
      <c r="Y36" s="3186"/>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6"/>
      <c r="Q37" s="1810" t="str">
        <f t="shared" si="11"/>
        <v>内部装修状况</v>
      </c>
      <c r="R37" s="774" t="s">
        <v>17</v>
      </c>
      <c r="S37" s="775">
        <f t="shared" si="12"/>
        <v>100</v>
      </c>
      <c r="T37" s="774" t="s">
        <v>17</v>
      </c>
      <c r="U37" s="775">
        <f t="shared" si="13"/>
        <v>100</v>
      </c>
      <c r="V37" s="774" t="s">
        <v>17</v>
      </c>
      <c r="W37" s="775">
        <f t="shared" si="14"/>
        <v>100</v>
      </c>
      <c r="X37" s="1813"/>
      <c r="Y37" s="318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6"/>
      <c r="Q39" s="1810">
        <f t="shared" si="11"/>
        <v>111</v>
      </c>
      <c r="R39" s="774" t="s">
        <v>17</v>
      </c>
      <c r="S39" s="775">
        <f t="shared" si="12"/>
        <v>100</v>
      </c>
      <c r="T39" s="774" t="s">
        <v>17</v>
      </c>
      <c r="U39" s="775">
        <f t="shared" si="13"/>
        <v>100</v>
      </c>
      <c r="V39" s="774" t="s">
        <v>17</v>
      </c>
      <c r="W39" s="775">
        <f t="shared" si="14"/>
        <v>100</v>
      </c>
      <c r="X39" s="1813"/>
      <c r="Y39" s="318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68" t="str">
        <f>A41</f>
        <v>成交单价（元/平方米）</v>
      </c>
      <c r="Q41" s="3168"/>
      <c r="R41" s="3228">
        <f>E41</f>
        <v>0</v>
      </c>
      <c r="S41" s="3228"/>
      <c r="T41" s="3228">
        <f>G41</f>
        <v>0</v>
      </c>
      <c r="U41" s="3228"/>
      <c r="V41" s="3228">
        <f>I41</f>
        <v>0</v>
      </c>
      <c r="W41" s="3228"/>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68" t="str">
        <f>A42</f>
        <v>比较价值（元/平方米）</v>
      </c>
      <c r="Q42" s="3168"/>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227" t="e">
        <f>IF(F1="售价",ROUND(AVERAGE(R42:V42),0),ROUND(AVERAGE(R42:V42),1))</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3"/>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53" t="s">
        <v>2644</v>
      </c>
      <c r="AC4" s="3152" t="s">
        <v>2645</v>
      </c>
    </row>
    <row r="5" spans="1:29" ht="15">
      <c r="A5" s="404"/>
      <c r="B5" s="405"/>
      <c r="C5" s="3167" t="s">
        <v>2538</v>
      </c>
      <c r="D5" s="3164"/>
      <c r="E5" s="3161" t="s">
        <v>2539</v>
      </c>
      <c r="F5" s="3162"/>
      <c r="G5" s="3167" t="s">
        <v>2540</v>
      </c>
      <c r="H5" s="3164"/>
      <c r="I5" s="3167" t="s">
        <v>2541</v>
      </c>
      <c r="J5" s="3164"/>
      <c r="K5" s="610"/>
      <c r="L5" s="1130"/>
      <c r="M5" s="1131"/>
      <c r="N5" s="1131"/>
      <c r="O5" s="1131"/>
      <c r="P5" s="3175"/>
      <c r="Q5" s="3176"/>
      <c r="R5" s="3159"/>
      <c r="S5" s="3160"/>
      <c r="T5" s="3159"/>
      <c r="U5" s="3160"/>
      <c r="V5" s="3181"/>
      <c r="W5" s="3181"/>
      <c r="X5" s="1813"/>
      <c r="Y5" s="3159"/>
      <c r="Z5" s="3160"/>
      <c r="AA5" s="3153"/>
      <c r="AB5" s="3153"/>
      <c r="AC5" s="3153"/>
    </row>
    <row r="6" spans="1:29" ht="15.75" thickBot="1">
      <c r="A6" s="406"/>
      <c r="B6" s="407"/>
      <c r="C6" s="3224" t="s">
        <v>2542</v>
      </c>
      <c r="D6" s="3166"/>
      <c r="E6" s="3225" t="s">
        <v>2542</v>
      </c>
      <c r="F6" s="3226"/>
      <c r="G6" s="3224" t="s">
        <v>2542</v>
      </c>
      <c r="H6" s="3166"/>
      <c r="I6" s="3224" t="s">
        <v>2542</v>
      </c>
      <c r="J6" s="3166"/>
      <c r="K6" s="610" t="s">
        <v>2543</v>
      </c>
      <c r="L6" s="1130"/>
      <c r="M6" s="1131"/>
      <c r="N6" s="1131"/>
      <c r="O6" s="1131"/>
      <c r="P6" s="3177"/>
      <c r="Q6" s="3178"/>
      <c r="R6" s="3159"/>
      <c r="S6" s="3160"/>
      <c r="T6" s="3179"/>
      <c r="U6" s="3180"/>
      <c r="V6" s="3181"/>
      <c r="W6" s="3181"/>
      <c r="X6" s="1813"/>
      <c r="Y6" s="3179"/>
      <c r="Z6" s="3180"/>
      <c r="AA6" s="3154"/>
      <c r="AB6" s="3154"/>
      <c r="AC6" s="3154"/>
    </row>
    <row r="7" spans="1:29" s="117" customFormat="1" ht="15.75" thickBot="1">
      <c r="A7" s="408" t="s">
        <v>2544</v>
      </c>
      <c r="B7" s="409"/>
      <c r="C7" s="410">
        <f>'数据-取费表'!B2</f>
        <v>43692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5" t="s">
        <v>2545</v>
      </c>
      <c r="Q7" s="3182"/>
      <c r="R7" s="770" t="s">
        <v>17</v>
      </c>
      <c r="S7" s="771">
        <f t="shared" ref="S7:S14" si="0">F7</f>
        <v>0</v>
      </c>
      <c r="T7" s="770" t="s">
        <v>17</v>
      </c>
      <c r="U7" s="771">
        <f t="shared" ref="U7:U14" si="1">H7</f>
        <v>0</v>
      </c>
      <c r="V7" s="770" t="s">
        <v>17</v>
      </c>
      <c r="W7" s="771">
        <f t="shared" ref="W7:W14" si="2">J7</f>
        <v>0</v>
      </c>
      <c r="X7" s="772"/>
      <c r="Y7" s="3155" t="s">
        <v>2545</v>
      </c>
      <c r="Z7" s="3156"/>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5" t="s">
        <v>2548</v>
      </c>
      <c r="Q8" s="3156"/>
      <c r="R8" s="770" t="s">
        <v>17</v>
      </c>
      <c r="S8" s="771">
        <f t="shared" si="0"/>
        <v>0</v>
      </c>
      <c r="T8" s="770" t="s">
        <v>17</v>
      </c>
      <c r="U8" s="771">
        <f t="shared" si="1"/>
        <v>0</v>
      </c>
      <c r="V8" s="770" t="s">
        <v>17</v>
      </c>
      <c r="W8" s="771">
        <f t="shared" si="2"/>
        <v>0</v>
      </c>
      <c r="X8" s="772"/>
      <c r="Y8" s="3155" t="s">
        <v>2548</v>
      </c>
      <c r="Z8" s="3156"/>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8"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8"/>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8"/>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8"/>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8"/>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2556</v>
      </c>
      <c r="Q14" s="1810" t="str">
        <f t="shared" si="6"/>
        <v>交通便捷度</v>
      </c>
      <c r="R14" s="774" t="s">
        <v>17</v>
      </c>
      <c r="S14" s="775">
        <f t="shared" si="0"/>
        <v>100</v>
      </c>
      <c r="T14" s="774" t="s">
        <v>17</v>
      </c>
      <c r="U14" s="775">
        <f t="shared" si="1"/>
        <v>100</v>
      </c>
      <c r="V14" s="774" t="s">
        <v>17</v>
      </c>
      <c r="W14" s="775">
        <f t="shared" si="2"/>
        <v>100</v>
      </c>
      <c r="X14" s="1813"/>
      <c r="Y14" s="3183"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4"/>
      <c r="Q15" s="1810"/>
      <c r="R15" s="774"/>
      <c r="S15" s="775"/>
      <c r="T15" s="774"/>
      <c r="U15" s="775"/>
      <c r="V15" s="774"/>
      <c r="W15" s="775"/>
      <c r="X15" s="1813"/>
      <c r="Y15" s="3184"/>
      <c r="Z15" s="1814"/>
      <c r="AA15" s="1811">
        <v>1</v>
      </c>
      <c r="AB15" s="1811">
        <v>1</v>
      </c>
      <c r="AC15" s="1811">
        <v>1</v>
      </c>
    </row>
    <row r="16" spans="1:29" ht="15">
      <c r="A16" s="404"/>
      <c r="B16" s="631" t="s">
        <v>2684</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4"/>
      <c r="Q17" s="1810"/>
      <c r="R17" s="774"/>
      <c r="S17" s="775"/>
      <c r="T17" s="774"/>
      <c r="U17" s="775"/>
      <c r="V17" s="774"/>
      <c r="W17" s="775"/>
      <c r="X17" s="1813"/>
      <c r="Y17" s="3184"/>
      <c r="Z17" s="1814"/>
      <c r="AA17" s="1811">
        <v>1</v>
      </c>
      <c r="AB17" s="1811">
        <v>1</v>
      </c>
      <c r="AC17" s="1811">
        <v>1</v>
      </c>
    </row>
    <row r="18" spans="1:29" ht="15">
      <c r="A18" s="404"/>
      <c r="B18" s="633" t="s">
        <v>2685</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84"/>
      <c r="Q19" s="1810"/>
      <c r="R19" s="774"/>
      <c r="S19" s="775"/>
      <c r="T19" s="774"/>
      <c r="U19" s="775"/>
      <c r="V19" s="774"/>
      <c r="W19" s="775"/>
      <c r="X19" s="1813"/>
      <c r="Y19" s="3184"/>
      <c r="Z19" s="1814"/>
      <c r="AA19" s="1811">
        <v>1</v>
      </c>
      <c r="AB19" s="1811">
        <v>1</v>
      </c>
      <c r="AC19" s="1811">
        <v>1</v>
      </c>
    </row>
    <row r="20" spans="1:29" ht="15">
      <c r="A20" s="404"/>
      <c r="B20" s="631" t="s">
        <v>2706</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4"/>
      <c r="Q21" s="1810"/>
      <c r="R21" s="774"/>
      <c r="S21" s="775"/>
      <c r="T21" s="774"/>
      <c r="U21" s="775"/>
      <c r="V21" s="774"/>
      <c r="W21" s="775"/>
      <c r="X21" s="1813"/>
      <c r="Y21" s="3184"/>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10">
        <f t="shared" ref="Q24:Q36"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5"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6"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6"/>
      <c r="Q28" s="1810" t="str">
        <f t="shared" si="11"/>
        <v>公共部分装修</v>
      </c>
      <c r="R28" s="774" t="s">
        <v>17</v>
      </c>
      <c r="S28" s="775">
        <f t="shared" si="12"/>
        <v>100</v>
      </c>
      <c r="T28" s="774" t="s">
        <v>17</v>
      </c>
      <c r="U28" s="775">
        <f t="shared" si="13"/>
        <v>100</v>
      </c>
      <c r="V28" s="774" t="s">
        <v>17</v>
      </c>
      <c r="W28" s="775">
        <f t="shared" si="14"/>
        <v>100</v>
      </c>
      <c r="X28" s="1813"/>
      <c r="Y28" s="3186"/>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6"/>
      <c r="Q29" s="1810" t="str">
        <f t="shared" si="11"/>
        <v>成新率</v>
      </c>
      <c r="R29" s="774" t="s">
        <v>17</v>
      </c>
      <c r="S29" s="775" t="e">
        <f t="shared" si="12"/>
        <v>#N/A</v>
      </c>
      <c r="T29" s="774" t="s">
        <v>17</v>
      </c>
      <c r="U29" s="775" t="e">
        <f t="shared" si="13"/>
        <v>#N/A</v>
      </c>
      <c r="V29" s="774" t="s">
        <v>17</v>
      </c>
      <c r="W29" s="775" t="e">
        <f t="shared" si="14"/>
        <v>#N/A</v>
      </c>
      <c r="X29" s="1813"/>
      <c r="Y29" s="3186"/>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6"/>
      <c r="Q30" s="1810" t="str">
        <f t="shared" si="11"/>
        <v>物业等级</v>
      </c>
      <c r="R30" s="774" t="s">
        <v>17</v>
      </c>
      <c r="S30" s="775">
        <f t="shared" si="12"/>
        <v>100</v>
      </c>
      <c r="T30" s="774" t="s">
        <v>17</v>
      </c>
      <c r="U30" s="775">
        <f t="shared" si="13"/>
        <v>100</v>
      </c>
      <c r="V30" s="774" t="s">
        <v>17</v>
      </c>
      <c r="W30" s="775">
        <f t="shared" si="14"/>
        <v>100</v>
      </c>
      <c r="X30" s="1813"/>
      <c r="Y30" s="3186"/>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6"/>
      <c r="Q31" s="1795"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6" t="s">
        <v>2561</v>
      </c>
      <c r="Q32" s="1810" t="str">
        <f t="shared" si="11"/>
        <v>车位类型</v>
      </c>
      <c r="R32" s="774" t="s">
        <v>17</v>
      </c>
      <c r="S32" s="775">
        <f t="shared" si="12"/>
        <v>100</v>
      </c>
      <c r="T32" s="774" t="s">
        <v>17</v>
      </c>
      <c r="U32" s="775">
        <f t="shared" si="13"/>
        <v>100</v>
      </c>
      <c r="V32" s="774" t="s">
        <v>17</v>
      </c>
      <c r="W32" s="775">
        <f t="shared" si="14"/>
        <v>100</v>
      </c>
      <c r="X32" s="1813"/>
      <c r="Y32" s="3186"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6"/>
      <c r="Q33" s="1810" t="str">
        <f t="shared" si="11"/>
        <v>是否直接入户</v>
      </c>
      <c r="R33" s="774" t="s">
        <v>17</v>
      </c>
      <c r="S33" s="775">
        <f t="shared" si="12"/>
        <v>100</v>
      </c>
      <c r="T33" s="774" t="s">
        <v>17</v>
      </c>
      <c r="U33" s="775">
        <f t="shared" si="13"/>
        <v>100</v>
      </c>
      <c r="V33" s="774" t="s">
        <v>17</v>
      </c>
      <c r="W33" s="775">
        <f t="shared" si="14"/>
        <v>100</v>
      </c>
      <c r="X33" s="1813"/>
      <c r="Y33" s="318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6"/>
      <c r="Q36" s="1810">
        <f t="shared" si="11"/>
        <v>111</v>
      </c>
      <c r="R36" s="774" t="s">
        <v>17</v>
      </c>
      <c r="S36" s="775">
        <f t="shared" si="12"/>
        <v>100</v>
      </c>
      <c r="T36" s="774" t="s">
        <v>17</v>
      </c>
      <c r="U36" s="775">
        <f t="shared" si="13"/>
        <v>100</v>
      </c>
      <c r="V36" s="774" t="s">
        <v>17</v>
      </c>
      <c r="W36" s="775">
        <f t="shared" si="14"/>
        <v>100</v>
      </c>
      <c r="X36" s="1813"/>
      <c r="Y36" s="3186"/>
      <c r="Z36" s="1814">
        <f t="shared" si="15"/>
        <v>111</v>
      </c>
      <c r="AA36" s="1811">
        <f t="shared" si="3"/>
        <v>1</v>
      </c>
      <c r="AB36" s="1811">
        <f t="shared" si="4"/>
        <v>1</v>
      </c>
      <c r="AC36" s="1811">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68" t="str">
        <f>A37</f>
        <v>成交单价</v>
      </c>
      <c r="Q37" s="3168"/>
      <c r="R37" s="3228">
        <f>E37</f>
        <v>0</v>
      </c>
      <c r="S37" s="3228"/>
      <c r="T37" s="3228">
        <f>G37</f>
        <v>0</v>
      </c>
      <c r="U37" s="3228"/>
      <c r="V37" s="3228">
        <f>I37</f>
        <v>0</v>
      </c>
      <c r="W37" s="3228"/>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8" t="str">
        <f>A38</f>
        <v>比较价值（元/平方米）</v>
      </c>
      <c r="Q38" s="3168"/>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227" t="e">
        <f>IF(F1="售价",ROUND(AVERAGE(R38:V38),0),ROUND(AVERAGE(R38:V38),1))</f>
        <v>#DIV/0!</v>
      </c>
      <c r="S39" s="3227"/>
      <c r="T39" s="3227"/>
      <c r="U39" s="3227"/>
      <c r="V39" s="3227"/>
      <c r="W39" s="322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53" t="s">
        <v>2644</v>
      </c>
      <c r="AC4" s="3152" t="s">
        <v>2645</v>
      </c>
    </row>
    <row r="5" spans="1:29" ht="15">
      <c r="A5" s="404"/>
      <c r="B5" s="405"/>
      <c r="C5" s="3167" t="s">
        <v>2538</v>
      </c>
      <c r="D5" s="3164"/>
      <c r="E5" s="3161" t="s">
        <v>2539</v>
      </c>
      <c r="F5" s="3162"/>
      <c r="G5" s="3167" t="s">
        <v>2540</v>
      </c>
      <c r="H5" s="3164"/>
      <c r="I5" s="3167" t="s">
        <v>2541</v>
      </c>
      <c r="J5" s="3164"/>
      <c r="K5" s="610"/>
      <c r="L5" s="1130"/>
      <c r="M5" s="1131"/>
      <c r="N5" s="1131"/>
      <c r="O5" s="1131"/>
      <c r="P5" s="3175"/>
      <c r="Q5" s="3176"/>
      <c r="R5" s="3159"/>
      <c r="S5" s="3160"/>
      <c r="T5" s="3159"/>
      <c r="U5" s="3160"/>
      <c r="V5" s="3181"/>
      <c r="W5" s="3181"/>
      <c r="X5" s="1813"/>
      <c r="Y5" s="3159"/>
      <c r="Z5" s="3160"/>
      <c r="AA5" s="3153"/>
      <c r="AB5" s="3153"/>
      <c r="AC5" s="3153"/>
    </row>
    <row r="6" spans="1:29" ht="15.75" thickBot="1">
      <c r="A6" s="406"/>
      <c r="B6" s="407"/>
      <c r="C6" s="3224" t="s">
        <v>2542</v>
      </c>
      <c r="D6" s="3166"/>
      <c r="E6" s="3225" t="s">
        <v>2542</v>
      </c>
      <c r="F6" s="3226"/>
      <c r="G6" s="3224" t="s">
        <v>2542</v>
      </c>
      <c r="H6" s="3166"/>
      <c r="I6" s="3224" t="s">
        <v>2542</v>
      </c>
      <c r="J6" s="3166"/>
      <c r="K6" s="610" t="s">
        <v>2543</v>
      </c>
      <c r="L6" s="1130"/>
      <c r="M6" s="1131"/>
      <c r="N6" s="1131"/>
      <c r="O6" s="1131"/>
      <c r="P6" s="3177"/>
      <c r="Q6" s="3178"/>
      <c r="R6" s="3159"/>
      <c r="S6" s="3160"/>
      <c r="T6" s="3179"/>
      <c r="U6" s="3180"/>
      <c r="V6" s="3181"/>
      <c r="W6" s="3181"/>
      <c r="X6" s="1813"/>
      <c r="Y6" s="3179"/>
      <c r="Z6" s="3180"/>
      <c r="AA6" s="3154"/>
      <c r="AB6" s="3154"/>
      <c r="AC6" s="3154"/>
    </row>
    <row r="7" spans="1:29" s="117" customFormat="1" ht="15.75" thickBot="1">
      <c r="A7" s="408" t="s">
        <v>2544</v>
      </c>
      <c r="B7" s="409"/>
      <c r="C7" s="410">
        <f>'数据-取费表'!B2</f>
        <v>43692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55" t="s">
        <v>2545</v>
      </c>
      <c r="Q7" s="3182"/>
      <c r="R7" s="770" t="s">
        <v>17</v>
      </c>
      <c r="S7" s="771">
        <f t="shared" ref="S7:S14" si="0">F7</f>
        <v>0</v>
      </c>
      <c r="T7" s="770" t="s">
        <v>17</v>
      </c>
      <c r="U7" s="771">
        <f t="shared" ref="U7:U14" si="1">H7</f>
        <v>0</v>
      </c>
      <c r="V7" s="770" t="s">
        <v>17</v>
      </c>
      <c r="W7" s="771">
        <f t="shared" ref="W7:W14" si="2">J7</f>
        <v>0</v>
      </c>
      <c r="X7" s="772"/>
      <c r="Y7" s="3155" t="s">
        <v>2545</v>
      </c>
      <c r="Z7" s="3156"/>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5" t="s">
        <v>2548</v>
      </c>
      <c r="Q8" s="3156"/>
      <c r="R8" s="770" t="s">
        <v>17</v>
      </c>
      <c r="S8" s="771">
        <f t="shared" si="0"/>
        <v>0</v>
      </c>
      <c r="T8" s="770" t="s">
        <v>17</v>
      </c>
      <c r="U8" s="771">
        <f t="shared" si="1"/>
        <v>0</v>
      </c>
      <c r="V8" s="770" t="s">
        <v>17</v>
      </c>
      <c r="W8" s="771">
        <f t="shared" si="2"/>
        <v>0</v>
      </c>
      <c r="X8" s="772"/>
      <c r="Y8" s="3155" t="s">
        <v>2548</v>
      </c>
      <c r="Z8" s="3156"/>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8"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8"/>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8"/>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8"/>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68"/>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2556</v>
      </c>
      <c r="Q14" s="1810" t="str">
        <f t="shared" si="6"/>
        <v>交通便捷度</v>
      </c>
      <c r="R14" s="774" t="s">
        <v>17</v>
      </c>
      <c r="S14" s="775">
        <f t="shared" si="0"/>
        <v>100</v>
      </c>
      <c r="T14" s="774" t="s">
        <v>17</v>
      </c>
      <c r="U14" s="775">
        <f t="shared" si="1"/>
        <v>100</v>
      </c>
      <c r="V14" s="774" t="s">
        <v>17</v>
      </c>
      <c r="W14" s="775">
        <f t="shared" si="2"/>
        <v>100</v>
      </c>
      <c r="X14" s="1813"/>
      <c r="Y14" s="3183"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4"/>
      <c r="Q15" s="1810"/>
      <c r="R15" s="774"/>
      <c r="S15" s="775"/>
      <c r="T15" s="774"/>
      <c r="U15" s="775"/>
      <c r="V15" s="774"/>
      <c r="W15" s="775"/>
      <c r="X15" s="1813"/>
      <c r="Y15" s="3184"/>
      <c r="Z15" s="1814"/>
      <c r="AA15" s="1811">
        <v>1</v>
      </c>
      <c r="AB15" s="1811">
        <v>1</v>
      </c>
      <c r="AC15" s="1811">
        <v>1</v>
      </c>
    </row>
    <row r="16" spans="1:29" ht="15">
      <c r="A16" s="428"/>
      <c r="B16" s="451" t="s">
        <v>2684</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4"/>
      <c r="Q17" s="1810"/>
      <c r="R17" s="774"/>
      <c r="S17" s="775"/>
      <c r="T17" s="774"/>
      <c r="U17" s="775"/>
      <c r="V17" s="774"/>
      <c r="W17" s="775"/>
      <c r="X17" s="1813"/>
      <c r="Y17" s="3184"/>
      <c r="Z17" s="1814"/>
      <c r="AA17" s="1811">
        <v>1</v>
      </c>
      <c r="AB17" s="1811">
        <v>1</v>
      </c>
      <c r="AC17" s="1811">
        <v>1</v>
      </c>
    </row>
    <row r="18" spans="1:29" ht="15">
      <c r="A18" s="428"/>
      <c r="B18" s="1384" t="s">
        <v>2685</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84"/>
      <c r="Q19" s="1810"/>
      <c r="R19" s="774"/>
      <c r="S19" s="775"/>
      <c r="T19" s="774"/>
      <c r="U19" s="775"/>
      <c r="V19" s="774"/>
      <c r="W19" s="775"/>
      <c r="X19" s="1813"/>
      <c r="Y19" s="3184"/>
      <c r="Z19" s="1814"/>
      <c r="AA19" s="1811">
        <v>1</v>
      </c>
      <c r="AB19" s="1811">
        <v>1</v>
      </c>
      <c r="AC19" s="1811">
        <v>1</v>
      </c>
    </row>
    <row r="20" spans="1:29" ht="15">
      <c r="A20" s="428"/>
      <c r="B20" s="451" t="s">
        <v>2706</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4"/>
      <c r="Q21" s="1810"/>
      <c r="R21" s="774"/>
      <c r="S21" s="775"/>
      <c r="T21" s="774"/>
      <c r="U21" s="775"/>
      <c r="V21" s="774"/>
      <c r="W21" s="775"/>
      <c r="X21" s="1813"/>
      <c r="Y21" s="3184"/>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10">
        <f t="shared" ref="Q24:Q34"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85"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6"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6"/>
      <c r="Q28" s="1810" t="str">
        <f t="shared" si="11"/>
        <v>物业等级</v>
      </c>
      <c r="R28" s="774" t="s">
        <v>17</v>
      </c>
      <c r="S28" s="775">
        <f t="shared" si="12"/>
        <v>100</v>
      </c>
      <c r="T28" s="774" t="s">
        <v>17</v>
      </c>
      <c r="U28" s="775">
        <f t="shared" si="13"/>
        <v>100</v>
      </c>
      <c r="V28" s="774" t="s">
        <v>17</v>
      </c>
      <c r="W28" s="775">
        <f t="shared" si="14"/>
        <v>100</v>
      </c>
      <c r="X28" s="1813"/>
      <c r="Y28" s="3186"/>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6"/>
      <c r="Q29" s="1810" t="str">
        <f t="shared" si="11"/>
        <v>有无电梯</v>
      </c>
      <c r="R29" s="774" t="s">
        <v>17</v>
      </c>
      <c r="S29" s="775">
        <f t="shared" si="12"/>
        <v>100</v>
      </c>
      <c r="T29" s="774" t="s">
        <v>17</v>
      </c>
      <c r="U29" s="775">
        <f t="shared" si="13"/>
        <v>100</v>
      </c>
      <c r="V29" s="774" t="s">
        <v>17</v>
      </c>
      <c r="W29" s="775">
        <f t="shared" si="14"/>
        <v>100</v>
      </c>
      <c r="X29" s="1813"/>
      <c r="Y29" s="3186"/>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6"/>
      <c r="Q30" s="1810" t="str">
        <f t="shared" si="11"/>
        <v>建筑面积</v>
      </c>
      <c r="R30" s="774" t="s">
        <v>17</v>
      </c>
      <c r="S30" s="775" t="e">
        <f t="shared" si="12"/>
        <v>#N/A</v>
      </c>
      <c r="T30" s="774" t="s">
        <v>17</v>
      </c>
      <c r="U30" s="775" t="e">
        <f t="shared" si="13"/>
        <v>#N/A</v>
      </c>
      <c r="V30" s="774" t="s">
        <v>17</v>
      </c>
      <c r="W30" s="775" t="e">
        <f t="shared" si="14"/>
        <v>#N/A</v>
      </c>
      <c r="X30" s="1813"/>
      <c r="Y30" s="3186"/>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6"/>
      <c r="Q31" s="1795"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6" t="s">
        <v>2561</v>
      </c>
      <c r="Q32" s="1810">
        <f t="shared" si="11"/>
        <v>111</v>
      </c>
      <c r="R32" s="774" t="s">
        <v>17</v>
      </c>
      <c r="S32" s="775">
        <f t="shared" si="12"/>
        <v>100</v>
      </c>
      <c r="T32" s="774" t="s">
        <v>17</v>
      </c>
      <c r="U32" s="775">
        <f t="shared" si="13"/>
        <v>100</v>
      </c>
      <c r="V32" s="774" t="s">
        <v>17</v>
      </c>
      <c r="W32" s="775">
        <f t="shared" si="14"/>
        <v>100</v>
      </c>
      <c r="X32" s="1813"/>
      <c r="Y32" s="3186" t="s">
        <v>2561</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6"/>
      <c r="Q33" s="1810">
        <f t="shared" si="11"/>
        <v>111</v>
      </c>
      <c r="R33" s="774" t="s">
        <v>17</v>
      </c>
      <c r="S33" s="775">
        <f t="shared" si="12"/>
        <v>100</v>
      </c>
      <c r="T33" s="774" t="s">
        <v>17</v>
      </c>
      <c r="U33" s="775">
        <f t="shared" si="13"/>
        <v>100</v>
      </c>
      <c r="V33" s="774" t="s">
        <v>17</v>
      </c>
      <c r="W33" s="775">
        <f t="shared" si="14"/>
        <v>100</v>
      </c>
      <c r="X33" s="1813"/>
      <c r="Y33" s="318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68" t="str">
        <f>A35</f>
        <v>成交单价（元/平方米）</v>
      </c>
      <c r="Q35" s="3168"/>
      <c r="R35" s="3228">
        <f>E35</f>
        <v>0</v>
      </c>
      <c r="S35" s="3228"/>
      <c r="T35" s="3228">
        <f>G35</f>
        <v>0</v>
      </c>
      <c r="U35" s="3228"/>
      <c r="V35" s="3228">
        <f>I35</f>
        <v>0</v>
      </c>
      <c r="W35" s="3228"/>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68" t="str">
        <f>A36</f>
        <v>比较价值（元/平方米）</v>
      </c>
      <c r="Q36" s="3168"/>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227" t="e">
        <f>IF(F1="售价",ROUND(AVERAGE(R36:V36),0),ROUND(AVERAGE(R36:V36),1))</f>
        <v>#DIV/0!</v>
      </c>
      <c r="S37" s="3227"/>
      <c r="T37" s="3227"/>
      <c r="U37" s="3227"/>
      <c r="V37" s="3227"/>
      <c r="W37" s="322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AK69" sqref="AK69"/>
    </sheetView>
  </sheetViews>
  <sheetFormatPr defaultRowHeight="12"/>
  <cols>
    <col min="1" max="1" width="31.25" style="2962" customWidth="1"/>
    <col min="2" max="2" width="7.125" style="2962" customWidth="1"/>
    <col min="3" max="3" width="13.375" style="2962" customWidth="1"/>
    <col min="4" max="4" width="7.125" style="2962" hidden="1" customWidth="1"/>
    <col min="5" max="5" width="5.25" style="2962" hidden="1" customWidth="1"/>
    <col min="6" max="6" width="48" style="2962" hidden="1" customWidth="1"/>
    <col min="7" max="7" width="9" style="2962" customWidth="1"/>
    <col min="8" max="8" width="12.25" style="2962" hidden="1" customWidth="1"/>
    <col min="9" max="9" width="18.375" style="2962" customWidth="1"/>
    <col min="10" max="10" width="11" style="2962" customWidth="1"/>
    <col min="11" max="11" width="11.875" style="2962" customWidth="1"/>
    <col min="12" max="12" width="10.5" style="2962" customWidth="1"/>
    <col min="13" max="13" width="9" style="2962" customWidth="1"/>
    <col min="14" max="15" width="9" style="2962" hidden="1" customWidth="1"/>
    <col min="16" max="16" width="11" style="2962" hidden="1" customWidth="1"/>
    <col min="17" max="18" width="17.75" style="2962" hidden="1" customWidth="1"/>
    <col min="19" max="19" width="14.75" style="2962" hidden="1" customWidth="1"/>
    <col min="20" max="20" width="17.125" style="2962" customWidth="1"/>
    <col min="21" max="21" width="12.875" style="2962" customWidth="1"/>
    <col min="22" max="22" width="20.375" style="2962" hidden="1" customWidth="1"/>
    <col min="23" max="23" width="9" style="2962" hidden="1" customWidth="1"/>
    <col min="24" max="26" width="10.25" style="2962" hidden="1" customWidth="1"/>
    <col min="27" max="27" width="10.25" style="2962" customWidth="1"/>
    <col min="28" max="28" width="28" style="2962" hidden="1" customWidth="1"/>
    <col min="29" max="29" width="9" style="2962" hidden="1" customWidth="1"/>
    <col min="30" max="30" width="21.5" style="2962" customWidth="1"/>
    <col min="31" max="33" width="12.125" style="2962" hidden="1" customWidth="1"/>
    <col min="34" max="34" width="18.25" style="2962" hidden="1" customWidth="1"/>
    <col min="35" max="35" width="18.25" style="2962" customWidth="1"/>
    <col min="36" max="36" width="16.375" style="2962" hidden="1" customWidth="1"/>
    <col min="37" max="37" width="16.375" style="2962" customWidth="1"/>
    <col min="38" max="39" width="25" style="2962" hidden="1" customWidth="1"/>
    <col min="40" max="40" width="7.125" style="2962" customWidth="1"/>
    <col min="41" max="41" width="18.5" style="2962" customWidth="1"/>
    <col min="42" max="42" width="19.25" style="2962" hidden="1" customWidth="1"/>
    <col min="43" max="44" width="23" style="2962" hidden="1" customWidth="1"/>
    <col min="45" max="45" width="9" style="2962" hidden="1" customWidth="1"/>
    <col min="46" max="256" width="8.875" style="2962"/>
    <col min="257" max="257" width="48" style="2962" customWidth="1"/>
    <col min="258" max="258" width="7.125" style="2962" customWidth="1"/>
    <col min="259" max="259" width="13.375" style="2962" customWidth="1"/>
    <col min="260" max="260" width="7.125" style="2962" customWidth="1"/>
    <col min="261" max="261" width="5.25" style="2962" customWidth="1"/>
    <col min="262" max="262" width="48" style="2962" customWidth="1"/>
    <col min="263" max="263" width="9" style="2962" customWidth="1"/>
    <col min="264" max="264" width="12.25" style="2962" customWidth="1"/>
    <col min="265" max="265" width="38.375" style="2962" customWidth="1"/>
    <col min="266" max="267" width="15.875" style="2962" customWidth="1"/>
    <col min="268" max="268" width="10.5" style="2962" customWidth="1"/>
    <col min="269" max="271" width="9" style="2962" customWidth="1"/>
    <col min="272" max="272" width="11" style="2962" customWidth="1"/>
    <col min="273" max="274" width="17.75" style="2962" customWidth="1"/>
    <col min="275" max="275" width="14.75" style="2962" customWidth="1"/>
    <col min="276" max="276" width="17.125" style="2962" customWidth="1"/>
    <col min="277" max="277" width="12.875" style="2962" customWidth="1"/>
    <col min="278" max="278" width="20.375" style="2962" customWidth="1"/>
    <col min="279" max="279" width="9" style="2962" customWidth="1"/>
    <col min="280" max="283" width="10.25" style="2962" customWidth="1"/>
    <col min="284" max="284" width="28" style="2962" customWidth="1"/>
    <col min="285" max="285" width="9" style="2962" customWidth="1"/>
    <col min="286" max="286" width="100.375" style="2962" customWidth="1"/>
    <col min="287" max="289" width="12.125" style="2962" customWidth="1"/>
    <col min="290" max="291" width="18.25" style="2962" customWidth="1"/>
    <col min="292" max="293" width="16.375" style="2962" customWidth="1"/>
    <col min="294" max="295" width="25" style="2962" customWidth="1"/>
    <col min="296" max="296" width="7.125" style="2962" customWidth="1"/>
    <col min="297" max="297" width="18.5" style="2962" customWidth="1"/>
    <col min="298" max="298" width="19.25" style="2962" customWidth="1"/>
    <col min="299" max="300" width="23" style="2962" customWidth="1"/>
    <col min="301" max="301" width="9" style="2962" customWidth="1"/>
    <col min="302" max="512" width="8.875" style="2962"/>
    <col min="513" max="513" width="48" style="2962" customWidth="1"/>
    <col min="514" max="514" width="7.125" style="2962" customWidth="1"/>
    <col min="515" max="515" width="13.375" style="2962" customWidth="1"/>
    <col min="516" max="516" width="7.125" style="2962" customWidth="1"/>
    <col min="517" max="517" width="5.25" style="2962" customWidth="1"/>
    <col min="518" max="518" width="48" style="2962" customWidth="1"/>
    <col min="519" max="519" width="9" style="2962" customWidth="1"/>
    <col min="520" max="520" width="12.25" style="2962" customWidth="1"/>
    <col min="521" max="521" width="38.375" style="2962" customWidth="1"/>
    <col min="522" max="523" width="15.875" style="2962" customWidth="1"/>
    <col min="524" max="524" width="10.5" style="2962" customWidth="1"/>
    <col min="525" max="527" width="9" style="2962" customWidth="1"/>
    <col min="528" max="528" width="11" style="2962" customWidth="1"/>
    <col min="529" max="530" width="17.75" style="2962" customWidth="1"/>
    <col min="531" max="531" width="14.75" style="2962" customWidth="1"/>
    <col min="532" max="532" width="17.125" style="2962" customWidth="1"/>
    <col min="533" max="533" width="12.875" style="2962" customWidth="1"/>
    <col min="534" max="534" width="20.375" style="2962" customWidth="1"/>
    <col min="535" max="535" width="9" style="2962" customWidth="1"/>
    <col min="536" max="539" width="10.25" style="2962" customWidth="1"/>
    <col min="540" max="540" width="28" style="2962" customWidth="1"/>
    <col min="541" max="541" width="9" style="2962" customWidth="1"/>
    <col min="542" max="542" width="100.375" style="2962" customWidth="1"/>
    <col min="543" max="545" width="12.125" style="2962" customWidth="1"/>
    <col min="546" max="547" width="18.25" style="2962" customWidth="1"/>
    <col min="548" max="549" width="16.375" style="2962" customWidth="1"/>
    <col min="550" max="551" width="25" style="2962" customWidth="1"/>
    <col min="552" max="552" width="7.125" style="2962" customWidth="1"/>
    <col min="553" max="553" width="18.5" style="2962" customWidth="1"/>
    <col min="554" max="554" width="19.25" style="2962" customWidth="1"/>
    <col min="555" max="556" width="23" style="2962" customWidth="1"/>
    <col min="557" max="557" width="9" style="2962" customWidth="1"/>
    <col min="558" max="768" width="8.875" style="2962"/>
    <col min="769" max="769" width="48" style="2962" customWidth="1"/>
    <col min="770" max="770" width="7.125" style="2962" customWidth="1"/>
    <col min="771" max="771" width="13.375" style="2962" customWidth="1"/>
    <col min="772" max="772" width="7.125" style="2962" customWidth="1"/>
    <col min="773" max="773" width="5.25" style="2962" customWidth="1"/>
    <col min="774" max="774" width="48" style="2962" customWidth="1"/>
    <col min="775" max="775" width="9" style="2962" customWidth="1"/>
    <col min="776" max="776" width="12.25" style="2962" customWidth="1"/>
    <col min="777" max="777" width="38.375" style="2962" customWidth="1"/>
    <col min="778" max="779" width="15.875" style="2962" customWidth="1"/>
    <col min="780" max="780" width="10.5" style="2962" customWidth="1"/>
    <col min="781" max="783" width="9" style="2962" customWidth="1"/>
    <col min="784" max="784" width="11" style="2962" customWidth="1"/>
    <col min="785" max="786" width="17.75" style="2962" customWidth="1"/>
    <col min="787" max="787" width="14.75" style="2962" customWidth="1"/>
    <col min="788" max="788" width="17.125" style="2962" customWidth="1"/>
    <col min="789" max="789" width="12.875" style="2962" customWidth="1"/>
    <col min="790" max="790" width="20.375" style="2962" customWidth="1"/>
    <col min="791" max="791" width="9" style="2962" customWidth="1"/>
    <col min="792" max="795" width="10.25" style="2962" customWidth="1"/>
    <col min="796" max="796" width="28" style="2962" customWidth="1"/>
    <col min="797" max="797" width="9" style="2962" customWidth="1"/>
    <col min="798" max="798" width="100.375" style="2962" customWidth="1"/>
    <col min="799" max="801" width="12.125" style="2962" customWidth="1"/>
    <col min="802" max="803" width="18.25" style="2962" customWidth="1"/>
    <col min="804" max="805" width="16.375" style="2962" customWidth="1"/>
    <col min="806" max="807" width="25" style="2962" customWidth="1"/>
    <col min="808" max="808" width="7.125" style="2962" customWidth="1"/>
    <col min="809" max="809" width="18.5" style="2962" customWidth="1"/>
    <col min="810" max="810" width="19.25" style="2962" customWidth="1"/>
    <col min="811" max="812" width="23" style="2962" customWidth="1"/>
    <col min="813" max="813" width="9" style="2962" customWidth="1"/>
    <col min="814" max="1024" width="8.875" style="2962"/>
    <col min="1025" max="1025" width="48" style="2962" customWidth="1"/>
    <col min="1026" max="1026" width="7.125" style="2962" customWidth="1"/>
    <col min="1027" max="1027" width="13.375" style="2962" customWidth="1"/>
    <col min="1028" max="1028" width="7.125" style="2962" customWidth="1"/>
    <col min="1029" max="1029" width="5.25" style="2962" customWidth="1"/>
    <col min="1030" max="1030" width="48" style="2962" customWidth="1"/>
    <col min="1031" max="1031" width="9" style="2962" customWidth="1"/>
    <col min="1032" max="1032" width="12.25" style="2962" customWidth="1"/>
    <col min="1033" max="1033" width="38.375" style="2962" customWidth="1"/>
    <col min="1034" max="1035" width="15.875" style="2962" customWidth="1"/>
    <col min="1036" max="1036" width="10.5" style="2962" customWidth="1"/>
    <col min="1037" max="1039" width="9" style="2962" customWidth="1"/>
    <col min="1040" max="1040" width="11" style="2962" customWidth="1"/>
    <col min="1041" max="1042" width="17.75" style="2962" customWidth="1"/>
    <col min="1043" max="1043" width="14.75" style="2962" customWidth="1"/>
    <col min="1044" max="1044" width="17.125" style="2962" customWidth="1"/>
    <col min="1045" max="1045" width="12.875" style="2962" customWidth="1"/>
    <col min="1046" max="1046" width="20.375" style="2962" customWidth="1"/>
    <col min="1047" max="1047" width="9" style="2962" customWidth="1"/>
    <col min="1048" max="1051" width="10.25" style="2962" customWidth="1"/>
    <col min="1052" max="1052" width="28" style="2962" customWidth="1"/>
    <col min="1053" max="1053" width="9" style="2962" customWidth="1"/>
    <col min="1054" max="1054" width="100.375" style="2962" customWidth="1"/>
    <col min="1055" max="1057" width="12.125" style="2962" customWidth="1"/>
    <col min="1058" max="1059" width="18.25" style="2962" customWidth="1"/>
    <col min="1060" max="1061" width="16.375" style="2962" customWidth="1"/>
    <col min="1062" max="1063" width="25" style="2962" customWidth="1"/>
    <col min="1064" max="1064" width="7.125" style="2962" customWidth="1"/>
    <col min="1065" max="1065" width="18.5" style="2962" customWidth="1"/>
    <col min="1066" max="1066" width="19.25" style="2962" customWidth="1"/>
    <col min="1067" max="1068" width="23" style="2962" customWidth="1"/>
    <col min="1069" max="1069" width="9" style="2962" customWidth="1"/>
    <col min="1070" max="1280" width="8.875" style="2962"/>
    <col min="1281" max="1281" width="48" style="2962" customWidth="1"/>
    <col min="1282" max="1282" width="7.125" style="2962" customWidth="1"/>
    <col min="1283" max="1283" width="13.375" style="2962" customWidth="1"/>
    <col min="1284" max="1284" width="7.125" style="2962" customWidth="1"/>
    <col min="1285" max="1285" width="5.25" style="2962" customWidth="1"/>
    <col min="1286" max="1286" width="48" style="2962" customWidth="1"/>
    <col min="1287" max="1287" width="9" style="2962" customWidth="1"/>
    <col min="1288" max="1288" width="12.25" style="2962" customWidth="1"/>
    <col min="1289" max="1289" width="38.375" style="2962" customWidth="1"/>
    <col min="1290" max="1291" width="15.875" style="2962" customWidth="1"/>
    <col min="1292" max="1292" width="10.5" style="2962" customWidth="1"/>
    <col min="1293" max="1295" width="9" style="2962" customWidth="1"/>
    <col min="1296" max="1296" width="11" style="2962" customWidth="1"/>
    <col min="1297" max="1298" width="17.75" style="2962" customWidth="1"/>
    <col min="1299" max="1299" width="14.75" style="2962" customWidth="1"/>
    <col min="1300" max="1300" width="17.125" style="2962" customWidth="1"/>
    <col min="1301" max="1301" width="12.875" style="2962" customWidth="1"/>
    <col min="1302" max="1302" width="20.375" style="2962" customWidth="1"/>
    <col min="1303" max="1303" width="9" style="2962" customWidth="1"/>
    <col min="1304" max="1307" width="10.25" style="2962" customWidth="1"/>
    <col min="1308" max="1308" width="28" style="2962" customWidth="1"/>
    <col min="1309" max="1309" width="9" style="2962" customWidth="1"/>
    <col min="1310" max="1310" width="100.375" style="2962" customWidth="1"/>
    <col min="1311" max="1313" width="12.125" style="2962" customWidth="1"/>
    <col min="1314" max="1315" width="18.25" style="2962" customWidth="1"/>
    <col min="1316" max="1317" width="16.375" style="2962" customWidth="1"/>
    <col min="1318" max="1319" width="25" style="2962" customWidth="1"/>
    <col min="1320" max="1320" width="7.125" style="2962" customWidth="1"/>
    <col min="1321" max="1321" width="18.5" style="2962" customWidth="1"/>
    <col min="1322" max="1322" width="19.25" style="2962" customWidth="1"/>
    <col min="1323" max="1324" width="23" style="2962" customWidth="1"/>
    <col min="1325" max="1325" width="9" style="2962" customWidth="1"/>
    <col min="1326" max="1536" width="8.875" style="2962"/>
    <col min="1537" max="1537" width="48" style="2962" customWidth="1"/>
    <col min="1538" max="1538" width="7.125" style="2962" customWidth="1"/>
    <col min="1539" max="1539" width="13.375" style="2962" customWidth="1"/>
    <col min="1540" max="1540" width="7.125" style="2962" customWidth="1"/>
    <col min="1541" max="1541" width="5.25" style="2962" customWidth="1"/>
    <col min="1542" max="1542" width="48" style="2962" customWidth="1"/>
    <col min="1543" max="1543" width="9" style="2962" customWidth="1"/>
    <col min="1544" max="1544" width="12.25" style="2962" customWidth="1"/>
    <col min="1545" max="1545" width="38.375" style="2962" customWidth="1"/>
    <col min="1546" max="1547" width="15.875" style="2962" customWidth="1"/>
    <col min="1548" max="1548" width="10.5" style="2962" customWidth="1"/>
    <col min="1549" max="1551" width="9" style="2962" customWidth="1"/>
    <col min="1552" max="1552" width="11" style="2962" customWidth="1"/>
    <col min="1553" max="1554" width="17.75" style="2962" customWidth="1"/>
    <col min="1555" max="1555" width="14.75" style="2962" customWidth="1"/>
    <col min="1556" max="1556" width="17.125" style="2962" customWidth="1"/>
    <col min="1557" max="1557" width="12.875" style="2962" customWidth="1"/>
    <col min="1558" max="1558" width="20.375" style="2962" customWidth="1"/>
    <col min="1559" max="1559" width="9" style="2962" customWidth="1"/>
    <col min="1560" max="1563" width="10.25" style="2962" customWidth="1"/>
    <col min="1564" max="1564" width="28" style="2962" customWidth="1"/>
    <col min="1565" max="1565" width="9" style="2962" customWidth="1"/>
    <col min="1566" max="1566" width="100.375" style="2962" customWidth="1"/>
    <col min="1567" max="1569" width="12.125" style="2962" customWidth="1"/>
    <col min="1570" max="1571" width="18.25" style="2962" customWidth="1"/>
    <col min="1572" max="1573" width="16.375" style="2962" customWidth="1"/>
    <col min="1574" max="1575" width="25" style="2962" customWidth="1"/>
    <col min="1576" max="1576" width="7.125" style="2962" customWidth="1"/>
    <col min="1577" max="1577" width="18.5" style="2962" customWidth="1"/>
    <col min="1578" max="1578" width="19.25" style="2962" customWidth="1"/>
    <col min="1579" max="1580" width="23" style="2962" customWidth="1"/>
    <col min="1581" max="1581" width="9" style="2962" customWidth="1"/>
    <col min="1582" max="1792" width="8.875" style="2962"/>
    <col min="1793" max="1793" width="48" style="2962" customWidth="1"/>
    <col min="1794" max="1794" width="7.125" style="2962" customWidth="1"/>
    <col min="1795" max="1795" width="13.375" style="2962" customWidth="1"/>
    <col min="1796" max="1796" width="7.125" style="2962" customWidth="1"/>
    <col min="1797" max="1797" width="5.25" style="2962" customWidth="1"/>
    <col min="1798" max="1798" width="48" style="2962" customWidth="1"/>
    <col min="1799" max="1799" width="9" style="2962" customWidth="1"/>
    <col min="1800" max="1800" width="12.25" style="2962" customWidth="1"/>
    <col min="1801" max="1801" width="38.375" style="2962" customWidth="1"/>
    <col min="1802" max="1803" width="15.875" style="2962" customWidth="1"/>
    <col min="1804" max="1804" width="10.5" style="2962" customWidth="1"/>
    <col min="1805" max="1807" width="9" style="2962" customWidth="1"/>
    <col min="1808" max="1808" width="11" style="2962" customWidth="1"/>
    <col min="1809" max="1810" width="17.75" style="2962" customWidth="1"/>
    <col min="1811" max="1811" width="14.75" style="2962" customWidth="1"/>
    <col min="1812" max="1812" width="17.125" style="2962" customWidth="1"/>
    <col min="1813" max="1813" width="12.875" style="2962" customWidth="1"/>
    <col min="1814" max="1814" width="20.375" style="2962" customWidth="1"/>
    <col min="1815" max="1815" width="9" style="2962" customWidth="1"/>
    <col min="1816" max="1819" width="10.25" style="2962" customWidth="1"/>
    <col min="1820" max="1820" width="28" style="2962" customWidth="1"/>
    <col min="1821" max="1821" width="9" style="2962" customWidth="1"/>
    <col min="1822" max="1822" width="100.375" style="2962" customWidth="1"/>
    <col min="1823" max="1825" width="12.125" style="2962" customWidth="1"/>
    <col min="1826" max="1827" width="18.25" style="2962" customWidth="1"/>
    <col min="1828" max="1829" width="16.375" style="2962" customWidth="1"/>
    <col min="1830" max="1831" width="25" style="2962" customWidth="1"/>
    <col min="1832" max="1832" width="7.125" style="2962" customWidth="1"/>
    <col min="1833" max="1833" width="18.5" style="2962" customWidth="1"/>
    <col min="1834" max="1834" width="19.25" style="2962" customWidth="1"/>
    <col min="1835" max="1836" width="23" style="2962" customWidth="1"/>
    <col min="1837" max="1837" width="9" style="2962" customWidth="1"/>
    <col min="1838" max="2048" width="8.875" style="2962"/>
    <col min="2049" max="2049" width="48" style="2962" customWidth="1"/>
    <col min="2050" max="2050" width="7.125" style="2962" customWidth="1"/>
    <col min="2051" max="2051" width="13.375" style="2962" customWidth="1"/>
    <col min="2052" max="2052" width="7.125" style="2962" customWidth="1"/>
    <col min="2053" max="2053" width="5.25" style="2962" customWidth="1"/>
    <col min="2054" max="2054" width="48" style="2962" customWidth="1"/>
    <col min="2055" max="2055" width="9" style="2962" customWidth="1"/>
    <col min="2056" max="2056" width="12.25" style="2962" customWidth="1"/>
    <col min="2057" max="2057" width="38.375" style="2962" customWidth="1"/>
    <col min="2058" max="2059" width="15.875" style="2962" customWidth="1"/>
    <col min="2060" max="2060" width="10.5" style="2962" customWidth="1"/>
    <col min="2061" max="2063" width="9" style="2962" customWidth="1"/>
    <col min="2064" max="2064" width="11" style="2962" customWidth="1"/>
    <col min="2065" max="2066" width="17.75" style="2962" customWidth="1"/>
    <col min="2067" max="2067" width="14.75" style="2962" customWidth="1"/>
    <col min="2068" max="2068" width="17.125" style="2962" customWidth="1"/>
    <col min="2069" max="2069" width="12.875" style="2962" customWidth="1"/>
    <col min="2070" max="2070" width="20.375" style="2962" customWidth="1"/>
    <col min="2071" max="2071" width="9" style="2962" customWidth="1"/>
    <col min="2072" max="2075" width="10.25" style="2962" customWidth="1"/>
    <col min="2076" max="2076" width="28" style="2962" customWidth="1"/>
    <col min="2077" max="2077" width="9" style="2962" customWidth="1"/>
    <col min="2078" max="2078" width="100.375" style="2962" customWidth="1"/>
    <col min="2079" max="2081" width="12.125" style="2962" customWidth="1"/>
    <col min="2082" max="2083" width="18.25" style="2962" customWidth="1"/>
    <col min="2084" max="2085" width="16.375" style="2962" customWidth="1"/>
    <col min="2086" max="2087" width="25" style="2962" customWidth="1"/>
    <col min="2088" max="2088" width="7.125" style="2962" customWidth="1"/>
    <col min="2089" max="2089" width="18.5" style="2962" customWidth="1"/>
    <col min="2090" max="2090" width="19.25" style="2962" customWidth="1"/>
    <col min="2091" max="2092" width="23" style="2962" customWidth="1"/>
    <col min="2093" max="2093" width="9" style="2962" customWidth="1"/>
    <col min="2094" max="2304" width="8.875" style="2962"/>
    <col min="2305" max="2305" width="48" style="2962" customWidth="1"/>
    <col min="2306" max="2306" width="7.125" style="2962" customWidth="1"/>
    <col min="2307" max="2307" width="13.375" style="2962" customWidth="1"/>
    <col min="2308" max="2308" width="7.125" style="2962" customWidth="1"/>
    <col min="2309" max="2309" width="5.25" style="2962" customWidth="1"/>
    <col min="2310" max="2310" width="48" style="2962" customWidth="1"/>
    <col min="2311" max="2311" width="9" style="2962" customWidth="1"/>
    <col min="2312" max="2312" width="12.25" style="2962" customWidth="1"/>
    <col min="2313" max="2313" width="38.375" style="2962" customWidth="1"/>
    <col min="2314" max="2315" width="15.875" style="2962" customWidth="1"/>
    <col min="2316" max="2316" width="10.5" style="2962" customWidth="1"/>
    <col min="2317" max="2319" width="9" style="2962" customWidth="1"/>
    <col min="2320" max="2320" width="11" style="2962" customWidth="1"/>
    <col min="2321" max="2322" width="17.75" style="2962" customWidth="1"/>
    <col min="2323" max="2323" width="14.75" style="2962" customWidth="1"/>
    <col min="2324" max="2324" width="17.125" style="2962" customWidth="1"/>
    <col min="2325" max="2325" width="12.875" style="2962" customWidth="1"/>
    <col min="2326" max="2326" width="20.375" style="2962" customWidth="1"/>
    <col min="2327" max="2327" width="9" style="2962" customWidth="1"/>
    <col min="2328" max="2331" width="10.25" style="2962" customWidth="1"/>
    <col min="2332" max="2332" width="28" style="2962" customWidth="1"/>
    <col min="2333" max="2333" width="9" style="2962" customWidth="1"/>
    <col min="2334" max="2334" width="100.375" style="2962" customWidth="1"/>
    <col min="2335" max="2337" width="12.125" style="2962" customWidth="1"/>
    <col min="2338" max="2339" width="18.25" style="2962" customWidth="1"/>
    <col min="2340" max="2341" width="16.375" style="2962" customWidth="1"/>
    <col min="2342" max="2343" width="25" style="2962" customWidth="1"/>
    <col min="2344" max="2344" width="7.125" style="2962" customWidth="1"/>
    <col min="2345" max="2345" width="18.5" style="2962" customWidth="1"/>
    <col min="2346" max="2346" width="19.25" style="2962" customWidth="1"/>
    <col min="2347" max="2348" width="23" style="2962" customWidth="1"/>
    <col min="2349" max="2349" width="9" style="2962" customWidth="1"/>
    <col min="2350" max="2560" width="8.875" style="2962"/>
    <col min="2561" max="2561" width="48" style="2962" customWidth="1"/>
    <col min="2562" max="2562" width="7.125" style="2962" customWidth="1"/>
    <col min="2563" max="2563" width="13.375" style="2962" customWidth="1"/>
    <col min="2564" max="2564" width="7.125" style="2962" customWidth="1"/>
    <col min="2565" max="2565" width="5.25" style="2962" customWidth="1"/>
    <col min="2566" max="2566" width="48" style="2962" customWidth="1"/>
    <col min="2567" max="2567" width="9" style="2962" customWidth="1"/>
    <col min="2568" max="2568" width="12.25" style="2962" customWidth="1"/>
    <col min="2569" max="2569" width="38.375" style="2962" customWidth="1"/>
    <col min="2570" max="2571" width="15.875" style="2962" customWidth="1"/>
    <col min="2572" max="2572" width="10.5" style="2962" customWidth="1"/>
    <col min="2573" max="2575" width="9" style="2962" customWidth="1"/>
    <col min="2576" max="2576" width="11" style="2962" customWidth="1"/>
    <col min="2577" max="2578" width="17.75" style="2962" customWidth="1"/>
    <col min="2579" max="2579" width="14.75" style="2962" customWidth="1"/>
    <col min="2580" max="2580" width="17.125" style="2962" customWidth="1"/>
    <col min="2581" max="2581" width="12.875" style="2962" customWidth="1"/>
    <col min="2582" max="2582" width="20.375" style="2962" customWidth="1"/>
    <col min="2583" max="2583" width="9" style="2962" customWidth="1"/>
    <col min="2584" max="2587" width="10.25" style="2962" customWidth="1"/>
    <col min="2588" max="2588" width="28" style="2962" customWidth="1"/>
    <col min="2589" max="2589" width="9" style="2962" customWidth="1"/>
    <col min="2590" max="2590" width="100.375" style="2962" customWidth="1"/>
    <col min="2591" max="2593" width="12.125" style="2962" customWidth="1"/>
    <col min="2594" max="2595" width="18.25" style="2962" customWidth="1"/>
    <col min="2596" max="2597" width="16.375" style="2962" customWidth="1"/>
    <col min="2598" max="2599" width="25" style="2962" customWidth="1"/>
    <col min="2600" max="2600" width="7.125" style="2962" customWidth="1"/>
    <col min="2601" max="2601" width="18.5" style="2962" customWidth="1"/>
    <col min="2602" max="2602" width="19.25" style="2962" customWidth="1"/>
    <col min="2603" max="2604" width="23" style="2962" customWidth="1"/>
    <col min="2605" max="2605" width="9" style="2962" customWidth="1"/>
    <col min="2606" max="2816" width="8.875" style="2962"/>
    <col min="2817" max="2817" width="48" style="2962" customWidth="1"/>
    <col min="2818" max="2818" width="7.125" style="2962" customWidth="1"/>
    <col min="2819" max="2819" width="13.375" style="2962" customWidth="1"/>
    <col min="2820" max="2820" width="7.125" style="2962" customWidth="1"/>
    <col min="2821" max="2821" width="5.25" style="2962" customWidth="1"/>
    <col min="2822" max="2822" width="48" style="2962" customWidth="1"/>
    <col min="2823" max="2823" width="9" style="2962" customWidth="1"/>
    <col min="2824" max="2824" width="12.25" style="2962" customWidth="1"/>
    <col min="2825" max="2825" width="38.375" style="2962" customWidth="1"/>
    <col min="2826" max="2827" width="15.875" style="2962" customWidth="1"/>
    <col min="2828" max="2828" width="10.5" style="2962" customWidth="1"/>
    <col min="2829" max="2831" width="9" style="2962" customWidth="1"/>
    <col min="2832" max="2832" width="11" style="2962" customWidth="1"/>
    <col min="2833" max="2834" width="17.75" style="2962" customWidth="1"/>
    <col min="2835" max="2835" width="14.75" style="2962" customWidth="1"/>
    <col min="2836" max="2836" width="17.125" style="2962" customWidth="1"/>
    <col min="2837" max="2837" width="12.875" style="2962" customWidth="1"/>
    <col min="2838" max="2838" width="20.375" style="2962" customWidth="1"/>
    <col min="2839" max="2839" width="9" style="2962" customWidth="1"/>
    <col min="2840" max="2843" width="10.25" style="2962" customWidth="1"/>
    <col min="2844" max="2844" width="28" style="2962" customWidth="1"/>
    <col min="2845" max="2845" width="9" style="2962" customWidth="1"/>
    <col min="2846" max="2846" width="100.375" style="2962" customWidth="1"/>
    <col min="2847" max="2849" width="12.125" style="2962" customWidth="1"/>
    <col min="2850" max="2851" width="18.25" style="2962" customWidth="1"/>
    <col min="2852" max="2853" width="16.375" style="2962" customWidth="1"/>
    <col min="2854" max="2855" width="25" style="2962" customWidth="1"/>
    <col min="2856" max="2856" width="7.125" style="2962" customWidth="1"/>
    <col min="2857" max="2857" width="18.5" style="2962" customWidth="1"/>
    <col min="2858" max="2858" width="19.25" style="2962" customWidth="1"/>
    <col min="2859" max="2860" width="23" style="2962" customWidth="1"/>
    <col min="2861" max="2861" width="9" style="2962" customWidth="1"/>
    <col min="2862" max="3072" width="8.875" style="2962"/>
    <col min="3073" max="3073" width="48" style="2962" customWidth="1"/>
    <col min="3074" max="3074" width="7.125" style="2962" customWidth="1"/>
    <col min="3075" max="3075" width="13.375" style="2962" customWidth="1"/>
    <col min="3076" max="3076" width="7.125" style="2962" customWidth="1"/>
    <col min="3077" max="3077" width="5.25" style="2962" customWidth="1"/>
    <col min="3078" max="3078" width="48" style="2962" customWidth="1"/>
    <col min="3079" max="3079" width="9" style="2962" customWidth="1"/>
    <col min="3080" max="3080" width="12.25" style="2962" customWidth="1"/>
    <col min="3081" max="3081" width="38.375" style="2962" customWidth="1"/>
    <col min="3082" max="3083" width="15.875" style="2962" customWidth="1"/>
    <col min="3084" max="3084" width="10.5" style="2962" customWidth="1"/>
    <col min="3085" max="3087" width="9" style="2962" customWidth="1"/>
    <col min="3088" max="3088" width="11" style="2962" customWidth="1"/>
    <col min="3089" max="3090" width="17.75" style="2962" customWidth="1"/>
    <col min="3091" max="3091" width="14.75" style="2962" customWidth="1"/>
    <col min="3092" max="3092" width="17.125" style="2962" customWidth="1"/>
    <col min="3093" max="3093" width="12.875" style="2962" customWidth="1"/>
    <col min="3094" max="3094" width="20.375" style="2962" customWidth="1"/>
    <col min="3095" max="3095" width="9" style="2962" customWidth="1"/>
    <col min="3096" max="3099" width="10.25" style="2962" customWidth="1"/>
    <col min="3100" max="3100" width="28" style="2962" customWidth="1"/>
    <col min="3101" max="3101" width="9" style="2962" customWidth="1"/>
    <col min="3102" max="3102" width="100.375" style="2962" customWidth="1"/>
    <col min="3103" max="3105" width="12.125" style="2962" customWidth="1"/>
    <col min="3106" max="3107" width="18.25" style="2962" customWidth="1"/>
    <col min="3108" max="3109" width="16.375" style="2962" customWidth="1"/>
    <col min="3110" max="3111" width="25" style="2962" customWidth="1"/>
    <col min="3112" max="3112" width="7.125" style="2962" customWidth="1"/>
    <col min="3113" max="3113" width="18.5" style="2962" customWidth="1"/>
    <col min="3114" max="3114" width="19.25" style="2962" customWidth="1"/>
    <col min="3115" max="3116" width="23" style="2962" customWidth="1"/>
    <col min="3117" max="3117" width="9" style="2962" customWidth="1"/>
    <col min="3118" max="3328" width="8.875" style="2962"/>
    <col min="3329" max="3329" width="48" style="2962" customWidth="1"/>
    <col min="3330" max="3330" width="7.125" style="2962" customWidth="1"/>
    <col min="3331" max="3331" width="13.375" style="2962" customWidth="1"/>
    <col min="3332" max="3332" width="7.125" style="2962" customWidth="1"/>
    <col min="3333" max="3333" width="5.25" style="2962" customWidth="1"/>
    <col min="3334" max="3334" width="48" style="2962" customWidth="1"/>
    <col min="3335" max="3335" width="9" style="2962" customWidth="1"/>
    <col min="3336" max="3336" width="12.25" style="2962" customWidth="1"/>
    <col min="3337" max="3337" width="38.375" style="2962" customWidth="1"/>
    <col min="3338" max="3339" width="15.875" style="2962" customWidth="1"/>
    <col min="3340" max="3340" width="10.5" style="2962" customWidth="1"/>
    <col min="3341" max="3343" width="9" style="2962" customWidth="1"/>
    <col min="3344" max="3344" width="11" style="2962" customWidth="1"/>
    <col min="3345" max="3346" width="17.75" style="2962" customWidth="1"/>
    <col min="3347" max="3347" width="14.75" style="2962" customWidth="1"/>
    <col min="3348" max="3348" width="17.125" style="2962" customWidth="1"/>
    <col min="3349" max="3349" width="12.875" style="2962" customWidth="1"/>
    <col min="3350" max="3350" width="20.375" style="2962" customWidth="1"/>
    <col min="3351" max="3351" width="9" style="2962" customWidth="1"/>
    <col min="3352" max="3355" width="10.25" style="2962" customWidth="1"/>
    <col min="3356" max="3356" width="28" style="2962" customWidth="1"/>
    <col min="3357" max="3357" width="9" style="2962" customWidth="1"/>
    <col min="3358" max="3358" width="100.375" style="2962" customWidth="1"/>
    <col min="3359" max="3361" width="12.125" style="2962" customWidth="1"/>
    <col min="3362" max="3363" width="18.25" style="2962" customWidth="1"/>
    <col min="3364" max="3365" width="16.375" style="2962" customWidth="1"/>
    <col min="3366" max="3367" width="25" style="2962" customWidth="1"/>
    <col min="3368" max="3368" width="7.125" style="2962" customWidth="1"/>
    <col min="3369" max="3369" width="18.5" style="2962" customWidth="1"/>
    <col min="3370" max="3370" width="19.25" style="2962" customWidth="1"/>
    <col min="3371" max="3372" width="23" style="2962" customWidth="1"/>
    <col min="3373" max="3373" width="9" style="2962" customWidth="1"/>
    <col min="3374" max="3584" width="8.875" style="2962"/>
    <col min="3585" max="3585" width="48" style="2962" customWidth="1"/>
    <col min="3586" max="3586" width="7.125" style="2962" customWidth="1"/>
    <col min="3587" max="3587" width="13.375" style="2962" customWidth="1"/>
    <col min="3588" max="3588" width="7.125" style="2962" customWidth="1"/>
    <col min="3589" max="3589" width="5.25" style="2962" customWidth="1"/>
    <col min="3590" max="3590" width="48" style="2962" customWidth="1"/>
    <col min="3591" max="3591" width="9" style="2962" customWidth="1"/>
    <col min="3592" max="3592" width="12.25" style="2962" customWidth="1"/>
    <col min="3593" max="3593" width="38.375" style="2962" customWidth="1"/>
    <col min="3594" max="3595" width="15.875" style="2962" customWidth="1"/>
    <col min="3596" max="3596" width="10.5" style="2962" customWidth="1"/>
    <col min="3597" max="3599" width="9" style="2962" customWidth="1"/>
    <col min="3600" max="3600" width="11" style="2962" customWidth="1"/>
    <col min="3601" max="3602" width="17.75" style="2962" customWidth="1"/>
    <col min="3603" max="3603" width="14.75" style="2962" customWidth="1"/>
    <col min="3604" max="3604" width="17.125" style="2962" customWidth="1"/>
    <col min="3605" max="3605" width="12.875" style="2962" customWidth="1"/>
    <col min="3606" max="3606" width="20.375" style="2962" customWidth="1"/>
    <col min="3607" max="3607" width="9" style="2962" customWidth="1"/>
    <col min="3608" max="3611" width="10.25" style="2962" customWidth="1"/>
    <col min="3612" max="3612" width="28" style="2962" customWidth="1"/>
    <col min="3613" max="3613" width="9" style="2962" customWidth="1"/>
    <col min="3614" max="3614" width="100.375" style="2962" customWidth="1"/>
    <col min="3615" max="3617" width="12.125" style="2962" customWidth="1"/>
    <col min="3618" max="3619" width="18.25" style="2962" customWidth="1"/>
    <col min="3620" max="3621" width="16.375" style="2962" customWidth="1"/>
    <col min="3622" max="3623" width="25" style="2962" customWidth="1"/>
    <col min="3624" max="3624" width="7.125" style="2962" customWidth="1"/>
    <col min="3625" max="3625" width="18.5" style="2962" customWidth="1"/>
    <col min="3626" max="3626" width="19.25" style="2962" customWidth="1"/>
    <col min="3627" max="3628" width="23" style="2962" customWidth="1"/>
    <col min="3629" max="3629" width="9" style="2962" customWidth="1"/>
    <col min="3630" max="3840" width="8.875" style="2962"/>
    <col min="3841" max="3841" width="48" style="2962" customWidth="1"/>
    <col min="3842" max="3842" width="7.125" style="2962" customWidth="1"/>
    <col min="3843" max="3843" width="13.375" style="2962" customWidth="1"/>
    <col min="3844" max="3844" width="7.125" style="2962" customWidth="1"/>
    <col min="3845" max="3845" width="5.25" style="2962" customWidth="1"/>
    <col min="3846" max="3846" width="48" style="2962" customWidth="1"/>
    <col min="3847" max="3847" width="9" style="2962" customWidth="1"/>
    <col min="3848" max="3848" width="12.25" style="2962" customWidth="1"/>
    <col min="3849" max="3849" width="38.375" style="2962" customWidth="1"/>
    <col min="3850" max="3851" width="15.875" style="2962" customWidth="1"/>
    <col min="3852" max="3852" width="10.5" style="2962" customWidth="1"/>
    <col min="3853" max="3855" width="9" style="2962" customWidth="1"/>
    <col min="3856" max="3856" width="11" style="2962" customWidth="1"/>
    <col min="3857" max="3858" width="17.75" style="2962" customWidth="1"/>
    <col min="3859" max="3859" width="14.75" style="2962" customWidth="1"/>
    <col min="3860" max="3860" width="17.125" style="2962" customWidth="1"/>
    <col min="3861" max="3861" width="12.875" style="2962" customWidth="1"/>
    <col min="3862" max="3862" width="20.375" style="2962" customWidth="1"/>
    <col min="3863" max="3863" width="9" style="2962" customWidth="1"/>
    <col min="3864" max="3867" width="10.25" style="2962" customWidth="1"/>
    <col min="3868" max="3868" width="28" style="2962" customWidth="1"/>
    <col min="3869" max="3869" width="9" style="2962" customWidth="1"/>
    <col min="3870" max="3870" width="100.375" style="2962" customWidth="1"/>
    <col min="3871" max="3873" width="12.125" style="2962" customWidth="1"/>
    <col min="3874" max="3875" width="18.25" style="2962" customWidth="1"/>
    <col min="3876" max="3877" width="16.375" style="2962" customWidth="1"/>
    <col min="3878" max="3879" width="25" style="2962" customWidth="1"/>
    <col min="3880" max="3880" width="7.125" style="2962" customWidth="1"/>
    <col min="3881" max="3881" width="18.5" style="2962" customWidth="1"/>
    <col min="3882" max="3882" width="19.25" style="2962" customWidth="1"/>
    <col min="3883" max="3884" width="23" style="2962" customWidth="1"/>
    <col min="3885" max="3885" width="9" style="2962" customWidth="1"/>
    <col min="3886" max="4096" width="8.875" style="2962"/>
    <col min="4097" max="4097" width="48" style="2962" customWidth="1"/>
    <col min="4098" max="4098" width="7.125" style="2962" customWidth="1"/>
    <col min="4099" max="4099" width="13.375" style="2962" customWidth="1"/>
    <col min="4100" max="4100" width="7.125" style="2962" customWidth="1"/>
    <col min="4101" max="4101" width="5.25" style="2962" customWidth="1"/>
    <col min="4102" max="4102" width="48" style="2962" customWidth="1"/>
    <col min="4103" max="4103" width="9" style="2962" customWidth="1"/>
    <col min="4104" max="4104" width="12.25" style="2962" customWidth="1"/>
    <col min="4105" max="4105" width="38.375" style="2962" customWidth="1"/>
    <col min="4106" max="4107" width="15.875" style="2962" customWidth="1"/>
    <col min="4108" max="4108" width="10.5" style="2962" customWidth="1"/>
    <col min="4109" max="4111" width="9" style="2962" customWidth="1"/>
    <col min="4112" max="4112" width="11" style="2962" customWidth="1"/>
    <col min="4113" max="4114" width="17.75" style="2962" customWidth="1"/>
    <col min="4115" max="4115" width="14.75" style="2962" customWidth="1"/>
    <col min="4116" max="4116" width="17.125" style="2962" customWidth="1"/>
    <col min="4117" max="4117" width="12.875" style="2962" customWidth="1"/>
    <col min="4118" max="4118" width="20.375" style="2962" customWidth="1"/>
    <col min="4119" max="4119" width="9" style="2962" customWidth="1"/>
    <col min="4120" max="4123" width="10.25" style="2962" customWidth="1"/>
    <col min="4124" max="4124" width="28" style="2962" customWidth="1"/>
    <col min="4125" max="4125" width="9" style="2962" customWidth="1"/>
    <col min="4126" max="4126" width="100.375" style="2962" customWidth="1"/>
    <col min="4127" max="4129" width="12.125" style="2962" customWidth="1"/>
    <col min="4130" max="4131" width="18.25" style="2962" customWidth="1"/>
    <col min="4132" max="4133" width="16.375" style="2962" customWidth="1"/>
    <col min="4134" max="4135" width="25" style="2962" customWidth="1"/>
    <col min="4136" max="4136" width="7.125" style="2962" customWidth="1"/>
    <col min="4137" max="4137" width="18.5" style="2962" customWidth="1"/>
    <col min="4138" max="4138" width="19.25" style="2962" customWidth="1"/>
    <col min="4139" max="4140" width="23" style="2962" customWidth="1"/>
    <col min="4141" max="4141" width="9" style="2962" customWidth="1"/>
    <col min="4142" max="4352" width="8.875" style="2962"/>
    <col min="4353" max="4353" width="48" style="2962" customWidth="1"/>
    <col min="4354" max="4354" width="7.125" style="2962" customWidth="1"/>
    <col min="4355" max="4355" width="13.375" style="2962" customWidth="1"/>
    <col min="4356" max="4356" width="7.125" style="2962" customWidth="1"/>
    <col min="4357" max="4357" width="5.25" style="2962" customWidth="1"/>
    <col min="4358" max="4358" width="48" style="2962" customWidth="1"/>
    <col min="4359" max="4359" width="9" style="2962" customWidth="1"/>
    <col min="4360" max="4360" width="12.25" style="2962" customWidth="1"/>
    <col min="4361" max="4361" width="38.375" style="2962" customWidth="1"/>
    <col min="4362" max="4363" width="15.875" style="2962" customWidth="1"/>
    <col min="4364" max="4364" width="10.5" style="2962" customWidth="1"/>
    <col min="4365" max="4367" width="9" style="2962" customWidth="1"/>
    <col min="4368" max="4368" width="11" style="2962" customWidth="1"/>
    <col min="4369" max="4370" width="17.75" style="2962" customWidth="1"/>
    <col min="4371" max="4371" width="14.75" style="2962" customWidth="1"/>
    <col min="4372" max="4372" width="17.125" style="2962" customWidth="1"/>
    <col min="4373" max="4373" width="12.875" style="2962" customWidth="1"/>
    <col min="4374" max="4374" width="20.375" style="2962" customWidth="1"/>
    <col min="4375" max="4375" width="9" style="2962" customWidth="1"/>
    <col min="4376" max="4379" width="10.25" style="2962" customWidth="1"/>
    <col min="4380" max="4380" width="28" style="2962" customWidth="1"/>
    <col min="4381" max="4381" width="9" style="2962" customWidth="1"/>
    <col min="4382" max="4382" width="100.375" style="2962" customWidth="1"/>
    <col min="4383" max="4385" width="12.125" style="2962" customWidth="1"/>
    <col min="4386" max="4387" width="18.25" style="2962" customWidth="1"/>
    <col min="4388" max="4389" width="16.375" style="2962" customWidth="1"/>
    <col min="4390" max="4391" width="25" style="2962" customWidth="1"/>
    <col min="4392" max="4392" width="7.125" style="2962" customWidth="1"/>
    <col min="4393" max="4393" width="18.5" style="2962" customWidth="1"/>
    <col min="4394" max="4394" width="19.25" style="2962" customWidth="1"/>
    <col min="4395" max="4396" width="23" style="2962" customWidth="1"/>
    <col min="4397" max="4397" width="9" style="2962" customWidth="1"/>
    <col min="4398" max="4608" width="8.875" style="2962"/>
    <col min="4609" max="4609" width="48" style="2962" customWidth="1"/>
    <col min="4610" max="4610" width="7.125" style="2962" customWidth="1"/>
    <col min="4611" max="4611" width="13.375" style="2962" customWidth="1"/>
    <col min="4612" max="4612" width="7.125" style="2962" customWidth="1"/>
    <col min="4613" max="4613" width="5.25" style="2962" customWidth="1"/>
    <col min="4614" max="4614" width="48" style="2962" customWidth="1"/>
    <col min="4615" max="4615" width="9" style="2962" customWidth="1"/>
    <col min="4616" max="4616" width="12.25" style="2962" customWidth="1"/>
    <col min="4617" max="4617" width="38.375" style="2962" customWidth="1"/>
    <col min="4618" max="4619" width="15.875" style="2962" customWidth="1"/>
    <col min="4620" max="4620" width="10.5" style="2962" customWidth="1"/>
    <col min="4621" max="4623" width="9" style="2962" customWidth="1"/>
    <col min="4624" max="4624" width="11" style="2962" customWidth="1"/>
    <col min="4625" max="4626" width="17.75" style="2962" customWidth="1"/>
    <col min="4627" max="4627" width="14.75" style="2962" customWidth="1"/>
    <col min="4628" max="4628" width="17.125" style="2962" customWidth="1"/>
    <col min="4629" max="4629" width="12.875" style="2962" customWidth="1"/>
    <col min="4630" max="4630" width="20.375" style="2962" customWidth="1"/>
    <col min="4631" max="4631" width="9" style="2962" customWidth="1"/>
    <col min="4632" max="4635" width="10.25" style="2962" customWidth="1"/>
    <col min="4636" max="4636" width="28" style="2962" customWidth="1"/>
    <col min="4637" max="4637" width="9" style="2962" customWidth="1"/>
    <col min="4638" max="4638" width="100.375" style="2962" customWidth="1"/>
    <col min="4639" max="4641" width="12.125" style="2962" customWidth="1"/>
    <col min="4642" max="4643" width="18.25" style="2962" customWidth="1"/>
    <col min="4644" max="4645" width="16.375" style="2962" customWidth="1"/>
    <col min="4646" max="4647" width="25" style="2962" customWidth="1"/>
    <col min="4648" max="4648" width="7.125" style="2962" customWidth="1"/>
    <col min="4649" max="4649" width="18.5" style="2962" customWidth="1"/>
    <col min="4650" max="4650" width="19.25" style="2962" customWidth="1"/>
    <col min="4651" max="4652" width="23" style="2962" customWidth="1"/>
    <col min="4653" max="4653" width="9" style="2962" customWidth="1"/>
    <col min="4654" max="4864" width="8.875" style="2962"/>
    <col min="4865" max="4865" width="48" style="2962" customWidth="1"/>
    <col min="4866" max="4866" width="7.125" style="2962" customWidth="1"/>
    <col min="4867" max="4867" width="13.375" style="2962" customWidth="1"/>
    <col min="4868" max="4868" width="7.125" style="2962" customWidth="1"/>
    <col min="4869" max="4869" width="5.25" style="2962" customWidth="1"/>
    <col min="4870" max="4870" width="48" style="2962" customWidth="1"/>
    <col min="4871" max="4871" width="9" style="2962" customWidth="1"/>
    <col min="4872" max="4872" width="12.25" style="2962" customWidth="1"/>
    <col min="4873" max="4873" width="38.375" style="2962" customWidth="1"/>
    <col min="4874" max="4875" width="15.875" style="2962" customWidth="1"/>
    <col min="4876" max="4876" width="10.5" style="2962" customWidth="1"/>
    <col min="4877" max="4879" width="9" style="2962" customWidth="1"/>
    <col min="4880" max="4880" width="11" style="2962" customWidth="1"/>
    <col min="4881" max="4882" width="17.75" style="2962" customWidth="1"/>
    <col min="4883" max="4883" width="14.75" style="2962" customWidth="1"/>
    <col min="4884" max="4884" width="17.125" style="2962" customWidth="1"/>
    <col min="4885" max="4885" width="12.875" style="2962" customWidth="1"/>
    <col min="4886" max="4886" width="20.375" style="2962" customWidth="1"/>
    <col min="4887" max="4887" width="9" style="2962" customWidth="1"/>
    <col min="4888" max="4891" width="10.25" style="2962" customWidth="1"/>
    <col min="4892" max="4892" width="28" style="2962" customWidth="1"/>
    <col min="4893" max="4893" width="9" style="2962" customWidth="1"/>
    <col min="4894" max="4894" width="100.375" style="2962" customWidth="1"/>
    <col min="4895" max="4897" width="12.125" style="2962" customWidth="1"/>
    <col min="4898" max="4899" width="18.25" style="2962" customWidth="1"/>
    <col min="4900" max="4901" width="16.375" style="2962" customWidth="1"/>
    <col min="4902" max="4903" width="25" style="2962" customWidth="1"/>
    <col min="4904" max="4904" width="7.125" style="2962" customWidth="1"/>
    <col min="4905" max="4905" width="18.5" style="2962" customWidth="1"/>
    <col min="4906" max="4906" width="19.25" style="2962" customWidth="1"/>
    <col min="4907" max="4908" width="23" style="2962" customWidth="1"/>
    <col min="4909" max="4909" width="9" style="2962" customWidth="1"/>
    <col min="4910" max="5120" width="8.875" style="2962"/>
    <col min="5121" max="5121" width="48" style="2962" customWidth="1"/>
    <col min="5122" max="5122" width="7.125" style="2962" customWidth="1"/>
    <col min="5123" max="5123" width="13.375" style="2962" customWidth="1"/>
    <col min="5124" max="5124" width="7.125" style="2962" customWidth="1"/>
    <col min="5125" max="5125" width="5.25" style="2962" customWidth="1"/>
    <col min="5126" max="5126" width="48" style="2962" customWidth="1"/>
    <col min="5127" max="5127" width="9" style="2962" customWidth="1"/>
    <col min="5128" max="5128" width="12.25" style="2962" customWidth="1"/>
    <col min="5129" max="5129" width="38.375" style="2962" customWidth="1"/>
    <col min="5130" max="5131" width="15.875" style="2962" customWidth="1"/>
    <col min="5132" max="5132" width="10.5" style="2962" customWidth="1"/>
    <col min="5133" max="5135" width="9" style="2962" customWidth="1"/>
    <col min="5136" max="5136" width="11" style="2962" customWidth="1"/>
    <col min="5137" max="5138" width="17.75" style="2962" customWidth="1"/>
    <col min="5139" max="5139" width="14.75" style="2962" customWidth="1"/>
    <col min="5140" max="5140" width="17.125" style="2962" customWidth="1"/>
    <col min="5141" max="5141" width="12.875" style="2962" customWidth="1"/>
    <col min="5142" max="5142" width="20.375" style="2962" customWidth="1"/>
    <col min="5143" max="5143" width="9" style="2962" customWidth="1"/>
    <col min="5144" max="5147" width="10.25" style="2962" customWidth="1"/>
    <col min="5148" max="5148" width="28" style="2962" customWidth="1"/>
    <col min="5149" max="5149" width="9" style="2962" customWidth="1"/>
    <col min="5150" max="5150" width="100.375" style="2962" customWidth="1"/>
    <col min="5151" max="5153" width="12.125" style="2962" customWidth="1"/>
    <col min="5154" max="5155" width="18.25" style="2962" customWidth="1"/>
    <col min="5156" max="5157" width="16.375" style="2962" customWidth="1"/>
    <col min="5158" max="5159" width="25" style="2962" customWidth="1"/>
    <col min="5160" max="5160" width="7.125" style="2962" customWidth="1"/>
    <col min="5161" max="5161" width="18.5" style="2962" customWidth="1"/>
    <col min="5162" max="5162" width="19.25" style="2962" customWidth="1"/>
    <col min="5163" max="5164" width="23" style="2962" customWidth="1"/>
    <col min="5165" max="5165" width="9" style="2962" customWidth="1"/>
    <col min="5166" max="5376" width="8.875" style="2962"/>
    <col min="5377" max="5377" width="48" style="2962" customWidth="1"/>
    <col min="5378" max="5378" width="7.125" style="2962" customWidth="1"/>
    <col min="5379" max="5379" width="13.375" style="2962" customWidth="1"/>
    <col min="5380" max="5380" width="7.125" style="2962" customWidth="1"/>
    <col min="5381" max="5381" width="5.25" style="2962" customWidth="1"/>
    <col min="5382" max="5382" width="48" style="2962" customWidth="1"/>
    <col min="5383" max="5383" width="9" style="2962" customWidth="1"/>
    <col min="5384" max="5384" width="12.25" style="2962" customWidth="1"/>
    <col min="5385" max="5385" width="38.375" style="2962" customWidth="1"/>
    <col min="5386" max="5387" width="15.875" style="2962" customWidth="1"/>
    <col min="5388" max="5388" width="10.5" style="2962" customWidth="1"/>
    <col min="5389" max="5391" width="9" style="2962" customWidth="1"/>
    <col min="5392" max="5392" width="11" style="2962" customWidth="1"/>
    <col min="5393" max="5394" width="17.75" style="2962" customWidth="1"/>
    <col min="5395" max="5395" width="14.75" style="2962" customWidth="1"/>
    <col min="5396" max="5396" width="17.125" style="2962" customWidth="1"/>
    <col min="5397" max="5397" width="12.875" style="2962" customWidth="1"/>
    <col min="5398" max="5398" width="20.375" style="2962" customWidth="1"/>
    <col min="5399" max="5399" width="9" style="2962" customWidth="1"/>
    <col min="5400" max="5403" width="10.25" style="2962" customWidth="1"/>
    <col min="5404" max="5404" width="28" style="2962" customWidth="1"/>
    <col min="5405" max="5405" width="9" style="2962" customWidth="1"/>
    <col min="5406" max="5406" width="100.375" style="2962" customWidth="1"/>
    <col min="5407" max="5409" width="12.125" style="2962" customWidth="1"/>
    <col min="5410" max="5411" width="18.25" style="2962" customWidth="1"/>
    <col min="5412" max="5413" width="16.375" style="2962" customWidth="1"/>
    <col min="5414" max="5415" width="25" style="2962" customWidth="1"/>
    <col min="5416" max="5416" width="7.125" style="2962" customWidth="1"/>
    <col min="5417" max="5417" width="18.5" style="2962" customWidth="1"/>
    <col min="5418" max="5418" width="19.25" style="2962" customWidth="1"/>
    <col min="5419" max="5420" width="23" style="2962" customWidth="1"/>
    <col min="5421" max="5421" width="9" style="2962" customWidth="1"/>
    <col min="5422" max="5632" width="8.875" style="2962"/>
    <col min="5633" max="5633" width="48" style="2962" customWidth="1"/>
    <col min="5634" max="5634" width="7.125" style="2962" customWidth="1"/>
    <col min="5635" max="5635" width="13.375" style="2962" customWidth="1"/>
    <col min="5636" max="5636" width="7.125" style="2962" customWidth="1"/>
    <col min="5637" max="5637" width="5.25" style="2962" customWidth="1"/>
    <col min="5638" max="5638" width="48" style="2962" customWidth="1"/>
    <col min="5639" max="5639" width="9" style="2962" customWidth="1"/>
    <col min="5640" max="5640" width="12.25" style="2962" customWidth="1"/>
    <col min="5641" max="5641" width="38.375" style="2962" customWidth="1"/>
    <col min="5642" max="5643" width="15.875" style="2962" customWidth="1"/>
    <col min="5644" max="5644" width="10.5" style="2962" customWidth="1"/>
    <col min="5645" max="5647" width="9" style="2962" customWidth="1"/>
    <col min="5648" max="5648" width="11" style="2962" customWidth="1"/>
    <col min="5649" max="5650" width="17.75" style="2962" customWidth="1"/>
    <col min="5651" max="5651" width="14.75" style="2962" customWidth="1"/>
    <col min="5652" max="5652" width="17.125" style="2962" customWidth="1"/>
    <col min="5653" max="5653" width="12.875" style="2962" customWidth="1"/>
    <col min="5654" max="5654" width="20.375" style="2962" customWidth="1"/>
    <col min="5655" max="5655" width="9" style="2962" customWidth="1"/>
    <col min="5656" max="5659" width="10.25" style="2962" customWidth="1"/>
    <col min="5660" max="5660" width="28" style="2962" customWidth="1"/>
    <col min="5661" max="5661" width="9" style="2962" customWidth="1"/>
    <col min="5662" max="5662" width="100.375" style="2962" customWidth="1"/>
    <col min="5663" max="5665" width="12.125" style="2962" customWidth="1"/>
    <col min="5666" max="5667" width="18.25" style="2962" customWidth="1"/>
    <col min="5668" max="5669" width="16.375" style="2962" customWidth="1"/>
    <col min="5670" max="5671" width="25" style="2962" customWidth="1"/>
    <col min="5672" max="5672" width="7.125" style="2962" customWidth="1"/>
    <col min="5673" max="5673" width="18.5" style="2962" customWidth="1"/>
    <col min="5674" max="5674" width="19.25" style="2962" customWidth="1"/>
    <col min="5675" max="5676" width="23" style="2962" customWidth="1"/>
    <col min="5677" max="5677" width="9" style="2962" customWidth="1"/>
    <col min="5678" max="5888" width="8.875" style="2962"/>
    <col min="5889" max="5889" width="48" style="2962" customWidth="1"/>
    <col min="5890" max="5890" width="7.125" style="2962" customWidth="1"/>
    <col min="5891" max="5891" width="13.375" style="2962" customWidth="1"/>
    <col min="5892" max="5892" width="7.125" style="2962" customWidth="1"/>
    <col min="5893" max="5893" width="5.25" style="2962" customWidth="1"/>
    <col min="5894" max="5894" width="48" style="2962" customWidth="1"/>
    <col min="5895" max="5895" width="9" style="2962" customWidth="1"/>
    <col min="5896" max="5896" width="12.25" style="2962" customWidth="1"/>
    <col min="5897" max="5897" width="38.375" style="2962" customWidth="1"/>
    <col min="5898" max="5899" width="15.875" style="2962" customWidth="1"/>
    <col min="5900" max="5900" width="10.5" style="2962" customWidth="1"/>
    <col min="5901" max="5903" width="9" style="2962" customWidth="1"/>
    <col min="5904" max="5904" width="11" style="2962" customWidth="1"/>
    <col min="5905" max="5906" width="17.75" style="2962" customWidth="1"/>
    <col min="5907" max="5907" width="14.75" style="2962" customWidth="1"/>
    <col min="5908" max="5908" width="17.125" style="2962" customWidth="1"/>
    <col min="5909" max="5909" width="12.875" style="2962" customWidth="1"/>
    <col min="5910" max="5910" width="20.375" style="2962" customWidth="1"/>
    <col min="5911" max="5911" width="9" style="2962" customWidth="1"/>
    <col min="5912" max="5915" width="10.25" style="2962" customWidth="1"/>
    <col min="5916" max="5916" width="28" style="2962" customWidth="1"/>
    <col min="5917" max="5917" width="9" style="2962" customWidth="1"/>
    <col min="5918" max="5918" width="100.375" style="2962" customWidth="1"/>
    <col min="5919" max="5921" width="12.125" style="2962" customWidth="1"/>
    <col min="5922" max="5923" width="18.25" style="2962" customWidth="1"/>
    <col min="5924" max="5925" width="16.375" style="2962" customWidth="1"/>
    <col min="5926" max="5927" width="25" style="2962" customWidth="1"/>
    <col min="5928" max="5928" width="7.125" style="2962" customWidth="1"/>
    <col min="5929" max="5929" width="18.5" style="2962" customWidth="1"/>
    <col min="5930" max="5930" width="19.25" style="2962" customWidth="1"/>
    <col min="5931" max="5932" width="23" style="2962" customWidth="1"/>
    <col min="5933" max="5933" width="9" style="2962" customWidth="1"/>
    <col min="5934" max="6144" width="8.875" style="2962"/>
    <col min="6145" max="6145" width="48" style="2962" customWidth="1"/>
    <col min="6146" max="6146" width="7.125" style="2962" customWidth="1"/>
    <col min="6147" max="6147" width="13.375" style="2962" customWidth="1"/>
    <col min="6148" max="6148" width="7.125" style="2962" customWidth="1"/>
    <col min="6149" max="6149" width="5.25" style="2962" customWidth="1"/>
    <col min="6150" max="6150" width="48" style="2962" customWidth="1"/>
    <col min="6151" max="6151" width="9" style="2962" customWidth="1"/>
    <col min="6152" max="6152" width="12.25" style="2962" customWidth="1"/>
    <col min="6153" max="6153" width="38.375" style="2962" customWidth="1"/>
    <col min="6154" max="6155" width="15.875" style="2962" customWidth="1"/>
    <col min="6156" max="6156" width="10.5" style="2962" customWidth="1"/>
    <col min="6157" max="6159" width="9" style="2962" customWidth="1"/>
    <col min="6160" max="6160" width="11" style="2962" customWidth="1"/>
    <col min="6161" max="6162" width="17.75" style="2962" customWidth="1"/>
    <col min="6163" max="6163" width="14.75" style="2962" customWidth="1"/>
    <col min="6164" max="6164" width="17.125" style="2962" customWidth="1"/>
    <col min="6165" max="6165" width="12.875" style="2962" customWidth="1"/>
    <col min="6166" max="6166" width="20.375" style="2962" customWidth="1"/>
    <col min="6167" max="6167" width="9" style="2962" customWidth="1"/>
    <col min="6168" max="6171" width="10.25" style="2962" customWidth="1"/>
    <col min="6172" max="6172" width="28" style="2962" customWidth="1"/>
    <col min="6173" max="6173" width="9" style="2962" customWidth="1"/>
    <col min="6174" max="6174" width="100.375" style="2962" customWidth="1"/>
    <col min="6175" max="6177" width="12.125" style="2962" customWidth="1"/>
    <col min="6178" max="6179" width="18.25" style="2962" customWidth="1"/>
    <col min="6180" max="6181" width="16.375" style="2962" customWidth="1"/>
    <col min="6182" max="6183" width="25" style="2962" customWidth="1"/>
    <col min="6184" max="6184" width="7.125" style="2962" customWidth="1"/>
    <col min="6185" max="6185" width="18.5" style="2962" customWidth="1"/>
    <col min="6186" max="6186" width="19.25" style="2962" customWidth="1"/>
    <col min="6187" max="6188" width="23" style="2962" customWidth="1"/>
    <col min="6189" max="6189" width="9" style="2962" customWidth="1"/>
    <col min="6190" max="6400" width="8.875" style="2962"/>
    <col min="6401" max="6401" width="48" style="2962" customWidth="1"/>
    <col min="6402" max="6402" width="7.125" style="2962" customWidth="1"/>
    <col min="6403" max="6403" width="13.375" style="2962" customWidth="1"/>
    <col min="6404" max="6404" width="7.125" style="2962" customWidth="1"/>
    <col min="6405" max="6405" width="5.25" style="2962" customWidth="1"/>
    <col min="6406" max="6406" width="48" style="2962" customWidth="1"/>
    <col min="6407" max="6407" width="9" style="2962" customWidth="1"/>
    <col min="6408" max="6408" width="12.25" style="2962" customWidth="1"/>
    <col min="6409" max="6409" width="38.375" style="2962" customWidth="1"/>
    <col min="6410" max="6411" width="15.875" style="2962" customWidth="1"/>
    <col min="6412" max="6412" width="10.5" style="2962" customWidth="1"/>
    <col min="6413" max="6415" width="9" style="2962" customWidth="1"/>
    <col min="6416" max="6416" width="11" style="2962" customWidth="1"/>
    <col min="6417" max="6418" width="17.75" style="2962" customWidth="1"/>
    <col min="6419" max="6419" width="14.75" style="2962" customWidth="1"/>
    <col min="6420" max="6420" width="17.125" style="2962" customWidth="1"/>
    <col min="6421" max="6421" width="12.875" style="2962" customWidth="1"/>
    <col min="6422" max="6422" width="20.375" style="2962" customWidth="1"/>
    <col min="6423" max="6423" width="9" style="2962" customWidth="1"/>
    <col min="6424" max="6427" width="10.25" style="2962" customWidth="1"/>
    <col min="6428" max="6428" width="28" style="2962" customWidth="1"/>
    <col min="6429" max="6429" width="9" style="2962" customWidth="1"/>
    <col min="6430" max="6430" width="100.375" style="2962" customWidth="1"/>
    <col min="6431" max="6433" width="12.125" style="2962" customWidth="1"/>
    <col min="6434" max="6435" width="18.25" style="2962" customWidth="1"/>
    <col min="6436" max="6437" width="16.375" style="2962" customWidth="1"/>
    <col min="6438" max="6439" width="25" style="2962" customWidth="1"/>
    <col min="6440" max="6440" width="7.125" style="2962" customWidth="1"/>
    <col min="6441" max="6441" width="18.5" style="2962" customWidth="1"/>
    <col min="6442" max="6442" width="19.25" style="2962" customWidth="1"/>
    <col min="6443" max="6444" width="23" style="2962" customWidth="1"/>
    <col min="6445" max="6445" width="9" style="2962" customWidth="1"/>
    <col min="6446" max="6656" width="8.875" style="2962"/>
    <col min="6657" max="6657" width="48" style="2962" customWidth="1"/>
    <col min="6658" max="6658" width="7.125" style="2962" customWidth="1"/>
    <col min="6659" max="6659" width="13.375" style="2962" customWidth="1"/>
    <col min="6660" max="6660" width="7.125" style="2962" customWidth="1"/>
    <col min="6661" max="6661" width="5.25" style="2962" customWidth="1"/>
    <col min="6662" max="6662" width="48" style="2962" customWidth="1"/>
    <col min="6663" max="6663" width="9" style="2962" customWidth="1"/>
    <col min="6664" max="6664" width="12.25" style="2962" customWidth="1"/>
    <col min="6665" max="6665" width="38.375" style="2962" customWidth="1"/>
    <col min="6666" max="6667" width="15.875" style="2962" customWidth="1"/>
    <col min="6668" max="6668" width="10.5" style="2962" customWidth="1"/>
    <col min="6669" max="6671" width="9" style="2962" customWidth="1"/>
    <col min="6672" max="6672" width="11" style="2962" customWidth="1"/>
    <col min="6673" max="6674" width="17.75" style="2962" customWidth="1"/>
    <col min="6675" max="6675" width="14.75" style="2962" customWidth="1"/>
    <col min="6676" max="6676" width="17.125" style="2962" customWidth="1"/>
    <col min="6677" max="6677" width="12.875" style="2962" customWidth="1"/>
    <col min="6678" max="6678" width="20.375" style="2962" customWidth="1"/>
    <col min="6679" max="6679" width="9" style="2962" customWidth="1"/>
    <col min="6680" max="6683" width="10.25" style="2962" customWidth="1"/>
    <col min="6684" max="6684" width="28" style="2962" customWidth="1"/>
    <col min="6685" max="6685" width="9" style="2962" customWidth="1"/>
    <col min="6686" max="6686" width="100.375" style="2962" customWidth="1"/>
    <col min="6687" max="6689" width="12.125" style="2962" customWidth="1"/>
    <col min="6690" max="6691" width="18.25" style="2962" customWidth="1"/>
    <col min="6692" max="6693" width="16.375" style="2962" customWidth="1"/>
    <col min="6694" max="6695" width="25" style="2962" customWidth="1"/>
    <col min="6696" max="6696" width="7.125" style="2962" customWidth="1"/>
    <col min="6697" max="6697" width="18.5" style="2962" customWidth="1"/>
    <col min="6698" max="6698" width="19.25" style="2962" customWidth="1"/>
    <col min="6699" max="6700" width="23" style="2962" customWidth="1"/>
    <col min="6701" max="6701" width="9" style="2962" customWidth="1"/>
    <col min="6702" max="6912" width="8.875" style="2962"/>
    <col min="6913" max="6913" width="48" style="2962" customWidth="1"/>
    <col min="6914" max="6914" width="7.125" style="2962" customWidth="1"/>
    <col min="6915" max="6915" width="13.375" style="2962" customWidth="1"/>
    <col min="6916" max="6916" width="7.125" style="2962" customWidth="1"/>
    <col min="6917" max="6917" width="5.25" style="2962" customWidth="1"/>
    <col min="6918" max="6918" width="48" style="2962" customWidth="1"/>
    <col min="6919" max="6919" width="9" style="2962" customWidth="1"/>
    <col min="6920" max="6920" width="12.25" style="2962" customWidth="1"/>
    <col min="6921" max="6921" width="38.375" style="2962" customWidth="1"/>
    <col min="6922" max="6923" width="15.875" style="2962" customWidth="1"/>
    <col min="6924" max="6924" width="10.5" style="2962" customWidth="1"/>
    <col min="6925" max="6927" width="9" style="2962" customWidth="1"/>
    <col min="6928" max="6928" width="11" style="2962" customWidth="1"/>
    <col min="6929" max="6930" width="17.75" style="2962" customWidth="1"/>
    <col min="6931" max="6931" width="14.75" style="2962" customWidth="1"/>
    <col min="6932" max="6932" width="17.125" style="2962" customWidth="1"/>
    <col min="6933" max="6933" width="12.875" style="2962" customWidth="1"/>
    <col min="6934" max="6934" width="20.375" style="2962" customWidth="1"/>
    <col min="6935" max="6935" width="9" style="2962" customWidth="1"/>
    <col min="6936" max="6939" width="10.25" style="2962" customWidth="1"/>
    <col min="6940" max="6940" width="28" style="2962" customWidth="1"/>
    <col min="6941" max="6941" width="9" style="2962" customWidth="1"/>
    <col min="6942" max="6942" width="100.375" style="2962" customWidth="1"/>
    <col min="6943" max="6945" width="12.125" style="2962" customWidth="1"/>
    <col min="6946" max="6947" width="18.25" style="2962" customWidth="1"/>
    <col min="6948" max="6949" width="16.375" style="2962" customWidth="1"/>
    <col min="6950" max="6951" width="25" style="2962" customWidth="1"/>
    <col min="6952" max="6952" width="7.125" style="2962" customWidth="1"/>
    <col min="6953" max="6953" width="18.5" style="2962" customWidth="1"/>
    <col min="6954" max="6954" width="19.25" style="2962" customWidth="1"/>
    <col min="6955" max="6956" width="23" style="2962" customWidth="1"/>
    <col min="6957" max="6957" width="9" style="2962" customWidth="1"/>
    <col min="6958" max="7168" width="8.875" style="2962"/>
    <col min="7169" max="7169" width="48" style="2962" customWidth="1"/>
    <col min="7170" max="7170" width="7.125" style="2962" customWidth="1"/>
    <col min="7171" max="7171" width="13.375" style="2962" customWidth="1"/>
    <col min="7172" max="7172" width="7.125" style="2962" customWidth="1"/>
    <col min="7173" max="7173" width="5.25" style="2962" customWidth="1"/>
    <col min="7174" max="7174" width="48" style="2962" customWidth="1"/>
    <col min="7175" max="7175" width="9" style="2962" customWidth="1"/>
    <col min="7176" max="7176" width="12.25" style="2962" customWidth="1"/>
    <col min="7177" max="7177" width="38.375" style="2962" customWidth="1"/>
    <col min="7178" max="7179" width="15.875" style="2962" customWidth="1"/>
    <col min="7180" max="7180" width="10.5" style="2962" customWidth="1"/>
    <col min="7181" max="7183" width="9" style="2962" customWidth="1"/>
    <col min="7184" max="7184" width="11" style="2962" customWidth="1"/>
    <col min="7185" max="7186" width="17.75" style="2962" customWidth="1"/>
    <col min="7187" max="7187" width="14.75" style="2962" customWidth="1"/>
    <col min="7188" max="7188" width="17.125" style="2962" customWidth="1"/>
    <col min="7189" max="7189" width="12.875" style="2962" customWidth="1"/>
    <col min="7190" max="7190" width="20.375" style="2962" customWidth="1"/>
    <col min="7191" max="7191" width="9" style="2962" customWidth="1"/>
    <col min="7192" max="7195" width="10.25" style="2962" customWidth="1"/>
    <col min="7196" max="7196" width="28" style="2962" customWidth="1"/>
    <col min="7197" max="7197" width="9" style="2962" customWidth="1"/>
    <col min="7198" max="7198" width="100.375" style="2962" customWidth="1"/>
    <col min="7199" max="7201" width="12.125" style="2962" customWidth="1"/>
    <col min="7202" max="7203" width="18.25" style="2962" customWidth="1"/>
    <col min="7204" max="7205" width="16.375" style="2962" customWidth="1"/>
    <col min="7206" max="7207" width="25" style="2962" customWidth="1"/>
    <col min="7208" max="7208" width="7.125" style="2962" customWidth="1"/>
    <col min="7209" max="7209" width="18.5" style="2962" customWidth="1"/>
    <col min="7210" max="7210" width="19.25" style="2962" customWidth="1"/>
    <col min="7211" max="7212" width="23" style="2962" customWidth="1"/>
    <col min="7213" max="7213" width="9" style="2962" customWidth="1"/>
    <col min="7214" max="7424" width="8.875" style="2962"/>
    <col min="7425" max="7425" width="48" style="2962" customWidth="1"/>
    <col min="7426" max="7426" width="7.125" style="2962" customWidth="1"/>
    <col min="7427" max="7427" width="13.375" style="2962" customWidth="1"/>
    <col min="7428" max="7428" width="7.125" style="2962" customWidth="1"/>
    <col min="7429" max="7429" width="5.25" style="2962" customWidth="1"/>
    <col min="7430" max="7430" width="48" style="2962" customWidth="1"/>
    <col min="7431" max="7431" width="9" style="2962" customWidth="1"/>
    <col min="7432" max="7432" width="12.25" style="2962" customWidth="1"/>
    <col min="7433" max="7433" width="38.375" style="2962" customWidth="1"/>
    <col min="7434" max="7435" width="15.875" style="2962" customWidth="1"/>
    <col min="7436" max="7436" width="10.5" style="2962" customWidth="1"/>
    <col min="7437" max="7439" width="9" style="2962" customWidth="1"/>
    <col min="7440" max="7440" width="11" style="2962" customWidth="1"/>
    <col min="7441" max="7442" width="17.75" style="2962" customWidth="1"/>
    <col min="7443" max="7443" width="14.75" style="2962" customWidth="1"/>
    <col min="7444" max="7444" width="17.125" style="2962" customWidth="1"/>
    <col min="7445" max="7445" width="12.875" style="2962" customWidth="1"/>
    <col min="7446" max="7446" width="20.375" style="2962" customWidth="1"/>
    <col min="7447" max="7447" width="9" style="2962" customWidth="1"/>
    <col min="7448" max="7451" width="10.25" style="2962" customWidth="1"/>
    <col min="7452" max="7452" width="28" style="2962" customWidth="1"/>
    <col min="7453" max="7453" width="9" style="2962" customWidth="1"/>
    <col min="7454" max="7454" width="100.375" style="2962" customWidth="1"/>
    <col min="7455" max="7457" width="12.125" style="2962" customWidth="1"/>
    <col min="7458" max="7459" width="18.25" style="2962" customWidth="1"/>
    <col min="7460" max="7461" width="16.375" style="2962" customWidth="1"/>
    <col min="7462" max="7463" width="25" style="2962" customWidth="1"/>
    <col min="7464" max="7464" width="7.125" style="2962" customWidth="1"/>
    <col min="7465" max="7465" width="18.5" style="2962" customWidth="1"/>
    <col min="7466" max="7466" width="19.25" style="2962" customWidth="1"/>
    <col min="7467" max="7468" width="23" style="2962" customWidth="1"/>
    <col min="7469" max="7469" width="9" style="2962" customWidth="1"/>
    <col min="7470" max="7680" width="8.875" style="2962"/>
    <col min="7681" max="7681" width="48" style="2962" customWidth="1"/>
    <col min="7682" max="7682" width="7.125" style="2962" customWidth="1"/>
    <col min="7683" max="7683" width="13.375" style="2962" customWidth="1"/>
    <col min="7684" max="7684" width="7.125" style="2962" customWidth="1"/>
    <col min="7685" max="7685" width="5.25" style="2962" customWidth="1"/>
    <col min="7686" max="7686" width="48" style="2962" customWidth="1"/>
    <col min="7687" max="7687" width="9" style="2962" customWidth="1"/>
    <col min="7688" max="7688" width="12.25" style="2962" customWidth="1"/>
    <col min="7689" max="7689" width="38.375" style="2962" customWidth="1"/>
    <col min="7690" max="7691" width="15.875" style="2962" customWidth="1"/>
    <col min="7692" max="7692" width="10.5" style="2962" customWidth="1"/>
    <col min="7693" max="7695" width="9" style="2962" customWidth="1"/>
    <col min="7696" max="7696" width="11" style="2962" customWidth="1"/>
    <col min="7697" max="7698" width="17.75" style="2962" customWidth="1"/>
    <col min="7699" max="7699" width="14.75" style="2962" customWidth="1"/>
    <col min="7700" max="7700" width="17.125" style="2962" customWidth="1"/>
    <col min="7701" max="7701" width="12.875" style="2962" customWidth="1"/>
    <col min="7702" max="7702" width="20.375" style="2962" customWidth="1"/>
    <col min="7703" max="7703" width="9" style="2962" customWidth="1"/>
    <col min="7704" max="7707" width="10.25" style="2962" customWidth="1"/>
    <col min="7708" max="7708" width="28" style="2962" customWidth="1"/>
    <col min="7709" max="7709" width="9" style="2962" customWidth="1"/>
    <col min="7710" max="7710" width="100.375" style="2962" customWidth="1"/>
    <col min="7711" max="7713" width="12.125" style="2962" customWidth="1"/>
    <col min="7714" max="7715" width="18.25" style="2962" customWidth="1"/>
    <col min="7716" max="7717" width="16.375" style="2962" customWidth="1"/>
    <col min="7718" max="7719" width="25" style="2962" customWidth="1"/>
    <col min="7720" max="7720" width="7.125" style="2962" customWidth="1"/>
    <col min="7721" max="7721" width="18.5" style="2962" customWidth="1"/>
    <col min="7722" max="7722" width="19.25" style="2962" customWidth="1"/>
    <col min="7723" max="7724" width="23" style="2962" customWidth="1"/>
    <col min="7725" max="7725" width="9" style="2962" customWidth="1"/>
    <col min="7726" max="7936" width="8.875" style="2962"/>
    <col min="7937" max="7937" width="48" style="2962" customWidth="1"/>
    <col min="7938" max="7938" width="7.125" style="2962" customWidth="1"/>
    <col min="7939" max="7939" width="13.375" style="2962" customWidth="1"/>
    <col min="7940" max="7940" width="7.125" style="2962" customWidth="1"/>
    <col min="7941" max="7941" width="5.25" style="2962" customWidth="1"/>
    <col min="7942" max="7942" width="48" style="2962" customWidth="1"/>
    <col min="7943" max="7943" width="9" style="2962" customWidth="1"/>
    <col min="7944" max="7944" width="12.25" style="2962" customWidth="1"/>
    <col min="7945" max="7945" width="38.375" style="2962" customWidth="1"/>
    <col min="7946" max="7947" width="15.875" style="2962" customWidth="1"/>
    <col min="7948" max="7948" width="10.5" style="2962" customWidth="1"/>
    <col min="7949" max="7951" width="9" style="2962" customWidth="1"/>
    <col min="7952" max="7952" width="11" style="2962" customWidth="1"/>
    <col min="7953" max="7954" width="17.75" style="2962" customWidth="1"/>
    <col min="7955" max="7955" width="14.75" style="2962" customWidth="1"/>
    <col min="7956" max="7956" width="17.125" style="2962" customWidth="1"/>
    <col min="7957" max="7957" width="12.875" style="2962" customWidth="1"/>
    <col min="7958" max="7958" width="20.375" style="2962" customWidth="1"/>
    <col min="7959" max="7959" width="9" style="2962" customWidth="1"/>
    <col min="7960" max="7963" width="10.25" style="2962" customWidth="1"/>
    <col min="7964" max="7964" width="28" style="2962" customWidth="1"/>
    <col min="7965" max="7965" width="9" style="2962" customWidth="1"/>
    <col min="7966" max="7966" width="100.375" style="2962" customWidth="1"/>
    <col min="7967" max="7969" width="12.125" style="2962" customWidth="1"/>
    <col min="7970" max="7971" width="18.25" style="2962" customWidth="1"/>
    <col min="7972" max="7973" width="16.375" style="2962" customWidth="1"/>
    <col min="7974" max="7975" width="25" style="2962" customWidth="1"/>
    <col min="7976" max="7976" width="7.125" style="2962" customWidth="1"/>
    <col min="7977" max="7977" width="18.5" style="2962" customWidth="1"/>
    <col min="7978" max="7978" width="19.25" style="2962" customWidth="1"/>
    <col min="7979" max="7980" width="23" style="2962" customWidth="1"/>
    <col min="7981" max="7981" width="9" style="2962" customWidth="1"/>
    <col min="7982" max="8192" width="8.875" style="2962"/>
    <col min="8193" max="8193" width="48" style="2962" customWidth="1"/>
    <col min="8194" max="8194" width="7.125" style="2962" customWidth="1"/>
    <col min="8195" max="8195" width="13.375" style="2962" customWidth="1"/>
    <col min="8196" max="8196" width="7.125" style="2962" customWidth="1"/>
    <col min="8197" max="8197" width="5.25" style="2962" customWidth="1"/>
    <col min="8198" max="8198" width="48" style="2962" customWidth="1"/>
    <col min="8199" max="8199" width="9" style="2962" customWidth="1"/>
    <col min="8200" max="8200" width="12.25" style="2962" customWidth="1"/>
    <col min="8201" max="8201" width="38.375" style="2962" customWidth="1"/>
    <col min="8202" max="8203" width="15.875" style="2962" customWidth="1"/>
    <col min="8204" max="8204" width="10.5" style="2962" customWidth="1"/>
    <col min="8205" max="8207" width="9" style="2962" customWidth="1"/>
    <col min="8208" max="8208" width="11" style="2962" customWidth="1"/>
    <col min="8209" max="8210" width="17.75" style="2962" customWidth="1"/>
    <col min="8211" max="8211" width="14.75" style="2962" customWidth="1"/>
    <col min="8212" max="8212" width="17.125" style="2962" customWidth="1"/>
    <col min="8213" max="8213" width="12.875" style="2962" customWidth="1"/>
    <col min="8214" max="8214" width="20.375" style="2962" customWidth="1"/>
    <col min="8215" max="8215" width="9" style="2962" customWidth="1"/>
    <col min="8216" max="8219" width="10.25" style="2962" customWidth="1"/>
    <col min="8220" max="8220" width="28" style="2962" customWidth="1"/>
    <col min="8221" max="8221" width="9" style="2962" customWidth="1"/>
    <col min="8222" max="8222" width="100.375" style="2962" customWidth="1"/>
    <col min="8223" max="8225" width="12.125" style="2962" customWidth="1"/>
    <col min="8226" max="8227" width="18.25" style="2962" customWidth="1"/>
    <col min="8228" max="8229" width="16.375" style="2962" customWidth="1"/>
    <col min="8230" max="8231" width="25" style="2962" customWidth="1"/>
    <col min="8232" max="8232" width="7.125" style="2962" customWidth="1"/>
    <col min="8233" max="8233" width="18.5" style="2962" customWidth="1"/>
    <col min="8234" max="8234" width="19.25" style="2962" customWidth="1"/>
    <col min="8235" max="8236" width="23" style="2962" customWidth="1"/>
    <col min="8237" max="8237" width="9" style="2962" customWidth="1"/>
    <col min="8238" max="8448" width="8.875" style="2962"/>
    <col min="8449" max="8449" width="48" style="2962" customWidth="1"/>
    <col min="8450" max="8450" width="7.125" style="2962" customWidth="1"/>
    <col min="8451" max="8451" width="13.375" style="2962" customWidth="1"/>
    <col min="8452" max="8452" width="7.125" style="2962" customWidth="1"/>
    <col min="8453" max="8453" width="5.25" style="2962" customWidth="1"/>
    <col min="8454" max="8454" width="48" style="2962" customWidth="1"/>
    <col min="8455" max="8455" width="9" style="2962" customWidth="1"/>
    <col min="8456" max="8456" width="12.25" style="2962" customWidth="1"/>
    <col min="8457" max="8457" width="38.375" style="2962" customWidth="1"/>
    <col min="8458" max="8459" width="15.875" style="2962" customWidth="1"/>
    <col min="8460" max="8460" width="10.5" style="2962" customWidth="1"/>
    <col min="8461" max="8463" width="9" style="2962" customWidth="1"/>
    <col min="8464" max="8464" width="11" style="2962" customWidth="1"/>
    <col min="8465" max="8466" width="17.75" style="2962" customWidth="1"/>
    <col min="8467" max="8467" width="14.75" style="2962" customWidth="1"/>
    <col min="8468" max="8468" width="17.125" style="2962" customWidth="1"/>
    <col min="8469" max="8469" width="12.875" style="2962" customWidth="1"/>
    <col min="8470" max="8470" width="20.375" style="2962" customWidth="1"/>
    <col min="8471" max="8471" width="9" style="2962" customWidth="1"/>
    <col min="8472" max="8475" width="10.25" style="2962" customWidth="1"/>
    <col min="8476" max="8476" width="28" style="2962" customWidth="1"/>
    <col min="8477" max="8477" width="9" style="2962" customWidth="1"/>
    <col min="8478" max="8478" width="100.375" style="2962" customWidth="1"/>
    <col min="8479" max="8481" width="12.125" style="2962" customWidth="1"/>
    <col min="8482" max="8483" width="18.25" style="2962" customWidth="1"/>
    <col min="8484" max="8485" width="16.375" style="2962" customWidth="1"/>
    <col min="8486" max="8487" width="25" style="2962" customWidth="1"/>
    <col min="8488" max="8488" width="7.125" style="2962" customWidth="1"/>
    <col min="8489" max="8489" width="18.5" style="2962" customWidth="1"/>
    <col min="8490" max="8490" width="19.25" style="2962" customWidth="1"/>
    <col min="8491" max="8492" width="23" style="2962" customWidth="1"/>
    <col min="8493" max="8493" width="9" style="2962" customWidth="1"/>
    <col min="8494" max="8704" width="8.875" style="2962"/>
    <col min="8705" max="8705" width="48" style="2962" customWidth="1"/>
    <col min="8706" max="8706" width="7.125" style="2962" customWidth="1"/>
    <col min="8707" max="8707" width="13.375" style="2962" customWidth="1"/>
    <col min="8708" max="8708" width="7.125" style="2962" customWidth="1"/>
    <col min="8709" max="8709" width="5.25" style="2962" customWidth="1"/>
    <col min="8710" max="8710" width="48" style="2962" customWidth="1"/>
    <col min="8711" max="8711" width="9" style="2962" customWidth="1"/>
    <col min="8712" max="8712" width="12.25" style="2962" customWidth="1"/>
    <col min="8713" max="8713" width="38.375" style="2962" customWidth="1"/>
    <col min="8714" max="8715" width="15.875" style="2962" customWidth="1"/>
    <col min="8716" max="8716" width="10.5" style="2962" customWidth="1"/>
    <col min="8717" max="8719" width="9" style="2962" customWidth="1"/>
    <col min="8720" max="8720" width="11" style="2962" customWidth="1"/>
    <col min="8721" max="8722" width="17.75" style="2962" customWidth="1"/>
    <col min="8723" max="8723" width="14.75" style="2962" customWidth="1"/>
    <col min="8724" max="8724" width="17.125" style="2962" customWidth="1"/>
    <col min="8725" max="8725" width="12.875" style="2962" customWidth="1"/>
    <col min="8726" max="8726" width="20.375" style="2962" customWidth="1"/>
    <col min="8727" max="8727" width="9" style="2962" customWidth="1"/>
    <col min="8728" max="8731" width="10.25" style="2962" customWidth="1"/>
    <col min="8732" max="8732" width="28" style="2962" customWidth="1"/>
    <col min="8733" max="8733" width="9" style="2962" customWidth="1"/>
    <col min="8734" max="8734" width="100.375" style="2962" customWidth="1"/>
    <col min="8735" max="8737" width="12.125" style="2962" customWidth="1"/>
    <col min="8738" max="8739" width="18.25" style="2962" customWidth="1"/>
    <col min="8740" max="8741" width="16.375" style="2962" customWidth="1"/>
    <col min="8742" max="8743" width="25" style="2962" customWidth="1"/>
    <col min="8744" max="8744" width="7.125" style="2962" customWidth="1"/>
    <col min="8745" max="8745" width="18.5" style="2962" customWidth="1"/>
    <col min="8746" max="8746" width="19.25" style="2962" customWidth="1"/>
    <col min="8747" max="8748" width="23" style="2962" customWidth="1"/>
    <col min="8749" max="8749" width="9" style="2962" customWidth="1"/>
    <col min="8750" max="8960" width="8.875" style="2962"/>
    <col min="8961" max="8961" width="48" style="2962" customWidth="1"/>
    <col min="8962" max="8962" width="7.125" style="2962" customWidth="1"/>
    <col min="8963" max="8963" width="13.375" style="2962" customWidth="1"/>
    <col min="8964" max="8964" width="7.125" style="2962" customWidth="1"/>
    <col min="8965" max="8965" width="5.25" style="2962" customWidth="1"/>
    <col min="8966" max="8966" width="48" style="2962" customWidth="1"/>
    <col min="8967" max="8967" width="9" style="2962" customWidth="1"/>
    <col min="8968" max="8968" width="12.25" style="2962" customWidth="1"/>
    <col min="8969" max="8969" width="38.375" style="2962" customWidth="1"/>
    <col min="8970" max="8971" width="15.875" style="2962" customWidth="1"/>
    <col min="8972" max="8972" width="10.5" style="2962" customWidth="1"/>
    <col min="8973" max="8975" width="9" style="2962" customWidth="1"/>
    <col min="8976" max="8976" width="11" style="2962" customWidth="1"/>
    <col min="8977" max="8978" width="17.75" style="2962" customWidth="1"/>
    <col min="8979" max="8979" width="14.75" style="2962" customWidth="1"/>
    <col min="8980" max="8980" width="17.125" style="2962" customWidth="1"/>
    <col min="8981" max="8981" width="12.875" style="2962" customWidth="1"/>
    <col min="8982" max="8982" width="20.375" style="2962" customWidth="1"/>
    <col min="8983" max="8983" width="9" style="2962" customWidth="1"/>
    <col min="8984" max="8987" width="10.25" style="2962" customWidth="1"/>
    <col min="8988" max="8988" width="28" style="2962" customWidth="1"/>
    <col min="8989" max="8989" width="9" style="2962" customWidth="1"/>
    <col min="8990" max="8990" width="100.375" style="2962" customWidth="1"/>
    <col min="8991" max="8993" width="12.125" style="2962" customWidth="1"/>
    <col min="8994" max="8995" width="18.25" style="2962" customWidth="1"/>
    <col min="8996" max="8997" width="16.375" style="2962" customWidth="1"/>
    <col min="8998" max="8999" width="25" style="2962" customWidth="1"/>
    <col min="9000" max="9000" width="7.125" style="2962" customWidth="1"/>
    <col min="9001" max="9001" width="18.5" style="2962" customWidth="1"/>
    <col min="9002" max="9002" width="19.25" style="2962" customWidth="1"/>
    <col min="9003" max="9004" width="23" style="2962" customWidth="1"/>
    <col min="9005" max="9005" width="9" style="2962" customWidth="1"/>
    <col min="9006" max="9216" width="8.875" style="2962"/>
    <col min="9217" max="9217" width="48" style="2962" customWidth="1"/>
    <col min="9218" max="9218" width="7.125" style="2962" customWidth="1"/>
    <col min="9219" max="9219" width="13.375" style="2962" customWidth="1"/>
    <col min="9220" max="9220" width="7.125" style="2962" customWidth="1"/>
    <col min="9221" max="9221" width="5.25" style="2962" customWidth="1"/>
    <col min="9222" max="9222" width="48" style="2962" customWidth="1"/>
    <col min="9223" max="9223" width="9" style="2962" customWidth="1"/>
    <col min="9224" max="9224" width="12.25" style="2962" customWidth="1"/>
    <col min="9225" max="9225" width="38.375" style="2962" customWidth="1"/>
    <col min="9226" max="9227" width="15.875" style="2962" customWidth="1"/>
    <col min="9228" max="9228" width="10.5" style="2962" customWidth="1"/>
    <col min="9229" max="9231" width="9" style="2962" customWidth="1"/>
    <col min="9232" max="9232" width="11" style="2962" customWidth="1"/>
    <col min="9233" max="9234" width="17.75" style="2962" customWidth="1"/>
    <col min="9235" max="9235" width="14.75" style="2962" customWidth="1"/>
    <col min="9236" max="9236" width="17.125" style="2962" customWidth="1"/>
    <col min="9237" max="9237" width="12.875" style="2962" customWidth="1"/>
    <col min="9238" max="9238" width="20.375" style="2962" customWidth="1"/>
    <col min="9239" max="9239" width="9" style="2962" customWidth="1"/>
    <col min="9240" max="9243" width="10.25" style="2962" customWidth="1"/>
    <col min="9244" max="9244" width="28" style="2962" customWidth="1"/>
    <col min="9245" max="9245" width="9" style="2962" customWidth="1"/>
    <col min="9246" max="9246" width="100.375" style="2962" customWidth="1"/>
    <col min="9247" max="9249" width="12.125" style="2962" customWidth="1"/>
    <col min="9250" max="9251" width="18.25" style="2962" customWidth="1"/>
    <col min="9252" max="9253" width="16.375" style="2962" customWidth="1"/>
    <col min="9254" max="9255" width="25" style="2962" customWidth="1"/>
    <col min="9256" max="9256" width="7.125" style="2962" customWidth="1"/>
    <col min="9257" max="9257" width="18.5" style="2962" customWidth="1"/>
    <col min="9258" max="9258" width="19.25" style="2962" customWidth="1"/>
    <col min="9259" max="9260" width="23" style="2962" customWidth="1"/>
    <col min="9261" max="9261" width="9" style="2962" customWidth="1"/>
    <col min="9262" max="9472" width="8.875" style="2962"/>
    <col min="9473" max="9473" width="48" style="2962" customWidth="1"/>
    <col min="9474" max="9474" width="7.125" style="2962" customWidth="1"/>
    <col min="9475" max="9475" width="13.375" style="2962" customWidth="1"/>
    <col min="9476" max="9476" width="7.125" style="2962" customWidth="1"/>
    <col min="9477" max="9477" width="5.25" style="2962" customWidth="1"/>
    <col min="9478" max="9478" width="48" style="2962" customWidth="1"/>
    <col min="9479" max="9479" width="9" style="2962" customWidth="1"/>
    <col min="9480" max="9480" width="12.25" style="2962" customWidth="1"/>
    <col min="9481" max="9481" width="38.375" style="2962" customWidth="1"/>
    <col min="9482" max="9483" width="15.875" style="2962" customWidth="1"/>
    <col min="9484" max="9484" width="10.5" style="2962" customWidth="1"/>
    <col min="9485" max="9487" width="9" style="2962" customWidth="1"/>
    <col min="9488" max="9488" width="11" style="2962" customWidth="1"/>
    <col min="9489" max="9490" width="17.75" style="2962" customWidth="1"/>
    <col min="9491" max="9491" width="14.75" style="2962" customWidth="1"/>
    <col min="9492" max="9492" width="17.125" style="2962" customWidth="1"/>
    <col min="9493" max="9493" width="12.875" style="2962" customWidth="1"/>
    <col min="9494" max="9494" width="20.375" style="2962" customWidth="1"/>
    <col min="9495" max="9495" width="9" style="2962" customWidth="1"/>
    <col min="9496" max="9499" width="10.25" style="2962" customWidth="1"/>
    <col min="9500" max="9500" width="28" style="2962" customWidth="1"/>
    <col min="9501" max="9501" width="9" style="2962" customWidth="1"/>
    <col min="9502" max="9502" width="100.375" style="2962" customWidth="1"/>
    <col min="9503" max="9505" width="12.125" style="2962" customWidth="1"/>
    <col min="9506" max="9507" width="18.25" style="2962" customWidth="1"/>
    <col min="9508" max="9509" width="16.375" style="2962" customWidth="1"/>
    <col min="9510" max="9511" width="25" style="2962" customWidth="1"/>
    <col min="9512" max="9512" width="7.125" style="2962" customWidth="1"/>
    <col min="9513" max="9513" width="18.5" style="2962" customWidth="1"/>
    <col min="9514" max="9514" width="19.25" style="2962" customWidth="1"/>
    <col min="9515" max="9516" width="23" style="2962" customWidth="1"/>
    <col min="9517" max="9517" width="9" style="2962" customWidth="1"/>
    <col min="9518" max="9728" width="8.875" style="2962"/>
    <col min="9729" max="9729" width="48" style="2962" customWidth="1"/>
    <col min="9730" max="9730" width="7.125" style="2962" customWidth="1"/>
    <col min="9731" max="9731" width="13.375" style="2962" customWidth="1"/>
    <col min="9732" max="9732" width="7.125" style="2962" customWidth="1"/>
    <col min="9733" max="9733" width="5.25" style="2962" customWidth="1"/>
    <col min="9734" max="9734" width="48" style="2962" customWidth="1"/>
    <col min="9735" max="9735" width="9" style="2962" customWidth="1"/>
    <col min="9736" max="9736" width="12.25" style="2962" customWidth="1"/>
    <col min="9737" max="9737" width="38.375" style="2962" customWidth="1"/>
    <col min="9738" max="9739" width="15.875" style="2962" customWidth="1"/>
    <col min="9740" max="9740" width="10.5" style="2962" customWidth="1"/>
    <col min="9741" max="9743" width="9" style="2962" customWidth="1"/>
    <col min="9744" max="9744" width="11" style="2962" customWidth="1"/>
    <col min="9745" max="9746" width="17.75" style="2962" customWidth="1"/>
    <col min="9747" max="9747" width="14.75" style="2962" customWidth="1"/>
    <col min="9748" max="9748" width="17.125" style="2962" customWidth="1"/>
    <col min="9749" max="9749" width="12.875" style="2962" customWidth="1"/>
    <col min="9750" max="9750" width="20.375" style="2962" customWidth="1"/>
    <col min="9751" max="9751" width="9" style="2962" customWidth="1"/>
    <col min="9752" max="9755" width="10.25" style="2962" customWidth="1"/>
    <col min="9756" max="9756" width="28" style="2962" customWidth="1"/>
    <col min="9757" max="9757" width="9" style="2962" customWidth="1"/>
    <col min="9758" max="9758" width="100.375" style="2962" customWidth="1"/>
    <col min="9759" max="9761" width="12.125" style="2962" customWidth="1"/>
    <col min="9762" max="9763" width="18.25" style="2962" customWidth="1"/>
    <col min="9764" max="9765" width="16.375" style="2962" customWidth="1"/>
    <col min="9766" max="9767" width="25" style="2962" customWidth="1"/>
    <col min="9768" max="9768" width="7.125" style="2962" customWidth="1"/>
    <col min="9769" max="9769" width="18.5" style="2962" customWidth="1"/>
    <col min="9770" max="9770" width="19.25" style="2962" customWidth="1"/>
    <col min="9771" max="9772" width="23" style="2962" customWidth="1"/>
    <col min="9773" max="9773" width="9" style="2962" customWidth="1"/>
    <col min="9774" max="9984" width="8.875" style="2962"/>
    <col min="9985" max="9985" width="48" style="2962" customWidth="1"/>
    <col min="9986" max="9986" width="7.125" style="2962" customWidth="1"/>
    <col min="9987" max="9987" width="13.375" style="2962" customWidth="1"/>
    <col min="9988" max="9988" width="7.125" style="2962" customWidth="1"/>
    <col min="9989" max="9989" width="5.25" style="2962" customWidth="1"/>
    <col min="9990" max="9990" width="48" style="2962" customWidth="1"/>
    <col min="9991" max="9991" width="9" style="2962" customWidth="1"/>
    <col min="9992" max="9992" width="12.25" style="2962" customWidth="1"/>
    <col min="9993" max="9993" width="38.375" style="2962" customWidth="1"/>
    <col min="9994" max="9995" width="15.875" style="2962" customWidth="1"/>
    <col min="9996" max="9996" width="10.5" style="2962" customWidth="1"/>
    <col min="9997" max="9999" width="9" style="2962" customWidth="1"/>
    <col min="10000" max="10000" width="11" style="2962" customWidth="1"/>
    <col min="10001" max="10002" width="17.75" style="2962" customWidth="1"/>
    <col min="10003" max="10003" width="14.75" style="2962" customWidth="1"/>
    <col min="10004" max="10004" width="17.125" style="2962" customWidth="1"/>
    <col min="10005" max="10005" width="12.875" style="2962" customWidth="1"/>
    <col min="10006" max="10006" width="20.375" style="2962" customWidth="1"/>
    <col min="10007" max="10007" width="9" style="2962" customWidth="1"/>
    <col min="10008" max="10011" width="10.25" style="2962" customWidth="1"/>
    <col min="10012" max="10012" width="28" style="2962" customWidth="1"/>
    <col min="10013" max="10013" width="9" style="2962" customWidth="1"/>
    <col min="10014" max="10014" width="100.375" style="2962" customWidth="1"/>
    <col min="10015" max="10017" width="12.125" style="2962" customWidth="1"/>
    <col min="10018" max="10019" width="18.25" style="2962" customWidth="1"/>
    <col min="10020" max="10021" width="16.375" style="2962" customWidth="1"/>
    <col min="10022" max="10023" width="25" style="2962" customWidth="1"/>
    <col min="10024" max="10024" width="7.125" style="2962" customWidth="1"/>
    <col min="10025" max="10025" width="18.5" style="2962" customWidth="1"/>
    <col min="10026" max="10026" width="19.25" style="2962" customWidth="1"/>
    <col min="10027" max="10028" width="23" style="2962" customWidth="1"/>
    <col min="10029" max="10029" width="9" style="2962" customWidth="1"/>
    <col min="10030" max="10240" width="8.875" style="2962"/>
    <col min="10241" max="10241" width="48" style="2962" customWidth="1"/>
    <col min="10242" max="10242" width="7.125" style="2962" customWidth="1"/>
    <col min="10243" max="10243" width="13.375" style="2962" customWidth="1"/>
    <col min="10244" max="10244" width="7.125" style="2962" customWidth="1"/>
    <col min="10245" max="10245" width="5.25" style="2962" customWidth="1"/>
    <col min="10246" max="10246" width="48" style="2962" customWidth="1"/>
    <col min="10247" max="10247" width="9" style="2962" customWidth="1"/>
    <col min="10248" max="10248" width="12.25" style="2962" customWidth="1"/>
    <col min="10249" max="10249" width="38.375" style="2962" customWidth="1"/>
    <col min="10250" max="10251" width="15.875" style="2962" customWidth="1"/>
    <col min="10252" max="10252" width="10.5" style="2962" customWidth="1"/>
    <col min="10253" max="10255" width="9" style="2962" customWidth="1"/>
    <col min="10256" max="10256" width="11" style="2962" customWidth="1"/>
    <col min="10257" max="10258" width="17.75" style="2962" customWidth="1"/>
    <col min="10259" max="10259" width="14.75" style="2962" customWidth="1"/>
    <col min="10260" max="10260" width="17.125" style="2962" customWidth="1"/>
    <col min="10261" max="10261" width="12.875" style="2962" customWidth="1"/>
    <col min="10262" max="10262" width="20.375" style="2962" customWidth="1"/>
    <col min="10263" max="10263" width="9" style="2962" customWidth="1"/>
    <col min="10264" max="10267" width="10.25" style="2962" customWidth="1"/>
    <col min="10268" max="10268" width="28" style="2962" customWidth="1"/>
    <col min="10269" max="10269" width="9" style="2962" customWidth="1"/>
    <col min="10270" max="10270" width="100.375" style="2962" customWidth="1"/>
    <col min="10271" max="10273" width="12.125" style="2962" customWidth="1"/>
    <col min="10274" max="10275" width="18.25" style="2962" customWidth="1"/>
    <col min="10276" max="10277" width="16.375" style="2962" customWidth="1"/>
    <col min="10278" max="10279" width="25" style="2962" customWidth="1"/>
    <col min="10280" max="10280" width="7.125" style="2962" customWidth="1"/>
    <col min="10281" max="10281" width="18.5" style="2962" customWidth="1"/>
    <col min="10282" max="10282" width="19.25" style="2962" customWidth="1"/>
    <col min="10283" max="10284" width="23" style="2962" customWidth="1"/>
    <col min="10285" max="10285" width="9" style="2962" customWidth="1"/>
    <col min="10286" max="10496" width="8.875" style="2962"/>
    <col min="10497" max="10497" width="48" style="2962" customWidth="1"/>
    <col min="10498" max="10498" width="7.125" style="2962" customWidth="1"/>
    <col min="10499" max="10499" width="13.375" style="2962" customWidth="1"/>
    <col min="10500" max="10500" width="7.125" style="2962" customWidth="1"/>
    <col min="10501" max="10501" width="5.25" style="2962" customWidth="1"/>
    <col min="10502" max="10502" width="48" style="2962" customWidth="1"/>
    <col min="10503" max="10503" width="9" style="2962" customWidth="1"/>
    <col min="10504" max="10504" width="12.25" style="2962" customWidth="1"/>
    <col min="10505" max="10505" width="38.375" style="2962" customWidth="1"/>
    <col min="10506" max="10507" width="15.875" style="2962" customWidth="1"/>
    <col min="10508" max="10508" width="10.5" style="2962" customWidth="1"/>
    <col min="10509" max="10511" width="9" style="2962" customWidth="1"/>
    <col min="10512" max="10512" width="11" style="2962" customWidth="1"/>
    <col min="10513" max="10514" width="17.75" style="2962" customWidth="1"/>
    <col min="10515" max="10515" width="14.75" style="2962" customWidth="1"/>
    <col min="10516" max="10516" width="17.125" style="2962" customWidth="1"/>
    <col min="10517" max="10517" width="12.875" style="2962" customWidth="1"/>
    <col min="10518" max="10518" width="20.375" style="2962" customWidth="1"/>
    <col min="10519" max="10519" width="9" style="2962" customWidth="1"/>
    <col min="10520" max="10523" width="10.25" style="2962" customWidth="1"/>
    <col min="10524" max="10524" width="28" style="2962" customWidth="1"/>
    <col min="10525" max="10525" width="9" style="2962" customWidth="1"/>
    <col min="10526" max="10526" width="100.375" style="2962" customWidth="1"/>
    <col min="10527" max="10529" width="12.125" style="2962" customWidth="1"/>
    <col min="10530" max="10531" width="18.25" style="2962" customWidth="1"/>
    <col min="10532" max="10533" width="16.375" style="2962" customWidth="1"/>
    <col min="10534" max="10535" width="25" style="2962" customWidth="1"/>
    <col min="10536" max="10536" width="7.125" style="2962" customWidth="1"/>
    <col min="10537" max="10537" width="18.5" style="2962" customWidth="1"/>
    <col min="10538" max="10538" width="19.25" style="2962" customWidth="1"/>
    <col min="10539" max="10540" width="23" style="2962" customWidth="1"/>
    <col min="10541" max="10541" width="9" style="2962" customWidth="1"/>
    <col min="10542" max="10752" width="8.875" style="2962"/>
    <col min="10753" max="10753" width="48" style="2962" customWidth="1"/>
    <col min="10754" max="10754" width="7.125" style="2962" customWidth="1"/>
    <col min="10755" max="10755" width="13.375" style="2962" customWidth="1"/>
    <col min="10756" max="10756" width="7.125" style="2962" customWidth="1"/>
    <col min="10757" max="10757" width="5.25" style="2962" customWidth="1"/>
    <col min="10758" max="10758" width="48" style="2962" customWidth="1"/>
    <col min="10759" max="10759" width="9" style="2962" customWidth="1"/>
    <col min="10760" max="10760" width="12.25" style="2962" customWidth="1"/>
    <col min="10761" max="10761" width="38.375" style="2962" customWidth="1"/>
    <col min="10762" max="10763" width="15.875" style="2962" customWidth="1"/>
    <col min="10764" max="10764" width="10.5" style="2962" customWidth="1"/>
    <col min="10765" max="10767" width="9" style="2962" customWidth="1"/>
    <col min="10768" max="10768" width="11" style="2962" customWidth="1"/>
    <col min="10769" max="10770" width="17.75" style="2962" customWidth="1"/>
    <col min="10771" max="10771" width="14.75" style="2962" customWidth="1"/>
    <col min="10772" max="10772" width="17.125" style="2962" customWidth="1"/>
    <col min="10773" max="10773" width="12.875" style="2962" customWidth="1"/>
    <col min="10774" max="10774" width="20.375" style="2962" customWidth="1"/>
    <col min="10775" max="10775" width="9" style="2962" customWidth="1"/>
    <col min="10776" max="10779" width="10.25" style="2962" customWidth="1"/>
    <col min="10780" max="10780" width="28" style="2962" customWidth="1"/>
    <col min="10781" max="10781" width="9" style="2962" customWidth="1"/>
    <col min="10782" max="10782" width="100.375" style="2962" customWidth="1"/>
    <col min="10783" max="10785" width="12.125" style="2962" customWidth="1"/>
    <col min="10786" max="10787" width="18.25" style="2962" customWidth="1"/>
    <col min="10788" max="10789" width="16.375" style="2962" customWidth="1"/>
    <col min="10790" max="10791" width="25" style="2962" customWidth="1"/>
    <col min="10792" max="10792" width="7.125" style="2962" customWidth="1"/>
    <col min="10793" max="10793" width="18.5" style="2962" customWidth="1"/>
    <col min="10794" max="10794" width="19.25" style="2962" customWidth="1"/>
    <col min="10795" max="10796" width="23" style="2962" customWidth="1"/>
    <col min="10797" max="10797" width="9" style="2962" customWidth="1"/>
    <col min="10798" max="11008" width="8.875" style="2962"/>
    <col min="11009" max="11009" width="48" style="2962" customWidth="1"/>
    <col min="11010" max="11010" width="7.125" style="2962" customWidth="1"/>
    <col min="11011" max="11011" width="13.375" style="2962" customWidth="1"/>
    <col min="11012" max="11012" width="7.125" style="2962" customWidth="1"/>
    <col min="11013" max="11013" width="5.25" style="2962" customWidth="1"/>
    <col min="11014" max="11014" width="48" style="2962" customWidth="1"/>
    <col min="11015" max="11015" width="9" style="2962" customWidth="1"/>
    <col min="11016" max="11016" width="12.25" style="2962" customWidth="1"/>
    <col min="11017" max="11017" width="38.375" style="2962" customWidth="1"/>
    <col min="11018" max="11019" width="15.875" style="2962" customWidth="1"/>
    <col min="11020" max="11020" width="10.5" style="2962" customWidth="1"/>
    <col min="11021" max="11023" width="9" style="2962" customWidth="1"/>
    <col min="11024" max="11024" width="11" style="2962" customWidth="1"/>
    <col min="11025" max="11026" width="17.75" style="2962" customWidth="1"/>
    <col min="11027" max="11027" width="14.75" style="2962" customWidth="1"/>
    <col min="11028" max="11028" width="17.125" style="2962" customWidth="1"/>
    <col min="11029" max="11029" width="12.875" style="2962" customWidth="1"/>
    <col min="11030" max="11030" width="20.375" style="2962" customWidth="1"/>
    <col min="11031" max="11031" width="9" style="2962" customWidth="1"/>
    <col min="11032" max="11035" width="10.25" style="2962" customWidth="1"/>
    <col min="11036" max="11036" width="28" style="2962" customWidth="1"/>
    <col min="11037" max="11037" width="9" style="2962" customWidth="1"/>
    <col min="11038" max="11038" width="100.375" style="2962" customWidth="1"/>
    <col min="11039" max="11041" width="12.125" style="2962" customWidth="1"/>
    <col min="11042" max="11043" width="18.25" style="2962" customWidth="1"/>
    <col min="11044" max="11045" width="16.375" style="2962" customWidth="1"/>
    <col min="11046" max="11047" width="25" style="2962" customWidth="1"/>
    <col min="11048" max="11048" width="7.125" style="2962" customWidth="1"/>
    <col min="11049" max="11049" width="18.5" style="2962" customWidth="1"/>
    <col min="11050" max="11050" width="19.25" style="2962" customWidth="1"/>
    <col min="11051" max="11052" width="23" style="2962" customWidth="1"/>
    <col min="11053" max="11053" width="9" style="2962" customWidth="1"/>
    <col min="11054" max="11264" width="8.875" style="2962"/>
    <col min="11265" max="11265" width="48" style="2962" customWidth="1"/>
    <col min="11266" max="11266" width="7.125" style="2962" customWidth="1"/>
    <col min="11267" max="11267" width="13.375" style="2962" customWidth="1"/>
    <col min="11268" max="11268" width="7.125" style="2962" customWidth="1"/>
    <col min="11269" max="11269" width="5.25" style="2962" customWidth="1"/>
    <col min="11270" max="11270" width="48" style="2962" customWidth="1"/>
    <col min="11271" max="11271" width="9" style="2962" customWidth="1"/>
    <col min="11272" max="11272" width="12.25" style="2962" customWidth="1"/>
    <col min="11273" max="11273" width="38.375" style="2962" customWidth="1"/>
    <col min="11274" max="11275" width="15.875" style="2962" customWidth="1"/>
    <col min="11276" max="11276" width="10.5" style="2962" customWidth="1"/>
    <col min="11277" max="11279" width="9" style="2962" customWidth="1"/>
    <col min="11280" max="11280" width="11" style="2962" customWidth="1"/>
    <col min="11281" max="11282" width="17.75" style="2962" customWidth="1"/>
    <col min="11283" max="11283" width="14.75" style="2962" customWidth="1"/>
    <col min="11284" max="11284" width="17.125" style="2962" customWidth="1"/>
    <col min="11285" max="11285" width="12.875" style="2962" customWidth="1"/>
    <col min="11286" max="11286" width="20.375" style="2962" customWidth="1"/>
    <col min="11287" max="11287" width="9" style="2962" customWidth="1"/>
    <col min="11288" max="11291" width="10.25" style="2962" customWidth="1"/>
    <col min="11292" max="11292" width="28" style="2962" customWidth="1"/>
    <col min="11293" max="11293" width="9" style="2962" customWidth="1"/>
    <col min="11294" max="11294" width="100.375" style="2962" customWidth="1"/>
    <col min="11295" max="11297" width="12.125" style="2962" customWidth="1"/>
    <col min="11298" max="11299" width="18.25" style="2962" customWidth="1"/>
    <col min="11300" max="11301" width="16.375" style="2962" customWidth="1"/>
    <col min="11302" max="11303" width="25" style="2962" customWidth="1"/>
    <col min="11304" max="11304" width="7.125" style="2962" customWidth="1"/>
    <col min="11305" max="11305" width="18.5" style="2962" customWidth="1"/>
    <col min="11306" max="11306" width="19.25" style="2962" customWidth="1"/>
    <col min="11307" max="11308" width="23" style="2962" customWidth="1"/>
    <col min="11309" max="11309" width="9" style="2962" customWidth="1"/>
    <col min="11310" max="11520" width="8.875" style="2962"/>
    <col min="11521" max="11521" width="48" style="2962" customWidth="1"/>
    <col min="11522" max="11522" width="7.125" style="2962" customWidth="1"/>
    <col min="11523" max="11523" width="13.375" style="2962" customWidth="1"/>
    <col min="11524" max="11524" width="7.125" style="2962" customWidth="1"/>
    <col min="11525" max="11525" width="5.25" style="2962" customWidth="1"/>
    <col min="11526" max="11526" width="48" style="2962" customWidth="1"/>
    <col min="11527" max="11527" width="9" style="2962" customWidth="1"/>
    <col min="11528" max="11528" width="12.25" style="2962" customWidth="1"/>
    <col min="11529" max="11529" width="38.375" style="2962" customWidth="1"/>
    <col min="11530" max="11531" width="15.875" style="2962" customWidth="1"/>
    <col min="11532" max="11532" width="10.5" style="2962" customWidth="1"/>
    <col min="11533" max="11535" width="9" style="2962" customWidth="1"/>
    <col min="11536" max="11536" width="11" style="2962" customWidth="1"/>
    <col min="11537" max="11538" width="17.75" style="2962" customWidth="1"/>
    <col min="11539" max="11539" width="14.75" style="2962" customWidth="1"/>
    <col min="11540" max="11540" width="17.125" style="2962" customWidth="1"/>
    <col min="11541" max="11541" width="12.875" style="2962" customWidth="1"/>
    <col min="11542" max="11542" width="20.375" style="2962" customWidth="1"/>
    <col min="11543" max="11543" width="9" style="2962" customWidth="1"/>
    <col min="11544" max="11547" width="10.25" style="2962" customWidth="1"/>
    <col min="11548" max="11548" width="28" style="2962" customWidth="1"/>
    <col min="11549" max="11549" width="9" style="2962" customWidth="1"/>
    <col min="11550" max="11550" width="100.375" style="2962" customWidth="1"/>
    <col min="11551" max="11553" width="12.125" style="2962" customWidth="1"/>
    <col min="11554" max="11555" width="18.25" style="2962" customWidth="1"/>
    <col min="11556" max="11557" width="16.375" style="2962" customWidth="1"/>
    <col min="11558" max="11559" width="25" style="2962" customWidth="1"/>
    <col min="11560" max="11560" width="7.125" style="2962" customWidth="1"/>
    <col min="11561" max="11561" width="18.5" style="2962" customWidth="1"/>
    <col min="11562" max="11562" width="19.25" style="2962" customWidth="1"/>
    <col min="11563" max="11564" width="23" style="2962" customWidth="1"/>
    <col min="11565" max="11565" width="9" style="2962" customWidth="1"/>
    <col min="11566" max="11776" width="8.875" style="2962"/>
    <col min="11777" max="11777" width="48" style="2962" customWidth="1"/>
    <col min="11778" max="11778" width="7.125" style="2962" customWidth="1"/>
    <col min="11779" max="11779" width="13.375" style="2962" customWidth="1"/>
    <col min="11780" max="11780" width="7.125" style="2962" customWidth="1"/>
    <col min="11781" max="11781" width="5.25" style="2962" customWidth="1"/>
    <col min="11782" max="11782" width="48" style="2962" customWidth="1"/>
    <col min="11783" max="11783" width="9" style="2962" customWidth="1"/>
    <col min="11784" max="11784" width="12.25" style="2962" customWidth="1"/>
    <col min="11785" max="11785" width="38.375" style="2962" customWidth="1"/>
    <col min="11786" max="11787" width="15.875" style="2962" customWidth="1"/>
    <col min="11788" max="11788" width="10.5" style="2962" customWidth="1"/>
    <col min="11789" max="11791" width="9" style="2962" customWidth="1"/>
    <col min="11792" max="11792" width="11" style="2962" customWidth="1"/>
    <col min="11793" max="11794" width="17.75" style="2962" customWidth="1"/>
    <col min="11795" max="11795" width="14.75" style="2962" customWidth="1"/>
    <col min="11796" max="11796" width="17.125" style="2962" customWidth="1"/>
    <col min="11797" max="11797" width="12.875" style="2962" customWidth="1"/>
    <col min="11798" max="11798" width="20.375" style="2962" customWidth="1"/>
    <col min="11799" max="11799" width="9" style="2962" customWidth="1"/>
    <col min="11800" max="11803" width="10.25" style="2962" customWidth="1"/>
    <col min="11804" max="11804" width="28" style="2962" customWidth="1"/>
    <col min="11805" max="11805" width="9" style="2962" customWidth="1"/>
    <col min="11806" max="11806" width="100.375" style="2962" customWidth="1"/>
    <col min="11807" max="11809" width="12.125" style="2962" customWidth="1"/>
    <col min="11810" max="11811" width="18.25" style="2962" customWidth="1"/>
    <col min="11812" max="11813" width="16.375" style="2962" customWidth="1"/>
    <col min="11814" max="11815" width="25" style="2962" customWidth="1"/>
    <col min="11816" max="11816" width="7.125" style="2962" customWidth="1"/>
    <col min="11817" max="11817" width="18.5" style="2962" customWidth="1"/>
    <col min="11818" max="11818" width="19.25" style="2962" customWidth="1"/>
    <col min="11819" max="11820" width="23" style="2962" customWidth="1"/>
    <col min="11821" max="11821" width="9" style="2962" customWidth="1"/>
    <col min="11822" max="12032" width="8.875" style="2962"/>
    <col min="12033" max="12033" width="48" style="2962" customWidth="1"/>
    <col min="12034" max="12034" width="7.125" style="2962" customWidth="1"/>
    <col min="12035" max="12035" width="13.375" style="2962" customWidth="1"/>
    <col min="12036" max="12036" width="7.125" style="2962" customWidth="1"/>
    <col min="12037" max="12037" width="5.25" style="2962" customWidth="1"/>
    <col min="12038" max="12038" width="48" style="2962" customWidth="1"/>
    <col min="12039" max="12039" width="9" style="2962" customWidth="1"/>
    <col min="12040" max="12040" width="12.25" style="2962" customWidth="1"/>
    <col min="12041" max="12041" width="38.375" style="2962" customWidth="1"/>
    <col min="12042" max="12043" width="15.875" style="2962" customWidth="1"/>
    <col min="12044" max="12044" width="10.5" style="2962" customWidth="1"/>
    <col min="12045" max="12047" width="9" style="2962" customWidth="1"/>
    <col min="12048" max="12048" width="11" style="2962" customWidth="1"/>
    <col min="12049" max="12050" width="17.75" style="2962" customWidth="1"/>
    <col min="12051" max="12051" width="14.75" style="2962" customWidth="1"/>
    <col min="12052" max="12052" width="17.125" style="2962" customWidth="1"/>
    <col min="12053" max="12053" width="12.875" style="2962" customWidth="1"/>
    <col min="12054" max="12054" width="20.375" style="2962" customWidth="1"/>
    <col min="12055" max="12055" width="9" style="2962" customWidth="1"/>
    <col min="12056" max="12059" width="10.25" style="2962" customWidth="1"/>
    <col min="12060" max="12060" width="28" style="2962" customWidth="1"/>
    <col min="12061" max="12061" width="9" style="2962" customWidth="1"/>
    <col min="12062" max="12062" width="100.375" style="2962" customWidth="1"/>
    <col min="12063" max="12065" width="12.125" style="2962" customWidth="1"/>
    <col min="12066" max="12067" width="18.25" style="2962" customWidth="1"/>
    <col min="12068" max="12069" width="16.375" style="2962" customWidth="1"/>
    <col min="12070" max="12071" width="25" style="2962" customWidth="1"/>
    <col min="12072" max="12072" width="7.125" style="2962" customWidth="1"/>
    <col min="12073" max="12073" width="18.5" style="2962" customWidth="1"/>
    <col min="12074" max="12074" width="19.25" style="2962" customWidth="1"/>
    <col min="12075" max="12076" width="23" style="2962" customWidth="1"/>
    <col min="12077" max="12077" width="9" style="2962" customWidth="1"/>
    <col min="12078" max="12288" width="8.875" style="2962"/>
    <col min="12289" max="12289" width="48" style="2962" customWidth="1"/>
    <col min="12290" max="12290" width="7.125" style="2962" customWidth="1"/>
    <col min="12291" max="12291" width="13.375" style="2962" customWidth="1"/>
    <col min="12292" max="12292" width="7.125" style="2962" customWidth="1"/>
    <col min="12293" max="12293" width="5.25" style="2962" customWidth="1"/>
    <col min="12294" max="12294" width="48" style="2962" customWidth="1"/>
    <col min="12295" max="12295" width="9" style="2962" customWidth="1"/>
    <col min="12296" max="12296" width="12.25" style="2962" customWidth="1"/>
    <col min="12297" max="12297" width="38.375" style="2962" customWidth="1"/>
    <col min="12298" max="12299" width="15.875" style="2962" customWidth="1"/>
    <col min="12300" max="12300" width="10.5" style="2962" customWidth="1"/>
    <col min="12301" max="12303" width="9" style="2962" customWidth="1"/>
    <col min="12304" max="12304" width="11" style="2962" customWidth="1"/>
    <col min="12305" max="12306" width="17.75" style="2962" customWidth="1"/>
    <col min="12307" max="12307" width="14.75" style="2962" customWidth="1"/>
    <col min="12308" max="12308" width="17.125" style="2962" customWidth="1"/>
    <col min="12309" max="12309" width="12.875" style="2962" customWidth="1"/>
    <col min="12310" max="12310" width="20.375" style="2962" customWidth="1"/>
    <col min="12311" max="12311" width="9" style="2962" customWidth="1"/>
    <col min="12312" max="12315" width="10.25" style="2962" customWidth="1"/>
    <col min="12316" max="12316" width="28" style="2962" customWidth="1"/>
    <col min="12317" max="12317" width="9" style="2962" customWidth="1"/>
    <col min="12318" max="12318" width="100.375" style="2962" customWidth="1"/>
    <col min="12319" max="12321" width="12.125" style="2962" customWidth="1"/>
    <col min="12322" max="12323" width="18.25" style="2962" customWidth="1"/>
    <col min="12324" max="12325" width="16.375" style="2962" customWidth="1"/>
    <col min="12326" max="12327" width="25" style="2962" customWidth="1"/>
    <col min="12328" max="12328" width="7.125" style="2962" customWidth="1"/>
    <col min="12329" max="12329" width="18.5" style="2962" customWidth="1"/>
    <col min="12330" max="12330" width="19.25" style="2962" customWidth="1"/>
    <col min="12331" max="12332" width="23" style="2962" customWidth="1"/>
    <col min="12333" max="12333" width="9" style="2962" customWidth="1"/>
    <col min="12334" max="12544" width="8.875" style="2962"/>
    <col min="12545" max="12545" width="48" style="2962" customWidth="1"/>
    <col min="12546" max="12546" width="7.125" style="2962" customWidth="1"/>
    <col min="12547" max="12547" width="13.375" style="2962" customWidth="1"/>
    <col min="12548" max="12548" width="7.125" style="2962" customWidth="1"/>
    <col min="12549" max="12549" width="5.25" style="2962" customWidth="1"/>
    <col min="12550" max="12550" width="48" style="2962" customWidth="1"/>
    <col min="12551" max="12551" width="9" style="2962" customWidth="1"/>
    <col min="12552" max="12552" width="12.25" style="2962" customWidth="1"/>
    <col min="12553" max="12553" width="38.375" style="2962" customWidth="1"/>
    <col min="12554" max="12555" width="15.875" style="2962" customWidth="1"/>
    <col min="12556" max="12556" width="10.5" style="2962" customWidth="1"/>
    <col min="12557" max="12559" width="9" style="2962" customWidth="1"/>
    <col min="12560" max="12560" width="11" style="2962" customWidth="1"/>
    <col min="12561" max="12562" width="17.75" style="2962" customWidth="1"/>
    <col min="12563" max="12563" width="14.75" style="2962" customWidth="1"/>
    <col min="12564" max="12564" width="17.125" style="2962" customWidth="1"/>
    <col min="12565" max="12565" width="12.875" style="2962" customWidth="1"/>
    <col min="12566" max="12566" width="20.375" style="2962" customWidth="1"/>
    <col min="12567" max="12567" width="9" style="2962" customWidth="1"/>
    <col min="12568" max="12571" width="10.25" style="2962" customWidth="1"/>
    <col min="12572" max="12572" width="28" style="2962" customWidth="1"/>
    <col min="12573" max="12573" width="9" style="2962" customWidth="1"/>
    <col min="12574" max="12574" width="100.375" style="2962" customWidth="1"/>
    <col min="12575" max="12577" width="12.125" style="2962" customWidth="1"/>
    <col min="12578" max="12579" width="18.25" style="2962" customWidth="1"/>
    <col min="12580" max="12581" width="16.375" style="2962" customWidth="1"/>
    <col min="12582" max="12583" width="25" style="2962" customWidth="1"/>
    <col min="12584" max="12584" width="7.125" style="2962" customWidth="1"/>
    <col min="12585" max="12585" width="18.5" style="2962" customWidth="1"/>
    <col min="12586" max="12586" width="19.25" style="2962" customWidth="1"/>
    <col min="12587" max="12588" width="23" style="2962" customWidth="1"/>
    <col min="12589" max="12589" width="9" style="2962" customWidth="1"/>
    <col min="12590" max="12800" width="8.875" style="2962"/>
    <col min="12801" max="12801" width="48" style="2962" customWidth="1"/>
    <col min="12802" max="12802" width="7.125" style="2962" customWidth="1"/>
    <col min="12803" max="12803" width="13.375" style="2962" customWidth="1"/>
    <col min="12804" max="12804" width="7.125" style="2962" customWidth="1"/>
    <col min="12805" max="12805" width="5.25" style="2962" customWidth="1"/>
    <col min="12806" max="12806" width="48" style="2962" customWidth="1"/>
    <col min="12807" max="12807" width="9" style="2962" customWidth="1"/>
    <col min="12808" max="12808" width="12.25" style="2962" customWidth="1"/>
    <col min="12809" max="12809" width="38.375" style="2962" customWidth="1"/>
    <col min="12810" max="12811" width="15.875" style="2962" customWidth="1"/>
    <col min="12812" max="12812" width="10.5" style="2962" customWidth="1"/>
    <col min="12813" max="12815" width="9" style="2962" customWidth="1"/>
    <col min="12816" max="12816" width="11" style="2962" customWidth="1"/>
    <col min="12817" max="12818" width="17.75" style="2962" customWidth="1"/>
    <col min="12819" max="12819" width="14.75" style="2962" customWidth="1"/>
    <col min="12820" max="12820" width="17.125" style="2962" customWidth="1"/>
    <col min="12821" max="12821" width="12.875" style="2962" customWidth="1"/>
    <col min="12822" max="12822" width="20.375" style="2962" customWidth="1"/>
    <col min="12823" max="12823" width="9" style="2962" customWidth="1"/>
    <col min="12824" max="12827" width="10.25" style="2962" customWidth="1"/>
    <col min="12828" max="12828" width="28" style="2962" customWidth="1"/>
    <col min="12829" max="12829" width="9" style="2962" customWidth="1"/>
    <col min="12830" max="12830" width="100.375" style="2962" customWidth="1"/>
    <col min="12831" max="12833" width="12.125" style="2962" customWidth="1"/>
    <col min="12834" max="12835" width="18.25" style="2962" customWidth="1"/>
    <col min="12836" max="12837" width="16.375" style="2962" customWidth="1"/>
    <col min="12838" max="12839" width="25" style="2962" customWidth="1"/>
    <col min="12840" max="12840" width="7.125" style="2962" customWidth="1"/>
    <col min="12841" max="12841" width="18.5" style="2962" customWidth="1"/>
    <col min="12842" max="12842" width="19.25" style="2962" customWidth="1"/>
    <col min="12843" max="12844" width="23" style="2962" customWidth="1"/>
    <col min="12845" max="12845" width="9" style="2962" customWidth="1"/>
    <col min="12846" max="13056" width="8.875" style="2962"/>
    <col min="13057" max="13057" width="48" style="2962" customWidth="1"/>
    <col min="13058" max="13058" width="7.125" style="2962" customWidth="1"/>
    <col min="13059" max="13059" width="13.375" style="2962" customWidth="1"/>
    <col min="13060" max="13060" width="7.125" style="2962" customWidth="1"/>
    <col min="13061" max="13061" width="5.25" style="2962" customWidth="1"/>
    <col min="13062" max="13062" width="48" style="2962" customWidth="1"/>
    <col min="13063" max="13063" width="9" style="2962" customWidth="1"/>
    <col min="13064" max="13064" width="12.25" style="2962" customWidth="1"/>
    <col min="13065" max="13065" width="38.375" style="2962" customWidth="1"/>
    <col min="13066" max="13067" width="15.875" style="2962" customWidth="1"/>
    <col min="13068" max="13068" width="10.5" style="2962" customWidth="1"/>
    <col min="13069" max="13071" width="9" style="2962" customWidth="1"/>
    <col min="13072" max="13072" width="11" style="2962" customWidth="1"/>
    <col min="13073" max="13074" width="17.75" style="2962" customWidth="1"/>
    <col min="13075" max="13075" width="14.75" style="2962" customWidth="1"/>
    <col min="13076" max="13076" width="17.125" style="2962" customWidth="1"/>
    <col min="13077" max="13077" width="12.875" style="2962" customWidth="1"/>
    <col min="13078" max="13078" width="20.375" style="2962" customWidth="1"/>
    <col min="13079" max="13079" width="9" style="2962" customWidth="1"/>
    <col min="13080" max="13083" width="10.25" style="2962" customWidth="1"/>
    <col min="13084" max="13084" width="28" style="2962" customWidth="1"/>
    <col min="13085" max="13085" width="9" style="2962" customWidth="1"/>
    <col min="13086" max="13086" width="100.375" style="2962" customWidth="1"/>
    <col min="13087" max="13089" width="12.125" style="2962" customWidth="1"/>
    <col min="13090" max="13091" width="18.25" style="2962" customWidth="1"/>
    <col min="13092" max="13093" width="16.375" style="2962" customWidth="1"/>
    <col min="13094" max="13095" width="25" style="2962" customWidth="1"/>
    <col min="13096" max="13096" width="7.125" style="2962" customWidth="1"/>
    <col min="13097" max="13097" width="18.5" style="2962" customWidth="1"/>
    <col min="13098" max="13098" width="19.25" style="2962" customWidth="1"/>
    <col min="13099" max="13100" width="23" style="2962" customWidth="1"/>
    <col min="13101" max="13101" width="9" style="2962" customWidth="1"/>
    <col min="13102" max="13312" width="8.875" style="2962"/>
    <col min="13313" max="13313" width="48" style="2962" customWidth="1"/>
    <col min="13314" max="13314" width="7.125" style="2962" customWidth="1"/>
    <col min="13315" max="13315" width="13.375" style="2962" customWidth="1"/>
    <col min="13316" max="13316" width="7.125" style="2962" customWidth="1"/>
    <col min="13317" max="13317" width="5.25" style="2962" customWidth="1"/>
    <col min="13318" max="13318" width="48" style="2962" customWidth="1"/>
    <col min="13319" max="13319" width="9" style="2962" customWidth="1"/>
    <col min="13320" max="13320" width="12.25" style="2962" customWidth="1"/>
    <col min="13321" max="13321" width="38.375" style="2962" customWidth="1"/>
    <col min="13322" max="13323" width="15.875" style="2962" customWidth="1"/>
    <col min="13324" max="13324" width="10.5" style="2962" customWidth="1"/>
    <col min="13325" max="13327" width="9" style="2962" customWidth="1"/>
    <col min="13328" max="13328" width="11" style="2962" customWidth="1"/>
    <col min="13329" max="13330" width="17.75" style="2962" customWidth="1"/>
    <col min="13331" max="13331" width="14.75" style="2962" customWidth="1"/>
    <col min="13332" max="13332" width="17.125" style="2962" customWidth="1"/>
    <col min="13333" max="13333" width="12.875" style="2962" customWidth="1"/>
    <col min="13334" max="13334" width="20.375" style="2962" customWidth="1"/>
    <col min="13335" max="13335" width="9" style="2962" customWidth="1"/>
    <col min="13336" max="13339" width="10.25" style="2962" customWidth="1"/>
    <col min="13340" max="13340" width="28" style="2962" customWidth="1"/>
    <col min="13341" max="13341" width="9" style="2962" customWidth="1"/>
    <col min="13342" max="13342" width="100.375" style="2962" customWidth="1"/>
    <col min="13343" max="13345" width="12.125" style="2962" customWidth="1"/>
    <col min="13346" max="13347" width="18.25" style="2962" customWidth="1"/>
    <col min="13348" max="13349" width="16.375" style="2962" customWidth="1"/>
    <col min="13350" max="13351" width="25" style="2962" customWidth="1"/>
    <col min="13352" max="13352" width="7.125" style="2962" customWidth="1"/>
    <col min="13353" max="13353" width="18.5" style="2962" customWidth="1"/>
    <col min="13354" max="13354" width="19.25" style="2962" customWidth="1"/>
    <col min="13355" max="13356" width="23" style="2962" customWidth="1"/>
    <col min="13357" max="13357" width="9" style="2962" customWidth="1"/>
    <col min="13358" max="13568" width="8.875" style="2962"/>
    <col min="13569" max="13569" width="48" style="2962" customWidth="1"/>
    <col min="13570" max="13570" width="7.125" style="2962" customWidth="1"/>
    <col min="13571" max="13571" width="13.375" style="2962" customWidth="1"/>
    <col min="13572" max="13572" width="7.125" style="2962" customWidth="1"/>
    <col min="13573" max="13573" width="5.25" style="2962" customWidth="1"/>
    <col min="13574" max="13574" width="48" style="2962" customWidth="1"/>
    <col min="13575" max="13575" width="9" style="2962" customWidth="1"/>
    <col min="13576" max="13576" width="12.25" style="2962" customWidth="1"/>
    <col min="13577" max="13577" width="38.375" style="2962" customWidth="1"/>
    <col min="13578" max="13579" width="15.875" style="2962" customWidth="1"/>
    <col min="13580" max="13580" width="10.5" style="2962" customWidth="1"/>
    <col min="13581" max="13583" width="9" style="2962" customWidth="1"/>
    <col min="13584" max="13584" width="11" style="2962" customWidth="1"/>
    <col min="13585" max="13586" width="17.75" style="2962" customWidth="1"/>
    <col min="13587" max="13587" width="14.75" style="2962" customWidth="1"/>
    <col min="13588" max="13588" width="17.125" style="2962" customWidth="1"/>
    <col min="13589" max="13589" width="12.875" style="2962" customWidth="1"/>
    <col min="13590" max="13590" width="20.375" style="2962" customWidth="1"/>
    <col min="13591" max="13591" width="9" style="2962" customWidth="1"/>
    <col min="13592" max="13595" width="10.25" style="2962" customWidth="1"/>
    <col min="13596" max="13596" width="28" style="2962" customWidth="1"/>
    <col min="13597" max="13597" width="9" style="2962" customWidth="1"/>
    <col min="13598" max="13598" width="100.375" style="2962" customWidth="1"/>
    <col min="13599" max="13601" width="12.125" style="2962" customWidth="1"/>
    <col min="13602" max="13603" width="18.25" style="2962" customWidth="1"/>
    <col min="13604" max="13605" width="16.375" style="2962" customWidth="1"/>
    <col min="13606" max="13607" width="25" style="2962" customWidth="1"/>
    <col min="13608" max="13608" width="7.125" style="2962" customWidth="1"/>
    <col min="13609" max="13609" width="18.5" style="2962" customWidth="1"/>
    <col min="13610" max="13610" width="19.25" style="2962" customWidth="1"/>
    <col min="13611" max="13612" width="23" style="2962" customWidth="1"/>
    <col min="13613" max="13613" width="9" style="2962" customWidth="1"/>
    <col min="13614" max="13824" width="8.875" style="2962"/>
    <col min="13825" max="13825" width="48" style="2962" customWidth="1"/>
    <col min="13826" max="13826" width="7.125" style="2962" customWidth="1"/>
    <col min="13827" max="13827" width="13.375" style="2962" customWidth="1"/>
    <col min="13828" max="13828" width="7.125" style="2962" customWidth="1"/>
    <col min="13829" max="13829" width="5.25" style="2962" customWidth="1"/>
    <col min="13830" max="13830" width="48" style="2962" customWidth="1"/>
    <col min="13831" max="13831" width="9" style="2962" customWidth="1"/>
    <col min="13832" max="13832" width="12.25" style="2962" customWidth="1"/>
    <col min="13833" max="13833" width="38.375" style="2962" customWidth="1"/>
    <col min="13834" max="13835" width="15.875" style="2962" customWidth="1"/>
    <col min="13836" max="13836" width="10.5" style="2962" customWidth="1"/>
    <col min="13837" max="13839" width="9" style="2962" customWidth="1"/>
    <col min="13840" max="13840" width="11" style="2962" customWidth="1"/>
    <col min="13841" max="13842" width="17.75" style="2962" customWidth="1"/>
    <col min="13843" max="13843" width="14.75" style="2962" customWidth="1"/>
    <col min="13844" max="13844" width="17.125" style="2962" customWidth="1"/>
    <col min="13845" max="13845" width="12.875" style="2962" customWidth="1"/>
    <col min="13846" max="13846" width="20.375" style="2962" customWidth="1"/>
    <col min="13847" max="13847" width="9" style="2962" customWidth="1"/>
    <col min="13848" max="13851" width="10.25" style="2962" customWidth="1"/>
    <col min="13852" max="13852" width="28" style="2962" customWidth="1"/>
    <col min="13853" max="13853" width="9" style="2962" customWidth="1"/>
    <col min="13854" max="13854" width="100.375" style="2962" customWidth="1"/>
    <col min="13855" max="13857" width="12.125" style="2962" customWidth="1"/>
    <col min="13858" max="13859" width="18.25" style="2962" customWidth="1"/>
    <col min="13860" max="13861" width="16.375" style="2962" customWidth="1"/>
    <col min="13862" max="13863" width="25" style="2962" customWidth="1"/>
    <col min="13864" max="13864" width="7.125" style="2962" customWidth="1"/>
    <col min="13865" max="13865" width="18.5" style="2962" customWidth="1"/>
    <col min="13866" max="13866" width="19.25" style="2962" customWidth="1"/>
    <col min="13867" max="13868" width="23" style="2962" customWidth="1"/>
    <col min="13869" max="13869" width="9" style="2962" customWidth="1"/>
    <col min="13870" max="14080" width="8.875" style="2962"/>
    <col min="14081" max="14081" width="48" style="2962" customWidth="1"/>
    <col min="14082" max="14082" width="7.125" style="2962" customWidth="1"/>
    <col min="14083" max="14083" width="13.375" style="2962" customWidth="1"/>
    <col min="14084" max="14084" width="7.125" style="2962" customWidth="1"/>
    <col min="14085" max="14085" width="5.25" style="2962" customWidth="1"/>
    <col min="14086" max="14086" width="48" style="2962" customWidth="1"/>
    <col min="14087" max="14087" width="9" style="2962" customWidth="1"/>
    <col min="14088" max="14088" width="12.25" style="2962" customWidth="1"/>
    <col min="14089" max="14089" width="38.375" style="2962" customWidth="1"/>
    <col min="14090" max="14091" width="15.875" style="2962" customWidth="1"/>
    <col min="14092" max="14092" width="10.5" style="2962" customWidth="1"/>
    <col min="14093" max="14095" width="9" style="2962" customWidth="1"/>
    <col min="14096" max="14096" width="11" style="2962" customWidth="1"/>
    <col min="14097" max="14098" width="17.75" style="2962" customWidth="1"/>
    <col min="14099" max="14099" width="14.75" style="2962" customWidth="1"/>
    <col min="14100" max="14100" width="17.125" style="2962" customWidth="1"/>
    <col min="14101" max="14101" width="12.875" style="2962" customWidth="1"/>
    <col min="14102" max="14102" width="20.375" style="2962" customWidth="1"/>
    <col min="14103" max="14103" width="9" style="2962" customWidth="1"/>
    <col min="14104" max="14107" width="10.25" style="2962" customWidth="1"/>
    <col min="14108" max="14108" width="28" style="2962" customWidth="1"/>
    <col min="14109" max="14109" width="9" style="2962" customWidth="1"/>
    <col min="14110" max="14110" width="100.375" style="2962" customWidth="1"/>
    <col min="14111" max="14113" width="12.125" style="2962" customWidth="1"/>
    <col min="14114" max="14115" width="18.25" style="2962" customWidth="1"/>
    <col min="14116" max="14117" width="16.375" style="2962" customWidth="1"/>
    <col min="14118" max="14119" width="25" style="2962" customWidth="1"/>
    <col min="14120" max="14120" width="7.125" style="2962" customWidth="1"/>
    <col min="14121" max="14121" width="18.5" style="2962" customWidth="1"/>
    <col min="14122" max="14122" width="19.25" style="2962" customWidth="1"/>
    <col min="14123" max="14124" width="23" style="2962" customWidth="1"/>
    <col min="14125" max="14125" width="9" style="2962" customWidth="1"/>
    <col min="14126" max="14336" width="8.875" style="2962"/>
    <col min="14337" max="14337" width="48" style="2962" customWidth="1"/>
    <col min="14338" max="14338" width="7.125" style="2962" customWidth="1"/>
    <col min="14339" max="14339" width="13.375" style="2962" customWidth="1"/>
    <col min="14340" max="14340" width="7.125" style="2962" customWidth="1"/>
    <col min="14341" max="14341" width="5.25" style="2962" customWidth="1"/>
    <col min="14342" max="14342" width="48" style="2962" customWidth="1"/>
    <col min="14343" max="14343" width="9" style="2962" customWidth="1"/>
    <col min="14344" max="14344" width="12.25" style="2962" customWidth="1"/>
    <col min="14345" max="14345" width="38.375" style="2962" customWidth="1"/>
    <col min="14346" max="14347" width="15.875" style="2962" customWidth="1"/>
    <col min="14348" max="14348" width="10.5" style="2962" customWidth="1"/>
    <col min="14349" max="14351" width="9" style="2962" customWidth="1"/>
    <col min="14352" max="14352" width="11" style="2962" customWidth="1"/>
    <col min="14353" max="14354" width="17.75" style="2962" customWidth="1"/>
    <col min="14355" max="14355" width="14.75" style="2962" customWidth="1"/>
    <col min="14356" max="14356" width="17.125" style="2962" customWidth="1"/>
    <col min="14357" max="14357" width="12.875" style="2962" customWidth="1"/>
    <col min="14358" max="14358" width="20.375" style="2962" customWidth="1"/>
    <col min="14359" max="14359" width="9" style="2962" customWidth="1"/>
    <col min="14360" max="14363" width="10.25" style="2962" customWidth="1"/>
    <col min="14364" max="14364" width="28" style="2962" customWidth="1"/>
    <col min="14365" max="14365" width="9" style="2962" customWidth="1"/>
    <col min="14366" max="14366" width="100.375" style="2962" customWidth="1"/>
    <col min="14367" max="14369" width="12.125" style="2962" customWidth="1"/>
    <col min="14370" max="14371" width="18.25" style="2962" customWidth="1"/>
    <col min="14372" max="14373" width="16.375" style="2962" customWidth="1"/>
    <col min="14374" max="14375" width="25" style="2962" customWidth="1"/>
    <col min="14376" max="14376" width="7.125" style="2962" customWidth="1"/>
    <col min="14377" max="14377" width="18.5" style="2962" customWidth="1"/>
    <col min="14378" max="14378" width="19.25" style="2962" customWidth="1"/>
    <col min="14379" max="14380" width="23" style="2962" customWidth="1"/>
    <col min="14381" max="14381" width="9" style="2962" customWidth="1"/>
    <col min="14382" max="14592" width="8.875" style="2962"/>
    <col min="14593" max="14593" width="48" style="2962" customWidth="1"/>
    <col min="14594" max="14594" width="7.125" style="2962" customWidth="1"/>
    <col min="14595" max="14595" width="13.375" style="2962" customWidth="1"/>
    <col min="14596" max="14596" width="7.125" style="2962" customWidth="1"/>
    <col min="14597" max="14597" width="5.25" style="2962" customWidth="1"/>
    <col min="14598" max="14598" width="48" style="2962" customWidth="1"/>
    <col min="14599" max="14599" width="9" style="2962" customWidth="1"/>
    <col min="14600" max="14600" width="12.25" style="2962" customWidth="1"/>
    <col min="14601" max="14601" width="38.375" style="2962" customWidth="1"/>
    <col min="14602" max="14603" width="15.875" style="2962" customWidth="1"/>
    <col min="14604" max="14604" width="10.5" style="2962" customWidth="1"/>
    <col min="14605" max="14607" width="9" style="2962" customWidth="1"/>
    <col min="14608" max="14608" width="11" style="2962" customWidth="1"/>
    <col min="14609" max="14610" width="17.75" style="2962" customWidth="1"/>
    <col min="14611" max="14611" width="14.75" style="2962" customWidth="1"/>
    <col min="14612" max="14612" width="17.125" style="2962" customWidth="1"/>
    <col min="14613" max="14613" width="12.875" style="2962" customWidth="1"/>
    <col min="14614" max="14614" width="20.375" style="2962" customWidth="1"/>
    <col min="14615" max="14615" width="9" style="2962" customWidth="1"/>
    <col min="14616" max="14619" width="10.25" style="2962" customWidth="1"/>
    <col min="14620" max="14620" width="28" style="2962" customWidth="1"/>
    <col min="14621" max="14621" width="9" style="2962" customWidth="1"/>
    <col min="14622" max="14622" width="100.375" style="2962" customWidth="1"/>
    <col min="14623" max="14625" width="12.125" style="2962" customWidth="1"/>
    <col min="14626" max="14627" width="18.25" style="2962" customWidth="1"/>
    <col min="14628" max="14629" width="16.375" style="2962" customWidth="1"/>
    <col min="14630" max="14631" width="25" style="2962" customWidth="1"/>
    <col min="14632" max="14632" width="7.125" style="2962" customWidth="1"/>
    <col min="14633" max="14633" width="18.5" style="2962" customWidth="1"/>
    <col min="14634" max="14634" width="19.25" style="2962" customWidth="1"/>
    <col min="14635" max="14636" width="23" style="2962" customWidth="1"/>
    <col min="14637" max="14637" width="9" style="2962" customWidth="1"/>
    <col min="14638" max="14848" width="8.875" style="2962"/>
    <col min="14849" max="14849" width="48" style="2962" customWidth="1"/>
    <col min="14850" max="14850" width="7.125" style="2962" customWidth="1"/>
    <col min="14851" max="14851" width="13.375" style="2962" customWidth="1"/>
    <col min="14852" max="14852" width="7.125" style="2962" customWidth="1"/>
    <col min="14853" max="14853" width="5.25" style="2962" customWidth="1"/>
    <col min="14854" max="14854" width="48" style="2962" customWidth="1"/>
    <col min="14855" max="14855" width="9" style="2962" customWidth="1"/>
    <col min="14856" max="14856" width="12.25" style="2962" customWidth="1"/>
    <col min="14857" max="14857" width="38.375" style="2962" customWidth="1"/>
    <col min="14858" max="14859" width="15.875" style="2962" customWidth="1"/>
    <col min="14860" max="14860" width="10.5" style="2962" customWidth="1"/>
    <col min="14861" max="14863" width="9" style="2962" customWidth="1"/>
    <col min="14864" max="14864" width="11" style="2962" customWidth="1"/>
    <col min="14865" max="14866" width="17.75" style="2962" customWidth="1"/>
    <col min="14867" max="14867" width="14.75" style="2962" customWidth="1"/>
    <col min="14868" max="14868" width="17.125" style="2962" customWidth="1"/>
    <col min="14869" max="14869" width="12.875" style="2962" customWidth="1"/>
    <col min="14870" max="14870" width="20.375" style="2962" customWidth="1"/>
    <col min="14871" max="14871" width="9" style="2962" customWidth="1"/>
    <col min="14872" max="14875" width="10.25" style="2962" customWidth="1"/>
    <col min="14876" max="14876" width="28" style="2962" customWidth="1"/>
    <col min="14877" max="14877" width="9" style="2962" customWidth="1"/>
    <col min="14878" max="14878" width="100.375" style="2962" customWidth="1"/>
    <col min="14879" max="14881" width="12.125" style="2962" customWidth="1"/>
    <col min="14882" max="14883" width="18.25" style="2962" customWidth="1"/>
    <col min="14884" max="14885" width="16.375" style="2962" customWidth="1"/>
    <col min="14886" max="14887" width="25" style="2962" customWidth="1"/>
    <col min="14888" max="14888" width="7.125" style="2962" customWidth="1"/>
    <col min="14889" max="14889" width="18.5" style="2962" customWidth="1"/>
    <col min="14890" max="14890" width="19.25" style="2962" customWidth="1"/>
    <col min="14891" max="14892" width="23" style="2962" customWidth="1"/>
    <col min="14893" max="14893" width="9" style="2962" customWidth="1"/>
    <col min="14894" max="15104" width="8.875" style="2962"/>
    <col min="15105" max="15105" width="48" style="2962" customWidth="1"/>
    <col min="15106" max="15106" width="7.125" style="2962" customWidth="1"/>
    <col min="15107" max="15107" width="13.375" style="2962" customWidth="1"/>
    <col min="15108" max="15108" width="7.125" style="2962" customWidth="1"/>
    <col min="15109" max="15109" width="5.25" style="2962" customWidth="1"/>
    <col min="15110" max="15110" width="48" style="2962" customWidth="1"/>
    <col min="15111" max="15111" width="9" style="2962" customWidth="1"/>
    <col min="15112" max="15112" width="12.25" style="2962" customWidth="1"/>
    <col min="15113" max="15113" width="38.375" style="2962" customWidth="1"/>
    <col min="15114" max="15115" width="15.875" style="2962" customWidth="1"/>
    <col min="15116" max="15116" width="10.5" style="2962" customWidth="1"/>
    <col min="15117" max="15119" width="9" style="2962" customWidth="1"/>
    <col min="15120" max="15120" width="11" style="2962" customWidth="1"/>
    <col min="15121" max="15122" width="17.75" style="2962" customWidth="1"/>
    <col min="15123" max="15123" width="14.75" style="2962" customWidth="1"/>
    <col min="15124" max="15124" width="17.125" style="2962" customWidth="1"/>
    <col min="15125" max="15125" width="12.875" style="2962" customWidth="1"/>
    <col min="15126" max="15126" width="20.375" style="2962" customWidth="1"/>
    <col min="15127" max="15127" width="9" style="2962" customWidth="1"/>
    <col min="15128" max="15131" width="10.25" style="2962" customWidth="1"/>
    <col min="15132" max="15132" width="28" style="2962" customWidth="1"/>
    <col min="15133" max="15133" width="9" style="2962" customWidth="1"/>
    <col min="15134" max="15134" width="100.375" style="2962" customWidth="1"/>
    <col min="15135" max="15137" width="12.125" style="2962" customWidth="1"/>
    <col min="15138" max="15139" width="18.25" style="2962" customWidth="1"/>
    <col min="15140" max="15141" width="16.375" style="2962" customWidth="1"/>
    <col min="15142" max="15143" width="25" style="2962" customWidth="1"/>
    <col min="15144" max="15144" width="7.125" style="2962" customWidth="1"/>
    <col min="15145" max="15145" width="18.5" style="2962" customWidth="1"/>
    <col min="15146" max="15146" width="19.25" style="2962" customWidth="1"/>
    <col min="15147" max="15148" width="23" style="2962" customWidth="1"/>
    <col min="15149" max="15149" width="9" style="2962" customWidth="1"/>
    <col min="15150" max="15360" width="8.875" style="2962"/>
    <col min="15361" max="15361" width="48" style="2962" customWidth="1"/>
    <col min="15362" max="15362" width="7.125" style="2962" customWidth="1"/>
    <col min="15363" max="15363" width="13.375" style="2962" customWidth="1"/>
    <col min="15364" max="15364" width="7.125" style="2962" customWidth="1"/>
    <col min="15365" max="15365" width="5.25" style="2962" customWidth="1"/>
    <col min="15366" max="15366" width="48" style="2962" customWidth="1"/>
    <col min="15367" max="15367" width="9" style="2962" customWidth="1"/>
    <col min="15368" max="15368" width="12.25" style="2962" customWidth="1"/>
    <col min="15369" max="15369" width="38.375" style="2962" customWidth="1"/>
    <col min="15370" max="15371" width="15.875" style="2962" customWidth="1"/>
    <col min="15372" max="15372" width="10.5" style="2962" customWidth="1"/>
    <col min="15373" max="15375" width="9" style="2962" customWidth="1"/>
    <col min="15376" max="15376" width="11" style="2962" customWidth="1"/>
    <col min="15377" max="15378" width="17.75" style="2962" customWidth="1"/>
    <col min="15379" max="15379" width="14.75" style="2962" customWidth="1"/>
    <col min="15380" max="15380" width="17.125" style="2962" customWidth="1"/>
    <col min="15381" max="15381" width="12.875" style="2962" customWidth="1"/>
    <col min="15382" max="15382" width="20.375" style="2962" customWidth="1"/>
    <col min="15383" max="15383" width="9" style="2962" customWidth="1"/>
    <col min="15384" max="15387" width="10.25" style="2962" customWidth="1"/>
    <col min="15388" max="15388" width="28" style="2962" customWidth="1"/>
    <col min="15389" max="15389" width="9" style="2962" customWidth="1"/>
    <col min="15390" max="15390" width="100.375" style="2962" customWidth="1"/>
    <col min="15391" max="15393" width="12.125" style="2962" customWidth="1"/>
    <col min="15394" max="15395" width="18.25" style="2962" customWidth="1"/>
    <col min="15396" max="15397" width="16.375" style="2962" customWidth="1"/>
    <col min="15398" max="15399" width="25" style="2962" customWidth="1"/>
    <col min="15400" max="15400" width="7.125" style="2962" customWidth="1"/>
    <col min="15401" max="15401" width="18.5" style="2962" customWidth="1"/>
    <col min="15402" max="15402" width="19.25" style="2962" customWidth="1"/>
    <col min="15403" max="15404" width="23" style="2962" customWidth="1"/>
    <col min="15405" max="15405" width="9" style="2962" customWidth="1"/>
    <col min="15406" max="15616" width="8.875" style="2962"/>
    <col min="15617" max="15617" width="48" style="2962" customWidth="1"/>
    <col min="15618" max="15618" width="7.125" style="2962" customWidth="1"/>
    <col min="15619" max="15619" width="13.375" style="2962" customWidth="1"/>
    <col min="15620" max="15620" width="7.125" style="2962" customWidth="1"/>
    <col min="15621" max="15621" width="5.25" style="2962" customWidth="1"/>
    <col min="15622" max="15622" width="48" style="2962" customWidth="1"/>
    <col min="15623" max="15623" width="9" style="2962" customWidth="1"/>
    <col min="15624" max="15624" width="12.25" style="2962" customWidth="1"/>
    <col min="15625" max="15625" width="38.375" style="2962" customWidth="1"/>
    <col min="15626" max="15627" width="15.875" style="2962" customWidth="1"/>
    <col min="15628" max="15628" width="10.5" style="2962" customWidth="1"/>
    <col min="15629" max="15631" width="9" style="2962" customWidth="1"/>
    <col min="15632" max="15632" width="11" style="2962" customWidth="1"/>
    <col min="15633" max="15634" width="17.75" style="2962" customWidth="1"/>
    <col min="15635" max="15635" width="14.75" style="2962" customWidth="1"/>
    <col min="15636" max="15636" width="17.125" style="2962" customWidth="1"/>
    <col min="15637" max="15637" width="12.875" style="2962" customWidth="1"/>
    <col min="15638" max="15638" width="20.375" style="2962" customWidth="1"/>
    <col min="15639" max="15639" width="9" style="2962" customWidth="1"/>
    <col min="15640" max="15643" width="10.25" style="2962" customWidth="1"/>
    <col min="15644" max="15644" width="28" style="2962" customWidth="1"/>
    <col min="15645" max="15645" width="9" style="2962" customWidth="1"/>
    <col min="15646" max="15646" width="100.375" style="2962" customWidth="1"/>
    <col min="15647" max="15649" width="12.125" style="2962" customWidth="1"/>
    <col min="15650" max="15651" width="18.25" style="2962" customWidth="1"/>
    <col min="15652" max="15653" width="16.375" style="2962" customWidth="1"/>
    <col min="15654" max="15655" width="25" style="2962" customWidth="1"/>
    <col min="15656" max="15656" width="7.125" style="2962" customWidth="1"/>
    <col min="15657" max="15657" width="18.5" style="2962" customWidth="1"/>
    <col min="15658" max="15658" width="19.25" style="2962" customWidth="1"/>
    <col min="15659" max="15660" width="23" style="2962" customWidth="1"/>
    <col min="15661" max="15661" width="9" style="2962" customWidth="1"/>
    <col min="15662" max="15872" width="8.875" style="2962"/>
    <col min="15873" max="15873" width="48" style="2962" customWidth="1"/>
    <col min="15874" max="15874" width="7.125" style="2962" customWidth="1"/>
    <col min="15875" max="15875" width="13.375" style="2962" customWidth="1"/>
    <col min="15876" max="15876" width="7.125" style="2962" customWidth="1"/>
    <col min="15877" max="15877" width="5.25" style="2962" customWidth="1"/>
    <col min="15878" max="15878" width="48" style="2962" customWidth="1"/>
    <col min="15879" max="15879" width="9" style="2962" customWidth="1"/>
    <col min="15880" max="15880" width="12.25" style="2962" customWidth="1"/>
    <col min="15881" max="15881" width="38.375" style="2962" customWidth="1"/>
    <col min="15882" max="15883" width="15.875" style="2962" customWidth="1"/>
    <col min="15884" max="15884" width="10.5" style="2962" customWidth="1"/>
    <col min="15885" max="15887" width="9" style="2962" customWidth="1"/>
    <col min="15888" max="15888" width="11" style="2962" customWidth="1"/>
    <col min="15889" max="15890" width="17.75" style="2962" customWidth="1"/>
    <col min="15891" max="15891" width="14.75" style="2962" customWidth="1"/>
    <col min="15892" max="15892" width="17.125" style="2962" customWidth="1"/>
    <col min="15893" max="15893" width="12.875" style="2962" customWidth="1"/>
    <col min="15894" max="15894" width="20.375" style="2962" customWidth="1"/>
    <col min="15895" max="15895" width="9" style="2962" customWidth="1"/>
    <col min="15896" max="15899" width="10.25" style="2962" customWidth="1"/>
    <col min="15900" max="15900" width="28" style="2962" customWidth="1"/>
    <col min="15901" max="15901" width="9" style="2962" customWidth="1"/>
    <col min="15902" max="15902" width="100.375" style="2962" customWidth="1"/>
    <col min="15903" max="15905" width="12.125" style="2962" customWidth="1"/>
    <col min="15906" max="15907" width="18.25" style="2962" customWidth="1"/>
    <col min="15908" max="15909" width="16.375" style="2962" customWidth="1"/>
    <col min="15910" max="15911" width="25" style="2962" customWidth="1"/>
    <col min="15912" max="15912" width="7.125" style="2962" customWidth="1"/>
    <col min="15913" max="15913" width="18.5" style="2962" customWidth="1"/>
    <col min="15914" max="15914" width="19.25" style="2962" customWidth="1"/>
    <col min="15915" max="15916" width="23" style="2962" customWidth="1"/>
    <col min="15917" max="15917" width="9" style="2962" customWidth="1"/>
    <col min="15918" max="16128" width="8.875" style="2962"/>
    <col min="16129" max="16129" width="48" style="2962" customWidth="1"/>
    <col min="16130" max="16130" width="7.125" style="2962" customWidth="1"/>
    <col min="16131" max="16131" width="13.375" style="2962" customWidth="1"/>
    <col min="16132" max="16132" width="7.125" style="2962" customWidth="1"/>
    <col min="16133" max="16133" width="5.25" style="2962" customWidth="1"/>
    <col min="16134" max="16134" width="48" style="2962" customWidth="1"/>
    <col min="16135" max="16135" width="9" style="2962" customWidth="1"/>
    <col min="16136" max="16136" width="12.25" style="2962" customWidth="1"/>
    <col min="16137" max="16137" width="38.375" style="2962" customWidth="1"/>
    <col min="16138" max="16139" width="15.875" style="2962" customWidth="1"/>
    <col min="16140" max="16140" width="10.5" style="2962" customWidth="1"/>
    <col min="16141" max="16143" width="9" style="2962" customWidth="1"/>
    <col min="16144" max="16144" width="11" style="2962" customWidth="1"/>
    <col min="16145" max="16146" width="17.75" style="2962" customWidth="1"/>
    <col min="16147" max="16147" width="14.75" style="2962" customWidth="1"/>
    <col min="16148" max="16148" width="17.125" style="2962" customWidth="1"/>
    <col min="16149" max="16149" width="12.875" style="2962" customWidth="1"/>
    <col min="16150" max="16150" width="20.375" style="2962" customWidth="1"/>
    <col min="16151" max="16151" width="9" style="2962" customWidth="1"/>
    <col min="16152" max="16155" width="10.25" style="2962" customWidth="1"/>
    <col min="16156" max="16156" width="28" style="2962" customWidth="1"/>
    <col min="16157" max="16157" width="9" style="2962" customWidth="1"/>
    <col min="16158" max="16158" width="100.375" style="2962" customWidth="1"/>
    <col min="16159" max="16161" width="12.125" style="2962" customWidth="1"/>
    <col min="16162" max="16163" width="18.25" style="2962" customWidth="1"/>
    <col min="16164" max="16165" width="16.375" style="2962" customWidth="1"/>
    <col min="16166" max="16167" width="25" style="2962" customWidth="1"/>
    <col min="16168" max="16168" width="7.125" style="2962" customWidth="1"/>
    <col min="16169" max="16169" width="18.5" style="2962" customWidth="1"/>
    <col min="16170" max="16170" width="19.25" style="2962" customWidth="1"/>
    <col min="16171" max="16172" width="23" style="2962" customWidth="1"/>
    <col min="16173" max="16173" width="9" style="2962" customWidth="1"/>
    <col min="16174" max="16384" width="8.875" style="2962"/>
  </cols>
  <sheetData>
    <row r="1" spans="1:45">
      <c r="A1" s="2962" t="s">
        <v>3093</v>
      </c>
      <c r="B1" s="2962" t="s">
        <v>3094</v>
      </c>
      <c r="C1" s="2962" t="s">
        <v>3095</v>
      </c>
      <c r="D1" s="2962" t="s">
        <v>3096</v>
      </c>
      <c r="E1" s="2962" t="s">
        <v>3097</v>
      </c>
      <c r="F1" s="2962" t="s">
        <v>3098</v>
      </c>
      <c r="G1" s="2962" t="s">
        <v>3099</v>
      </c>
      <c r="H1" s="2962" t="s">
        <v>3100</v>
      </c>
      <c r="I1" s="2962" t="s">
        <v>3101</v>
      </c>
      <c r="J1" s="2962" t="s">
        <v>3102</v>
      </c>
      <c r="K1" s="2962" t="s">
        <v>3103</v>
      </c>
      <c r="L1" s="2962" t="s">
        <v>3104</v>
      </c>
      <c r="M1" s="2962" t="s">
        <v>3105</v>
      </c>
      <c r="N1" s="2962" t="s">
        <v>3106</v>
      </c>
      <c r="O1" s="2962" t="s">
        <v>3107</v>
      </c>
      <c r="P1" s="2962" t="s">
        <v>3108</v>
      </c>
      <c r="Q1" s="2962" t="s">
        <v>3109</v>
      </c>
      <c r="R1" s="2962" t="s">
        <v>3110</v>
      </c>
      <c r="S1" s="2962" t="s">
        <v>3111</v>
      </c>
      <c r="T1" s="2962" t="s">
        <v>3112</v>
      </c>
      <c r="U1" s="2962" t="s">
        <v>3113</v>
      </c>
      <c r="V1" s="2962" t="s">
        <v>3114</v>
      </c>
      <c r="W1" s="2962" t="s">
        <v>3115</v>
      </c>
      <c r="X1" s="2962" t="s">
        <v>3116</v>
      </c>
      <c r="Y1" s="2962" t="s">
        <v>3117</v>
      </c>
      <c r="Z1" s="2962" t="s">
        <v>3118</v>
      </c>
      <c r="AA1" s="2962" t="s">
        <v>3119</v>
      </c>
      <c r="AB1" s="2962" t="s">
        <v>3120</v>
      </c>
      <c r="AC1" s="2962" t="s">
        <v>3121</v>
      </c>
      <c r="AD1" s="2962" t="s">
        <v>3122</v>
      </c>
      <c r="AE1" s="2962" t="s">
        <v>3123</v>
      </c>
      <c r="AF1" s="2962" t="s">
        <v>3124</v>
      </c>
      <c r="AG1" s="2962" t="s">
        <v>3125</v>
      </c>
      <c r="AH1" s="2962" t="s">
        <v>3126</v>
      </c>
      <c r="AI1" s="2962" t="s">
        <v>3127</v>
      </c>
      <c r="AJ1" s="2962" t="s">
        <v>3128</v>
      </c>
      <c r="AK1" s="2962" t="s">
        <v>3129</v>
      </c>
      <c r="AL1" s="2962" t="s">
        <v>3130</v>
      </c>
      <c r="AM1" s="2962" t="s">
        <v>3131</v>
      </c>
      <c r="AN1" s="2962" t="s">
        <v>3132</v>
      </c>
      <c r="AO1" s="2962" t="s">
        <v>3133</v>
      </c>
      <c r="AP1" s="2962" t="s">
        <v>3134</v>
      </c>
      <c r="AQ1" s="2962" t="s">
        <v>3135</v>
      </c>
      <c r="AR1" s="2962" t="s">
        <v>3136</v>
      </c>
      <c r="AS1" s="2962" t="s">
        <v>3137</v>
      </c>
    </row>
    <row r="2" spans="1:45">
      <c r="A2" s="2962" t="s">
        <v>3138</v>
      </c>
      <c r="B2" s="2962" t="s">
        <v>3139</v>
      </c>
      <c r="C2" s="2962" t="s">
        <v>3140</v>
      </c>
      <c r="D2" s="2962" t="s">
        <v>3141</v>
      </c>
      <c r="E2" s="2962" t="s">
        <v>1327</v>
      </c>
      <c r="F2" s="2962" t="s">
        <v>3138</v>
      </c>
      <c r="G2" s="2962" t="s">
        <v>3142</v>
      </c>
      <c r="H2" s="2962" t="s">
        <v>3143</v>
      </c>
      <c r="I2" s="2962" t="s">
        <v>3144</v>
      </c>
      <c r="J2" s="2962">
        <v>33114</v>
      </c>
      <c r="K2" s="2962">
        <v>16557</v>
      </c>
      <c r="L2" s="2962" t="s">
        <v>3145</v>
      </c>
      <c r="M2" s="2962" t="s">
        <v>1327</v>
      </c>
      <c r="N2" s="2962" t="s">
        <v>3146</v>
      </c>
      <c r="O2" s="2962" t="s">
        <v>1327</v>
      </c>
      <c r="P2" s="2962" t="s">
        <v>1327</v>
      </c>
      <c r="Q2" s="2962" t="s">
        <v>1327</v>
      </c>
      <c r="R2" s="2962" t="s">
        <v>1327</v>
      </c>
      <c r="S2" s="2962" t="s">
        <v>1327</v>
      </c>
      <c r="T2" s="2962" t="s">
        <v>1327</v>
      </c>
      <c r="U2" s="2962" t="s">
        <v>1327</v>
      </c>
      <c r="V2" s="2962" t="s">
        <v>1327</v>
      </c>
      <c r="W2" s="2962" t="s">
        <v>3147</v>
      </c>
      <c r="X2" s="2962" t="s">
        <v>3148</v>
      </c>
      <c r="Y2" s="2962" t="s">
        <v>3149</v>
      </c>
      <c r="Z2" s="2962" t="s">
        <v>3149</v>
      </c>
      <c r="AA2" s="2962" t="s">
        <v>3149</v>
      </c>
      <c r="AB2" s="2962" t="s">
        <v>3150</v>
      </c>
      <c r="AC2" s="2962" t="s">
        <v>3151</v>
      </c>
      <c r="AD2" s="2962" t="s">
        <v>3152</v>
      </c>
      <c r="AE2" s="2962">
        <v>10144.469999999999</v>
      </c>
      <c r="AF2" s="2962">
        <v>10144.459999999999</v>
      </c>
      <c r="AG2" s="2962">
        <v>10144.459999999999</v>
      </c>
      <c r="AH2" s="2962">
        <v>204.23</v>
      </c>
      <c r="AI2" s="2962">
        <v>204.23</v>
      </c>
      <c r="AJ2" s="2962">
        <v>6126.99</v>
      </c>
      <c r="AK2" s="2962">
        <v>6127</v>
      </c>
      <c r="AL2" s="2962" t="s">
        <v>1327</v>
      </c>
      <c r="AM2" s="2962" t="s">
        <v>1327</v>
      </c>
      <c r="AN2" s="2962">
        <v>0</v>
      </c>
      <c r="AO2" s="2962" t="s">
        <v>3153</v>
      </c>
      <c r="AP2" s="2962" t="s">
        <v>1327</v>
      </c>
      <c r="AQ2" s="2962" t="s">
        <v>1327</v>
      </c>
      <c r="AR2" s="2962" t="s">
        <v>1327</v>
      </c>
      <c r="AS2" s="2962" t="s">
        <v>3154</v>
      </c>
    </row>
    <row r="3" spans="1:45">
      <c r="A3" s="2962" t="s">
        <v>3155</v>
      </c>
      <c r="B3" s="2962" t="s">
        <v>3139</v>
      </c>
      <c r="C3" s="2962" t="s">
        <v>3140</v>
      </c>
      <c r="D3" s="2962" t="s">
        <v>3141</v>
      </c>
      <c r="E3" s="2962" t="s">
        <v>1327</v>
      </c>
      <c r="F3" s="2962" t="s">
        <v>3155</v>
      </c>
      <c r="G3" s="2962" t="s">
        <v>3142</v>
      </c>
      <c r="H3" s="2962" t="s">
        <v>3156</v>
      </c>
      <c r="I3" s="2962" t="s">
        <v>3157</v>
      </c>
      <c r="J3" s="2962">
        <v>9122</v>
      </c>
      <c r="K3" s="2962">
        <v>18244</v>
      </c>
      <c r="L3" s="2962" t="s">
        <v>3158</v>
      </c>
      <c r="M3" s="2962" t="s">
        <v>1327</v>
      </c>
      <c r="N3" s="2962" t="s">
        <v>3159</v>
      </c>
      <c r="O3" s="2962" t="s">
        <v>1327</v>
      </c>
      <c r="P3" s="2962" t="s">
        <v>1327</v>
      </c>
      <c r="Q3" s="2962" t="s">
        <v>1327</v>
      </c>
      <c r="R3" s="2962" t="s">
        <v>1327</v>
      </c>
      <c r="S3" s="2962" t="s">
        <v>1327</v>
      </c>
      <c r="T3" s="2962" t="s">
        <v>1327</v>
      </c>
      <c r="U3" s="2962" t="s">
        <v>1327</v>
      </c>
      <c r="V3" s="2962" t="s">
        <v>1327</v>
      </c>
      <c r="W3" s="2962" t="s">
        <v>3147</v>
      </c>
      <c r="X3" s="2962" t="s">
        <v>3160</v>
      </c>
      <c r="Y3" s="2962" t="s">
        <v>3161</v>
      </c>
      <c r="Z3" s="2962" t="s">
        <v>3161</v>
      </c>
      <c r="AA3" s="2962" t="s">
        <v>3161</v>
      </c>
      <c r="AB3" s="2962" t="s">
        <v>3162</v>
      </c>
      <c r="AC3" s="2962" t="s">
        <v>3151</v>
      </c>
      <c r="AD3" s="2962" t="s">
        <v>3163</v>
      </c>
      <c r="AE3" s="2962">
        <v>4924.0600000000004</v>
      </c>
      <c r="AF3" s="2962">
        <v>4924.0600000000004</v>
      </c>
      <c r="AG3" s="2962">
        <v>4924.0600000000004</v>
      </c>
      <c r="AH3" s="2962">
        <v>359.87</v>
      </c>
      <c r="AI3" s="2962">
        <v>359.87</v>
      </c>
      <c r="AJ3" s="2962">
        <v>2699</v>
      </c>
      <c r="AK3" s="2962">
        <v>2699</v>
      </c>
      <c r="AL3" s="2962" t="s">
        <v>1327</v>
      </c>
      <c r="AM3" s="2962" t="s">
        <v>1327</v>
      </c>
      <c r="AN3" s="2962">
        <v>0</v>
      </c>
      <c r="AO3" s="2962" t="s">
        <v>3153</v>
      </c>
      <c r="AP3" s="2962" t="s">
        <v>1327</v>
      </c>
      <c r="AQ3" s="2962" t="s">
        <v>1327</v>
      </c>
      <c r="AR3" s="2962" t="s">
        <v>1327</v>
      </c>
      <c r="AS3" s="2962" t="s">
        <v>3164</v>
      </c>
    </row>
    <row r="4" spans="1:45">
      <c r="A4" s="2962" t="s">
        <v>3165</v>
      </c>
      <c r="B4" s="2962" t="s">
        <v>3139</v>
      </c>
      <c r="C4" s="2962" t="s">
        <v>3140</v>
      </c>
      <c r="D4" s="2962" t="s">
        <v>3141</v>
      </c>
      <c r="E4" s="2962" t="s">
        <v>1327</v>
      </c>
      <c r="F4" s="2962" t="s">
        <v>3165</v>
      </c>
      <c r="G4" s="2962" t="s">
        <v>3142</v>
      </c>
      <c r="H4" s="2962" t="s">
        <v>3166</v>
      </c>
      <c r="I4" s="2962" t="s">
        <v>3157</v>
      </c>
      <c r="J4" s="2962">
        <v>5158</v>
      </c>
      <c r="K4" s="2962">
        <v>10316</v>
      </c>
      <c r="L4" s="2962" t="s">
        <v>3158</v>
      </c>
      <c r="M4" s="2962" t="s">
        <v>1327</v>
      </c>
      <c r="N4" s="2962" t="s">
        <v>3159</v>
      </c>
      <c r="O4" s="2962" t="s">
        <v>1327</v>
      </c>
      <c r="P4" s="2962" t="s">
        <v>1327</v>
      </c>
      <c r="Q4" s="2962" t="s">
        <v>1327</v>
      </c>
      <c r="R4" s="2962" t="s">
        <v>1327</v>
      </c>
      <c r="S4" s="2962" t="s">
        <v>1327</v>
      </c>
      <c r="T4" s="2962" t="s">
        <v>1327</v>
      </c>
      <c r="U4" s="2962" t="s">
        <v>1327</v>
      </c>
      <c r="V4" s="2962" t="s">
        <v>1327</v>
      </c>
      <c r="W4" s="2962" t="s">
        <v>3147</v>
      </c>
      <c r="X4" s="2962" t="s">
        <v>3160</v>
      </c>
      <c r="Y4" s="2962" t="s">
        <v>3161</v>
      </c>
      <c r="Z4" s="2962" t="s">
        <v>3161</v>
      </c>
      <c r="AA4" s="2962" t="s">
        <v>3161</v>
      </c>
      <c r="AB4" s="2962" t="s">
        <v>3167</v>
      </c>
      <c r="AC4" s="2962" t="s">
        <v>3151</v>
      </c>
      <c r="AD4" s="2962" t="s">
        <v>3163</v>
      </c>
      <c r="AE4" s="2962">
        <v>2778.1</v>
      </c>
      <c r="AF4" s="2962">
        <v>2778.09</v>
      </c>
      <c r="AG4" s="2962">
        <v>2778.09</v>
      </c>
      <c r="AH4" s="2962">
        <v>359.07</v>
      </c>
      <c r="AI4" s="2962">
        <v>359.07</v>
      </c>
      <c r="AJ4" s="2962">
        <v>2693</v>
      </c>
      <c r="AK4" s="2962">
        <v>2693</v>
      </c>
      <c r="AL4" s="2962" t="s">
        <v>1327</v>
      </c>
      <c r="AM4" s="2962" t="s">
        <v>1327</v>
      </c>
      <c r="AN4" s="2962">
        <v>0</v>
      </c>
      <c r="AO4" s="2962" t="s">
        <v>3153</v>
      </c>
      <c r="AP4" s="2962" t="s">
        <v>1327</v>
      </c>
      <c r="AQ4" s="2962" t="s">
        <v>1327</v>
      </c>
      <c r="AR4" s="2962" t="s">
        <v>1327</v>
      </c>
      <c r="AS4" s="2962" t="s">
        <v>3164</v>
      </c>
    </row>
    <row r="5" spans="1:45" s="2963" customFormat="1">
      <c r="A5" s="2963" t="s">
        <v>3165</v>
      </c>
      <c r="B5" s="2963" t="s">
        <v>3139</v>
      </c>
      <c r="C5" s="2963" t="s">
        <v>3140</v>
      </c>
      <c r="D5" s="2963" t="s">
        <v>3141</v>
      </c>
      <c r="E5" s="2963" t="s">
        <v>1327</v>
      </c>
      <c r="F5" s="2963" t="s">
        <v>3165</v>
      </c>
      <c r="G5" s="2963" t="s">
        <v>3142</v>
      </c>
      <c r="H5" s="2963" t="s">
        <v>3168</v>
      </c>
      <c r="I5" s="2963" t="s">
        <v>3157</v>
      </c>
      <c r="J5" s="2963">
        <v>7706</v>
      </c>
      <c r="K5" s="2963">
        <v>8476.6</v>
      </c>
      <c r="L5" s="2963" t="s">
        <v>3169</v>
      </c>
      <c r="M5" s="2963" t="s">
        <v>1327</v>
      </c>
      <c r="N5" s="2963" t="s">
        <v>3159</v>
      </c>
      <c r="O5" s="2963" t="s">
        <v>1327</v>
      </c>
      <c r="P5" s="2963" t="s">
        <v>1327</v>
      </c>
      <c r="Q5" s="2963" t="s">
        <v>1327</v>
      </c>
      <c r="R5" s="2963" t="s">
        <v>1327</v>
      </c>
      <c r="S5" s="2963" t="s">
        <v>1327</v>
      </c>
      <c r="T5" s="2963" t="s">
        <v>1327</v>
      </c>
      <c r="U5" s="2963" t="s">
        <v>1327</v>
      </c>
      <c r="V5" s="2963" t="s">
        <v>1327</v>
      </c>
      <c r="W5" s="2963" t="s">
        <v>3147</v>
      </c>
      <c r="X5" s="2963" t="s">
        <v>3160</v>
      </c>
      <c r="Y5" s="2963" t="s">
        <v>3161</v>
      </c>
      <c r="Z5" s="2963" t="s">
        <v>3161</v>
      </c>
      <c r="AA5" s="2963" t="s">
        <v>3161</v>
      </c>
      <c r="AB5" s="2963" t="s">
        <v>3170</v>
      </c>
      <c r="AC5" s="2963" t="s">
        <v>3151</v>
      </c>
      <c r="AD5" s="2963" t="s">
        <v>3163</v>
      </c>
      <c r="AE5" s="2963">
        <v>2788.8</v>
      </c>
      <c r="AF5" s="2963">
        <v>2788.8</v>
      </c>
      <c r="AG5" s="2963">
        <v>2788.8</v>
      </c>
      <c r="AH5" s="2963">
        <v>241.27</v>
      </c>
      <c r="AI5" s="2963">
        <v>241.27</v>
      </c>
      <c r="AJ5" s="2963">
        <v>3289.99</v>
      </c>
      <c r="AK5" s="2963">
        <v>3290</v>
      </c>
      <c r="AL5" s="2963" t="s">
        <v>1327</v>
      </c>
      <c r="AM5" s="2963" t="s">
        <v>1327</v>
      </c>
      <c r="AN5" s="2963">
        <v>0</v>
      </c>
      <c r="AO5" s="2963" t="s">
        <v>3153</v>
      </c>
      <c r="AP5" s="2963" t="s">
        <v>1327</v>
      </c>
      <c r="AQ5" s="2963" t="s">
        <v>1327</v>
      </c>
      <c r="AR5" s="2963" t="s">
        <v>1327</v>
      </c>
      <c r="AS5" s="2963" t="s">
        <v>3164</v>
      </c>
    </row>
    <row r="6" spans="1:45">
      <c r="A6" s="2962" t="s">
        <v>3171</v>
      </c>
      <c r="B6" s="2962" t="s">
        <v>3139</v>
      </c>
      <c r="C6" s="2962" t="s">
        <v>3140</v>
      </c>
      <c r="D6" s="2962" t="s">
        <v>3141</v>
      </c>
      <c r="E6" s="2962" t="s">
        <v>1327</v>
      </c>
      <c r="F6" s="2962" t="s">
        <v>3171</v>
      </c>
      <c r="G6" s="2962" t="s">
        <v>3142</v>
      </c>
      <c r="H6" s="2962" t="s">
        <v>3172</v>
      </c>
      <c r="I6" s="2962" t="s">
        <v>3157</v>
      </c>
      <c r="J6" s="2962">
        <v>25265</v>
      </c>
      <c r="K6" s="2962">
        <v>50530</v>
      </c>
      <c r="L6" s="2962" t="s">
        <v>3173</v>
      </c>
      <c r="M6" s="2962" t="s">
        <v>1327</v>
      </c>
      <c r="N6" s="2962" t="s">
        <v>3174</v>
      </c>
      <c r="O6" s="2962" t="s">
        <v>1327</v>
      </c>
      <c r="P6" s="2962" t="s">
        <v>1327</v>
      </c>
      <c r="Q6" s="2962" t="s">
        <v>1327</v>
      </c>
      <c r="R6" s="2962" t="s">
        <v>1327</v>
      </c>
      <c r="S6" s="2962" t="s">
        <v>1327</v>
      </c>
      <c r="T6" s="2962" t="s">
        <v>1327</v>
      </c>
      <c r="U6" s="2962" t="s">
        <v>1327</v>
      </c>
      <c r="V6" s="2962" t="s">
        <v>1327</v>
      </c>
      <c r="W6" s="2962" t="s">
        <v>3147</v>
      </c>
      <c r="X6" s="2962" t="s">
        <v>3175</v>
      </c>
      <c r="Y6" s="2962" t="s">
        <v>3176</v>
      </c>
      <c r="Z6" s="2962" t="s">
        <v>3176</v>
      </c>
      <c r="AA6" s="2962" t="s">
        <v>3176</v>
      </c>
      <c r="AB6" s="2962" t="s">
        <v>3177</v>
      </c>
      <c r="AC6" s="2962" t="s">
        <v>3151</v>
      </c>
      <c r="AD6" s="2962" t="s">
        <v>3178</v>
      </c>
      <c r="AE6" s="2962">
        <v>9797.77</v>
      </c>
      <c r="AF6" s="2962">
        <v>9797.77</v>
      </c>
      <c r="AG6" s="2962">
        <v>9797.77</v>
      </c>
      <c r="AH6" s="2962">
        <v>258.52999999999997</v>
      </c>
      <c r="AI6" s="2962">
        <v>258.52999999999997</v>
      </c>
      <c r="AJ6" s="2962">
        <v>1939</v>
      </c>
      <c r="AK6" s="2962">
        <v>1939</v>
      </c>
      <c r="AL6" s="2962" t="s">
        <v>1327</v>
      </c>
      <c r="AM6" s="2962" t="s">
        <v>1327</v>
      </c>
      <c r="AN6" s="2962">
        <v>0</v>
      </c>
      <c r="AO6" s="2962" t="s">
        <v>3153</v>
      </c>
      <c r="AP6" s="2962" t="s">
        <v>1327</v>
      </c>
      <c r="AQ6" s="2962" t="s">
        <v>1327</v>
      </c>
      <c r="AR6" s="2962" t="s">
        <v>1327</v>
      </c>
      <c r="AS6" s="2962" t="s">
        <v>3179</v>
      </c>
    </row>
    <row r="7" spans="1:45" s="2963" customFormat="1">
      <c r="A7" s="2963" t="s">
        <v>3180</v>
      </c>
      <c r="B7" s="2963" t="s">
        <v>3139</v>
      </c>
      <c r="C7" s="2963" t="s">
        <v>3140</v>
      </c>
      <c r="D7" s="2963" t="s">
        <v>3141</v>
      </c>
      <c r="E7" s="2963" t="s">
        <v>1327</v>
      </c>
      <c r="F7" s="2963" t="s">
        <v>3180</v>
      </c>
      <c r="G7" s="2963" t="s">
        <v>3142</v>
      </c>
      <c r="H7" s="2963" t="s">
        <v>3181</v>
      </c>
      <c r="I7" s="2963" t="s">
        <v>3182</v>
      </c>
      <c r="J7" s="2963">
        <v>28530</v>
      </c>
      <c r="K7" s="2963">
        <v>17118</v>
      </c>
      <c r="L7" s="2963" t="s">
        <v>3183</v>
      </c>
      <c r="M7" s="2963">
        <v>0.75</v>
      </c>
      <c r="N7" s="2963" t="s">
        <v>3184</v>
      </c>
      <c r="O7" s="2963" t="s">
        <v>1327</v>
      </c>
      <c r="P7" s="2963" t="s">
        <v>1327</v>
      </c>
      <c r="Q7" s="2963" t="s">
        <v>1327</v>
      </c>
      <c r="R7" s="2963" t="s">
        <v>1327</v>
      </c>
      <c r="S7" s="2963" t="s">
        <v>1327</v>
      </c>
      <c r="T7" s="2963" t="s">
        <v>1327</v>
      </c>
      <c r="U7" s="2963" t="s">
        <v>1327</v>
      </c>
      <c r="V7" s="2963" t="s">
        <v>1327</v>
      </c>
      <c r="W7" s="2963" t="s">
        <v>3147</v>
      </c>
      <c r="X7" s="2963" t="s">
        <v>3185</v>
      </c>
      <c r="Y7" s="2963" t="s">
        <v>3186</v>
      </c>
      <c r="Z7" s="2963" t="s">
        <v>3186</v>
      </c>
      <c r="AA7" s="2963" t="s">
        <v>3186</v>
      </c>
      <c r="AB7" s="2963" t="s">
        <v>3187</v>
      </c>
      <c r="AC7" s="2963" t="s">
        <v>3151</v>
      </c>
      <c r="AD7" s="2963" t="s">
        <v>3188</v>
      </c>
      <c r="AE7" s="2963">
        <v>5250.09</v>
      </c>
      <c r="AF7" s="2963">
        <v>5250.09</v>
      </c>
      <c r="AG7" s="2963">
        <v>5250.09</v>
      </c>
      <c r="AH7" s="2963">
        <v>122.68</v>
      </c>
      <c r="AI7" s="2963">
        <v>122.68</v>
      </c>
      <c r="AJ7" s="2963">
        <v>3066.99</v>
      </c>
      <c r="AK7" s="2963">
        <v>3067</v>
      </c>
      <c r="AL7" s="2963" t="s">
        <v>1327</v>
      </c>
      <c r="AM7" s="2963" t="s">
        <v>1327</v>
      </c>
      <c r="AN7" s="2963">
        <v>0</v>
      </c>
      <c r="AO7" s="2963" t="s">
        <v>3189</v>
      </c>
      <c r="AP7" s="2963" t="s">
        <v>1327</v>
      </c>
      <c r="AQ7" s="2963" t="s">
        <v>1327</v>
      </c>
      <c r="AR7" s="2963" t="s">
        <v>1327</v>
      </c>
      <c r="AS7" s="2963" t="s">
        <v>3164</v>
      </c>
    </row>
    <row r="8" spans="1:45">
      <c r="A8" s="2962" t="s">
        <v>3190</v>
      </c>
      <c r="B8" s="2962" t="s">
        <v>3139</v>
      </c>
      <c r="C8" s="2962" t="s">
        <v>3140</v>
      </c>
      <c r="D8" s="2962" t="s">
        <v>3141</v>
      </c>
      <c r="E8" s="2962" t="s">
        <v>1327</v>
      </c>
      <c r="F8" s="2962" t="s">
        <v>3190</v>
      </c>
      <c r="G8" s="2962" t="s">
        <v>3142</v>
      </c>
      <c r="H8" s="2962" t="s">
        <v>3191</v>
      </c>
      <c r="I8" s="2962" t="s">
        <v>3157</v>
      </c>
      <c r="J8" s="2962">
        <v>29101</v>
      </c>
      <c r="K8" s="2962">
        <v>145505</v>
      </c>
      <c r="L8" s="2962" t="s">
        <v>3192</v>
      </c>
      <c r="M8" s="2962" t="s">
        <v>1327</v>
      </c>
      <c r="N8" s="2962" t="s">
        <v>3159</v>
      </c>
      <c r="O8" s="2962" t="s">
        <v>1327</v>
      </c>
      <c r="P8" s="2962" t="s">
        <v>1327</v>
      </c>
      <c r="Q8" s="2962" t="s">
        <v>1327</v>
      </c>
      <c r="R8" s="2962" t="s">
        <v>1327</v>
      </c>
      <c r="S8" s="2962" t="s">
        <v>1327</v>
      </c>
      <c r="T8" s="2962" t="s">
        <v>1327</v>
      </c>
      <c r="U8" s="2962" t="s">
        <v>1327</v>
      </c>
      <c r="V8" s="2962" t="s">
        <v>1327</v>
      </c>
      <c r="W8" s="2962" t="s">
        <v>3147</v>
      </c>
      <c r="X8" s="2962" t="s">
        <v>3193</v>
      </c>
      <c r="Y8" s="2962" t="s">
        <v>3194</v>
      </c>
      <c r="Z8" s="2962" t="s">
        <v>3194</v>
      </c>
      <c r="AA8" s="2962" t="s">
        <v>3194</v>
      </c>
      <c r="AB8" s="2962" t="s">
        <v>3195</v>
      </c>
      <c r="AC8" s="2962" t="s">
        <v>3151</v>
      </c>
      <c r="AD8" s="2962" t="s">
        <v>3196</v>
      </c>
      <c r="AE8" s="2962">
        <v>16471.169999999998</v>
      </c>
      <c r="AF8" s="2962">
        <v>16471.16</v>
      </c>
      <c r="AG8" s="2962">
        <v>16471.16</v>
      </c>
      <c r="AH8" s="2962">
        <v>377.33</v>
      </c>
      <c r="AI8" s="2962">
        <v>377.33</v>
      </c>
      <c r="AJ8" s="2962">
        <v>1132</v>
      </c>
      <c r="AK8" s="2962">
        <v>1132</v>
      </c>
      <c r="AL8" s="2962" t="s">
        <v>1327</v>
      </c>
      <c r="AM8" s="2962" t="s">
        <v>1327</v>
      </c>
      <c r="AN8" s="2962">
        <v>0</v>
      </c>
      <c r="AO8" s="2962" t="s">
        <v>3153</v>
      </c>
      <c r="AP8" s="2962" t="s">
        <v>1327</v>
      </c>
      <c r="AQ8" s="2962" t="s">
        <v>1327</v>
      </c>
      <c r="AR8" s="2962" t="s">
        <v>1327</v>
      </c>
      <c r="AS8" s="2962" t="s">
        <v>3154</v>
      </c>
    </row>
    <row r="9" spans="1:45">
      <c r="A9" s="2962" t="s">
        <v>3197</v>
      </c>
      <c r="B9" s="2962" t="s">
        <v>3139</v>
      </c>
      <c r="C9" s="2962" t="s">
        <v>3140</v>
      </c>
      <c r="D9" s="2962" t="s">
        <v>3141</v>
      </c>
      <c r="E9" s="2962" t="s">
        <v>1327</v>
      </c>
      <c r="F9" s="2962" t="s">
        <v>3197</v>
      </c>
      <c r="G9" s="2962" t="s">
        <v>3142</v>
      </c>
      <c r="H9" s="2962" t="s">
        <v>3198</v>
      </c>
      <c r="I9" s="2962" t="s">
        <v>3199</v>
      </c>
      <c r="J9" s="2962">
        <v>35779</v>
      </c>
      <c r="K9" s="2962">
        <v>131308.9</v>
      </c>
      <c r="L9" s="2962" t="s">
        <v>3200</v>
      </c>
      <c r="M9" s="2962" t="s">
        <v>1327</v>
      </c>
      <c r="N9" s="2962" t="s">
        <v>3159</v>
      </c>
      <c r="O9" s="2962" t="s">
        <v>1327</v>
      </c>
      <c r="P9" s="2962" t="s">
        <v>1327</v>
      </c>
      <c r="Q9" s="2962" t="s">
        <v>1327</v>
      </c>
      <c r="R9" s="2962" t="s">
        <v>1327</v>
      </c>
      <c r="S9" s="2962" t="s">
        <v>1327</v>
      </c>
      <c r="T9" s="2962" t="s">
        <v>3201</v>
      </c>
      <c r="U9" s="2962" t="s">
        <v>3201</v>
      </c>
      <c r="V9" s="2962" t="s">
        <v>1327</v>
      </c>
      <c r="W9" s="2962" t="s">
        <v>3147</v>
      </c>
      <c r="X9" s="2962" t="s">
        <v>3202</v>
      </c>
      <c r="Y9" s="2962" t="s">
        <v>3203</v>
      </c>
      <c r="Z9" s="2962" t="s">
        <v>3203</v>
      </c>
      <c r="AA9" s="2962" t="s">
        <v>3203</v>
      </c>
      <c r="AB9" s="2962" t="s">
        <v>3204</v>
      </c>
      <c r="AC9" s="2962" t="s">
        <v>3151</v>
      </c>
      <c r="AD9" s="2962" t="s">
        <v>3205</v>
      </c>
      <c r="AE9" s="2962">
        <v>29124.32</v>
      </c>
      <c r="AF9" s="2962">
        <v>29124.31</v>
      </c>
      <c r="AG9" s="2962">
        <v>29124.31</v>
      </c>
      <c r="AH9" s="2962">
        <v>542.66999999999996</v>
      </c>
      <c r="AI9" s="2962">
        <v>542.66999999999996</v>
      </c>
      <c r="AJ9" s="2962">
        <v>2218</v>
      </c>
      <c r="AK9" s="2962">
        <v>2218</v>
      </c>
      <c r="AL9" s="2962" t="s">
        <v>1327</v>
      </c>
      <c r="AM9" s="2962" t="s">
        <v>1327</v>
      </c>
      <c r="AN9" s="2962">
        <v>0</v>
      </c>
      <c r="AO9" s="2962" t="s">
        <v>3153</v>
      </c>
      <c r="AP9" s="2962" t="s">
        <v>1327</v>
      </c>
      <c r="AQ9" s="2962" t="s">
        <v>1327</v>
      </c>
      <c r="AR9" s="2962" t="s">
        <v>1327</v>
      </c>
      <c r="AS9" s="2962" t="s">
        <v>3164</v>
      </c>
    </row>
    <row r="10" spans="1:45">
      <c r="A10" s="2962" t="s">
        <v>3206</v>
      </c>
      <c r="B10" s="2962" t="s">
        <v>3139</v>
      </c>
      <c r="C10" s="2962" t="s">
        <v>3140</v>
      </c>
      <c r="D10" s="2962" t="s">
        <v>3141</v>
      </c>
      <c r="E10" s="2962" t="s">
        <v>1327</v>
      </c>
      <c r="F10" s="2962" t="s">
        <v>3206</v>
      </c>
      <c r="G10" s="2962" t="s">
        <v>3142</v>
      </c>
      <c r="H10" s="2962" t="s">
        <v>3207</v>
      </c>
      <c r="I10" s="2962" t="s">
        <v>3208</v>
      </c>
      <c r="J10" s="2962">
        <v>83873</v>
      </c>
      <c r="K10" s="2962">
        <v>125809.5</v>
      </c>
      <c r="L10" s="2962" t="s">
        <v>3209</v>
      </c>
      <c r="M10" s="2962" t="s">
        <v>1327</v>
      </c>
      <c r="N10" s="2962" t="s">
        <v>3210</v>
      </c>
      <c r="O10" s="2962" t="s">
        <v>1327</v>
      </c>
      <c r="P10" s="2962" t="s">
        <v>1327</v>
      </c>
      <c r="Q10" s="2962" t="s">
        <v>1327</v>
      </c>
      <c r="R10" s="2962" t="s">
        <v>1327</v>
      </c>
      <c r="S10" s="2962" t="s">
        <v>1327</v>
      </c>
      <c r="T10" s="2962" t="s">
        <v>1327</v>
      </c>
      <c r="U10" s="2962" t="s">
        <v>1327</v>
      </c>
      <c r="V10" s="2962" t="s">
        <v>1327</v>
      </c>
      <c r="W10" s="2962" t="s">
        <v>3147</v>
      </c>
      <c r="X10" s="2962" t="s">
        <v>3211</v>
      </c>
      <c r="Y10" s="2962" t="s">
        <v>3212</v>
      </c>
      <c r="Z10" s="2962" t="s">
        <v>3212</v>
      </c>
      <c r="AA10" s="2962" t="s">
        <v>3212</v>
      </c>
      <c r="AB10" s="2962" t="s">
        <v>3213</v>
      </c>
      <c r="AC10" s="2962" t="s">
        <v>3151</v>
      </c>
      <c r="AD10" s="2962" t="s">
        <v>3214</v>
      </c>
      <c r="AE10" s="2962">
        <v>5749.49</v>
      </c>
      <c r="AF10" s="2962">
        <v>5749.48</v>
      </c>
      <c r="AG10" s="2962">
        <v>5749.48</v>
      </c>
      <c r="AH10" s="2962">
        <v>45.7</v>
      </c>
      <c r="AI10" s="2962">
        <v>45.7</v>
      </c>
      <c r="AJ10" s="2962">
        <v>456.99</v>
      </c>
      <c r="AK10" s="2962">
        <v>457</v>
      </c>
      <c r="AL10" s="2962" t="s">
        <v>1327</v>
      </c>
      <c r="AM10" s="2962" t="s">
        <v>1327</v>
      </c>
      <c r="AN10" s="2962">
        <v>0</v>
      </c>
      <c r="AO10" s="2962" t="s">
        <v>3153</v>
      </c>
      <c r="AP10" s="2962" t="s">
        <v>1327</v>
      </c>
      <c r="AQ10" s="2962" t="s">
        <v>1327</v>
      </c>
      <c r="AR10" s="2962" t="s">
        <v>1327</v>
      </c>
      <c r="AS10" s="2962" t="s">
        <v>3154</v>
      </c>
    </row>
    <row r="11" spans="1:45">
      <c r="A11" s="2962" t="s">
        <v>3215</v>
      </c>
      <c r="B11" s="2962" t="s">
        <v>3139</v>
      </c>
      <c r="C11" s="2962" t="s">
        <v>3140</v>
      </c>
      <c r="D11" s="2962" t="s">
        <v>3141</v>
      </c>
      <c r="E11" s="2962" t="s">
        <v>1327</v>
      </c>
      <c r="F11" s="2962" t="s">
        <v>3215</v>
      </c>
      <c r="G11" s="2962" t="s">
        <v>3142</v>
      </c>
      <c r="H11" s="2962" t="s">
        <v>3216</v>
      </c>
      <c r="I11" s="2962" t="s">
        <v>3157</v>
      </c>
      <c r="J11" s="2962">
        <v>56161</v>
      </c>
      <c r="K11" s="2962">
        <v>56161</v>
      </c>
      <c r="L11" s="2962" t="s">
        <v>3217</v>
      </c>
      <c r="M11" s="2962" t="s">
        <v>1327</v>
      </c>
      <c r="N11" s="2962" t="s">
        <v>3159</v>
      </c>
      <c r="O11" s="2962" t="s">
        <v>1327</v>
      </c>
      <c r="P11" s="2962" t="s">
        <v>1327</v>
      </c>
      <c r="Q11" s="2962" t="s">
        <v>1327</v>
      </c>
      <c r="R11" s="2962" t="s">
        <v>1327</v>
      </c>
      <c r="S11" s="2962" t="s">
        <v>1327</v>
      </c>
      <c r="T11" s="2962" t="s">
        <v>1327</v>
      </c>
      <c r="U11" s="2962" t="s">
        <v>1327</v>
      </c>
      <c r="V11" s="2962" t="s">
        <v>1327</v>
      </c>
      <c r="W11" s="2962" t="s">
        <v>3147</v>
      </c>
      <c r="X11" s="2962" t="s">
        <v>3218</v>
      </c>
      <c r="Y11" s="2962" t="s">
        <v>3219</v>
      </c>
      <c r="Z11" s="2962" t="s">
        <v>3219</v>
      </c>
      <c r="AA11" s="2962" t="s">
        <v>3219</v>
      </c>
      <c r="AB11" s="2962" t="s">
        <v>3220</v>
      </c>
      <c r="AC11" s="2962" t="s">
        <v>3151</v>
      </c>
      <c r="AD11" s="2962" t="s">
        <v>3221</v>
      </c>
      <c r="AE11" s="2962">
        <v>8266.9</v>
      </c>
      <c r="AF11" s="2962">
        <v>8266.89</v>
      </c>
      <c r="AG11" s="2962">
        <v>8266.89</v>
      </c>
      <c r="AH11" s="2962">
        <v>98.13</v>
      </c>
      <c r="AI11" s="2962">
        <v>98.13</v>
      </c>
      <c r="AJ11" s="2962">
        <v>1472</v>
      </c>
      <c r="AK11" s="2962">
        <v>1472</v>
      </c>
      <c r="AL11" s="2962" t="s">
        <v>1327</v>
      </c>
      <c r="AM11" s="2962" t="s">
        <v>1327</v>
      </c>
      <c r="AN11" s="2962">
        <v>0</v>
      </c>
      <c r="AO11" s="2962" t="s">
        <v>3153</v>
      </c>
      <c r="AP11" s="2962" t="s">
        <v>1327</v>
      </c>
      <c r="AQ11" s="2962" t="s">
        <v>1327</v>
      </c>
      <c r="AR11" s="2962" t="s">
        <v>1327</v>
      </c>
      <c r="AS11" s="2962" t="s">
        <v>3154</v>
      </c>
    </row>
    <row r="12" spans="1:45">
      <c r="A12" s="2962" t="s">
        <v>3222</v>
      </c>
      <c r="B12" s="2962" t="s">
        <v>3139</v>
      </c>
      <c r="C12" s="2962" t="s">
        <v>3140</v>
      </c>
      <c r="D12" s="2962" t="s">
        <v>3141</v>
      </c>
      <c r="E12" s="2962" t="s">
        <v>1327</v>
      </c>
      <c r="F12" s="2962" t="s">
        <v>3222</v>
      </c>
      <c r="G12" s="2962" t="s">
        <v>3142</v>
      </c>
      <c r="H12" s="2962" t="s">
        <v>3223</v>
      </c>
      <c r="I12" s="2962" t="s">
        <v>3224</v>
      </c>
      <c r="J12" s="2962">
        <v>53269</v>
      </c>
      <c r="K12" s="2962">
        <v>79903.5</v>
      </c>
      <c r="L12" s="2962" t="s">
        <v>3209</v>
      </c>
      <c r="M12" s="2962" t="s">
        <v>1327</v>
      </c>
      <c r="N12" s="2962" t="s">
        <v>3210</v>
      </c>
      <c r="O12" s="2962" t="s">
        <v>1327</v>
      </c>
      <c r="P12" s="2962" t="s">
        <v>1327</v>
      </c>
      <c r="Q12" s="2962" t="s">
        <v>1327</v>
      </c>
      <c r="R12" s="2962" t="s">
        <v>1327</v>
      </c>
      <c r="S12" s="2962" t="s">
        <v>1327</v>
      </c>
      <c r="T12" s="2962" t="s">
        <v>1327</v>
      </c>
      <c r="U12" s="2962" t="s">
        <v>1327</v>
      </c>
      <c r="V12" s="2962" t="s">
        <v>1327</v>
      </c>
      <c r="W12" s="2962" t="s">
        <v>3147</v>
      </c>
      <c r="X12" s="2962" t="s">
        <v>3225</v>
      </c>
      <c r="Y12" s="2962" t="s">
        <v>3226</v>
      </c>
      <c r="Z12" s="2962" t="s">
        <v>3226</v>
      </c>
      <c r="AA12" s="2962" t="s">
        <v>3226</v>
      </c>
      <c r="AB12" s="2962" t="s">
        <v>3227</v>
      </c>
      <c r="AC12" s="2962" t="s">
        <v>3151</v>
      </c>
      <c r="AD12" s="2962" t="s">
        <v>3228</v>
      </c>
      <c r="AE12" s="2962">
        <v>3651.59</v>
      </c>
      <c r="AF12" s="2962">
        <v>3651.59</v>
      </c>
      <c r="AG12" s="2962">
        <v>3651.59</v>
      </c>
      <c r="AH12" s="2962">
        <v>45.7</v>
      </c>
      <c r="AI12" s="2962">
        <v>45.7</v>
      </c>
      <c r="AJ12" s="2962">
        <v>457</v>
      </c>
      <c r="AK12" s="2962">
        <v>457</v>
      </c>
      <c r="AL12" s="2962" t="s">
        <v>1327</v>
      </c>
      <c r="AM12" s="2962" t="s">
        <v>1327</v>
      </c>
      <c r="AN12" s="2962">
        <v>0</v>
      </c>
      <c r="AO12" s="2962" t="s">
        <v>3153</v>
      </c>
      <c r="AP12" s="2962" t="s">
        <v>1327</v>
      </c>
      <c r="AQ12" s="2962" t="s">
        <v>1327</v>
      </c>
      <c r="AR12" s="2962" t="s">
        <v>1327</v>
      </c>
      <c r="AS12" s="2962" t="s">
        <v>3154</v>
      </c>
    </row>
    <row r="13" spans="1:45">
      <c r="A13" s="2962" t="s">
        <v>3229</v>
      </c>
      <c r="B13" s="2962" t="s">
        <v>3139</v>
      </c>
      <c r="C13" s="2962" t="s">
        <v>3140</v>
      </c>
      <c r="D13" s="2962" t="s">
        <v>3141</v>
      </c>
      <c r="E13" s="2962" t="s">
        <v>1327</v>
      </c>
      <c r="F13" s="2962" t="s">
        <v>3229</v>
      </c>
      <c r="G13" s="2962" t="s">
        <v>3142</v>
      </c>
      <c r="H13" s="2962" t="s">
        <v>3230</v>
      </c>
      <c r="I13" s="2962" t="s">
        <v>3231</v>
      </c>
      <c r="J13" s="2962">
        <v>27266</v>
      </c>
      <c r="K13" s="2962">
        <v>32719.200000000001</v>
      </c>
      <c r="L13" s="2962" t="s">
        <v>3232</v>
      </c>
      <c r="M13" s="2962" t="s">
        <v>1327</v>
      </c>
      <c r="N13" s="2962" t="s">
        <v>3146</v>
      </c>
      <c r="O13" s="2962" t="s">
        <v>1327</v>
      </c>
      <c r="P13" s="2962" t="s">
        <v>1327</v>
      </c>
      <c r="Q13" s="2962" t="s">
        <v>1327</v>
      </c>
      <c r="R13" s="2962" t="s">
        <v>1327</v>
      </c>
      <c r="S13" s="2962" t="s">
        <v>1327</v>
      </c>
      <c r="T13" s="2962" t="s">
        <v>1327</v>
      </c>
      <c r="U13" s="2962" t="s">
        <v>1327</v>
      </c>
      <c r="V13" s="2962" t="s">
        <v>1327</v>
      </c>
      <c r="W13" s="2962" t="s">
        <v>3147</v>
      </c>
      <c r="X13" s="2962" t="s">
        <v>3233</v>
      </c>
      <c r="Y13" s="2962" t="s">
        <v>3234</v>
      </c>
      <c r="Z13" s="2962" t="s">
        <v>3234</v>
      </c>
      <c r="AA13" s="2962" t="s">
        <v>3234</v>
      </c>
      <c r="AB13" s="2962" t="s">
        <v>3235</v>
      </c>
      <c r="AC13" s="2962" t="s">
        <v>3151</v>
      </c>
      <c r="AD13" s="2962" t="s">
        <v>3236</v>
      </c>
      <c r="AE13" s="2962">
        <v>4341.84</v>
      </c>
      <c r="AF13" s="2962">
        <v>4341.84</v>
      </c>
      <c r="AG13" s="2962">
        <v>4341.84</v>
      </c>
      <c r="AH13" s="2962">
        <v>106.16</v>
      </c>
      <c r="AI13" s="2962">
        <v>106.16</v>
      </c>
      <c r="AJ13" s="2962">
        <v>1327</v>
      </c>
      <c r="AK13" s="2962">
        <v>1327</v>
      </c>
      <c r="AL13" s="2962" t="s">
        <v>1327</v>
      </c>
      <c r="AM13" s="2962" t="s">
        <v>1327</v>
      </c>
      <c r="AN13" s="2962">
        <v>0</v>
      </c>
      <c r="AO13" s="2962" t="s">
        <v>3153</v>
      </c>
      <c r="AP13" s="2962" t="s">
        <v>1327</v>
      </c>
      <c r="AQ13" s="2962" t="s">
        <v>1327</v>
      </c>
      <c r="AR13" s="2962" t="s">
        <v>1327</v>
      </c>
      <c r="AS13" s="2962" t="s">
        <v>3154</v>
      </c>
    </row>
    <row r="14" spans="1:45">
      <c r="A14" s="2962" t="s">
        <v>3237</v>
      </c>
      <c r="B14" s="2962" t="s">
        <v>3139</v>
      </c>
      <c r="C14" s="2962" t="s">
        <v>3140</v>
      </c>
      <c r="D14" s="2962" t="s">
        <v>3141</v>
      </c>
      <c r="E14" s="2962" t="s">
        <v>1327</v>
      </c>
      <c r="F14" s="2962" t="s">
        <v>3237</v>
      </c>
      <c r="G14" s="2962" t="s">
        <v>3142</v>
      </c>
      <c r="H14" s="2962" t="s">
        <v>3238</v>
      </c>
      <c r="I14" s="2962" t="s">
        <v>3231</v>
      </c>
      <c r="J14" s="2962">
        <v>33025</v>
      </c>
      <c r="K14" s="2962">
        <v>19815</v>
      </c>
      <c r="L14" s="2962" t="s">
        <v>3183</v>
      </c>
      <c r="M14" s="2962" t="s">
        <v>1327</v>
      </c>
      <c r="N14" s="2962" t="s">
        <v>3159</v>
      </c>
      <c r="O14" s="2962" t="s">
        <v>1327</v>
      </c>
      <c r="P14" s="2962" t="s">
        <v>1327</v>
      </c>
      <c r="Q14" s="2962" t="s">
        <v>1327</v>
      </c>
      <c r="R14" s="2962" t="s">
        <v>1327</v>
      </c>
      <c r="S14" s="2962" t="s">
        <v>1327</v>
      </c>
      <c r="T14" s="2962" t="s">
        <v>1327</v>
      </c>
      <c r="U14" s="2962" t="s">
        <v>1327</v>
      </c>
      <c r="V14" s="2962" t="s">
        <v>1327</v>
      </c>
      <c r="W14" s="2962" t="s">
        <v>3147</v>
      </c>
      <c r="X14" s="2962" t="s">
        <v>3233</v>
      </c>
      <c r="Y14" s="2962" t="s">
        <v>3234</v>
      </c>
      <c r="Z14" s="2962" t="s">
        <v>3234</v>
      </c>
      <c r="AA14" s="2962" t="s">
        <v>3234</v>
      </c>
      <c r="AB14" s="2962" t="s">
        <v>3239</v>
      </c>
      <c r="AC14" s="2962" t="s">
        <v>3151</v>
      </c>
      <c r="AD14" s="2962" t="s">
        <v>3240</v>
      </c>
      <c r="AE14" s="2962">
        <v>2249</v>
      </c>
      <c r="AF14" s="2962">
        <v>2249</v>
      </c>
      <c r="AG14" s="2962">
        <v>2249</v>
      </c>
      <c r="AH14" s="2962">
        <v>45.4</v>
      </c>
      <c r="AI14" s="2962">
        <v>45.4</v>
      </c>
      <c r="AJ14" s="2962">
        <v>1134.99</v>
      </c>
      <c r="AK14" s="2962">
        <v>1135</v>
      </c>
      <c r="AL14" s="2962" t="s">
        <v>1327</v>
      </c>
      <c r="AM14" s="2962" t="s">
        <v>1327</v>
      </c>
      <c r="AN14" s="2962">
        <v>0</v>
      </c>
      <c r="AO14" s="2962" t="s">
        <v>3153</v>
      </c>
      <c r="AP14" s="2962" t="s">
        <v>1327</v>
      </c>
      <c r="AQ14" s="2962" t="s">
        <v>1327</v>
      </c>
      <c r="AR14" s="2962" t="s">
        <v>1327</v>
      </c>
      <c r="AS14" s="2962" t="s">
        <v>3154</v>
      </c>
    </row>
    <row r="15" spans="1:45">
      <c r="A15" s="2962" t="s">
        <v>3241</v>
      </c>
      <c r="B15" s="2962" t="s">
        <v>3139</v>
      </c>
      <c r="C15" s="2962" t="s">
        <v>3140</v>
      </c>
      <c r="D15" s="2962" t="s">
        <v>3141</v>
      </c>
      <c r="E15" s="2962" t="s">
        <v>1327</v>
      </c>
      <c r="F15" s="2962" t="s">
        <v>3241</v>
      </c>
      <c r="G15" s="2962" t="s">
        <v>3142</v>
      </c>
      <c r="H15" s="2962" t="s">
        <v>3242</v>
      </c>
      <c r="I15" s="2962" t="s">
        <v>3243</v>
      </c>
      <c r="J15" s="2962">
        <v>79649</v>
      </c>
      <c r="K15" s="2962">
        <v>39824.5</v>
      </c>
      <c r="L15" s="2962" t="s">
        <v>3145</v>
      </c>
      <c r="M15" s="2962" t="s">
        <v>1327</v>
      </c>
      <c r="N15" s="2962" t="s">
        <v>3159</v>
      </c>
      <c r="O15" s="2962" t="s">
        <v>1327</v>
      </c>
      <c r="P15" s="2962" t="s">
        <v>1327</v>
      </c>
      <c r="Q15" s="2962" t="s">
        <v>1327</v>
      </c>
      <c r="R15" s="2962" t="s">
        <v>1327</v>
      </c>
      <c r="S15" s="2962" t="s">
        <v>1327</v>
      </c>
      <c r="T15" s="2962" t="s">
        <v>1327</v>
      </c>
      <c r="U15" s="2962" t="s">
        <v>1327</v>
      </c>
      <c r="V15" s="2962" t="s">
        <v>1327</v>
      </c>
      <c r="W15" s="2962" t="s">
        <v>3147</v>
      </c>
      <c r="X15" s="2962" t="s">
        <v>3233</v>
      </c>
      <c r="Y15" s="2962" t="s">
        <v>3234</v>
      </c>
      <c r="Z15" s="2962" t="s">
        <v>3234</v>
      </c>
      <c r="AA15" s="2962" t="s">
        <v>3234</v>
      </c>
      <c r="AB15" s="2962" t="s">
        <v>3244</v>
      </c>
      <c r="AC15" s="2962" t="s">
        <v>3151</v>
      </c>
      <c r="AD15" s="2962" t="s">
        <v>3245</v>
      </c>
      <c r="AE15" s="2962">
        <v>17036.919999999998</v>
      </c>
      <c r="AF15" s="2962">
        <v>17036.91</v>
      </c>
      <c r="AG15" s="2962">
        <v>17036.91</v>
      </c>
      <c r="AH15" s="2962">
        <v>142.6</v>
      </c>
      <c r="AI15" s="2962">
        <v>142.6</v>
      </c>
      <c r="AJ15" s="2962">
        <v>4277.99</v>
      </c>
      <c r="AK15" s="2962">
        <v>4278</v>
      </c>
      <c r="AL15" s="2962" t="s">
        <v>1327</v>
      </c>
      <c r="AM15" s="2962" t="s">
        <v>1327</v>
      </c>
      <c r="AN15" s="2962">
        <v>0</v>
      </c>
      <c r="AO15" s="2962" t="s">
        <v>3153</v>
      </c>
      <c r="AP15" s="2962" t="s">
        <v>1327</v>
      </c>
      <c r="AQ15" s="2962" t="s">
        <v>1327</v>
      </c>
      <c r="AR15" s="2962" t="s">
        <v>1327</v>
      </c>
      <c r="AS15" s="2962" t="s">
        <v>3154</v>
      </c>
    </row>
    <row r="16" spans="1:45">
      <c r="A16" s="2962" t="s">
        <v>3246</v>
      </c>
      <c r="B16" s="2962" t="s">
        <v>3139</v>
      </c>
      <c r="C16" s="2962" t="s">
        <v>3140</v>
      </c>
      <c r="D16" s="2962" t="s">
        <v>3141</v>
      </c>
      <c r="E16" s="2962" t="s">
        <v>1327</v>
      </c>
      <c r="F16" s="2962" t="s">
        <v>3246</v>
      </c>
      <c r="G16" s="2962" t="s">
        <v>3142</v>
      </c>
      <c r="H16" s="2962" t="s">
        <v>3247</v>
      </c>
      <c r="I16" s="2962" t="s">
        <v>3248</v>
      </c>
      <c r="J16" s="2962">
        <v>35850</v>
      </c>
      <c r="K16" s="2962">
        <v>71700</v>
      </c>
      <c r="L16" s="2962" t="s">
        <v>3158</v>
      </c>
      <c r="M16" s="2962" t="s">
        <v>1327</v>
      </c>
      <c r="N16" s="2962" t="s">
        <v>3159</v>
      </c>
      <c r="O16" s="2962" t="s">
        <v>1327</v>
      </c>
      <c r="P16" s="2962" t="s">
        <v>1327</v>
      </c>
      <c r="Q16" s="2962" t="s">
        <v>1327</v>
      </c>
      <c r="R16" s="2962" t="s">
        <v>1327</v>
      </c>
      <c r="S16" s="2962" t="s">
        <v>1327</v>
      </c>
      <c r="T16" s="2962" t="s">
        <v>1327</v>
      </c>
      <c r="U16" s="2962" t="s">
        <v>1327</v>
      </c>
      <c r="V16" s="2962" t="s">
        <v>1327</v>
      </c>
      <c r="W16" s="2962" t="s">
        <v>3249</v>
      </c>
      <c r="X16" s="2962" t="s">
        <v>3250</v>
      </c>
      <c r="Y16" s="2962" t="s">
        <v>3225</v>
      </c>
      <c r="Z16" s="2962" t="s">
        <v>3225</v>
      </c>
      <c r="AA16" s="2962" t="s">
        <v>3225</v>
      </c>
      <c r="AB16" s="2962" t="s">
        <v>3251</v>
      </c>
      <c r="AC16" s="2962" t="s">
        <v>3151</v>
      </c>
      <c r="AD16" s="2962" t="s">
        <v>3252</v>
      </c>
      <c r="AE16" s="2962">
        <v>12819.96</v>
      </c>
      <c r="AF16" s="2962">
        <v>12819.95</v>
      </c>
      <c r="AG16" s="2962">
        <v>12819.95</v>
      </c>
      <c r="AH16" s="2962">
        <v>238.4</v>
      </c>
      <c r="AI16" s="2962">
        <v>238.4</v>
      </c>
      <c r="AJ16" s="2962">
        <v>1788</v>
      </c>
      <c r="AK16" s="2962">
        <v>1788</v>
      </c>
      <c r="AL16" s="2962" t="s">
        <v>1327</v>
      </c>
      <c r="AM16" s="2962" t="s">
        <v>1327</v>
      </c>
      <c r="AN16" s="2962">
        <v>0</v>
      </c>
      <c r="AO16" s="2962" t="s">
        <v>3153</v>
      </c>
      <c r="AP16" s="2962" t="s">
        <v>1327</v>
      </c>
      <c r="AQ16" s="2962" t="s">
        <v>1327</v>
      </c>
      <c r="AR16" s="2962" t="s">
        <v>1327</v>
      </c>
      <c r="AS16" s="2962" t="s">
        <v>3253</v>
      </c>
    </row>
    <row r="17" spans="1:45" s="2963" customFormat="1">
      <c r="A17" s="2963" t="s">
        <v>3254</v>
      </c>
      <c r="B17" s="2963" t="s">
        <v>3139</v>
      </c>
      <c r="C17" s="2963" t="s">
        <v>3140</v>
      </c>
      <c r="D17" s="2963" t="s">
        <v>3141</v>
      </c>
      <c r="E17" s="2963" t="s">
        <v>1327</v>
      </c>
      <c r="F17" s="2963" t="s">
        <v>3254</v>
      </c>
      <c r="G17" s="2963" t="s">
        <v>3142</v>
      </c>
      <c r="H17" s="2963" t="s">
        <v>3255</v>
      </c>
      <c r="I17" s="2963" t="s">
        <v>3256</v>
      </c>
      <c r="J17" s="2963">
        <v>65325.05</v>
      </c>
      <c r="K17" s="2963">
        <v>39195</v>
      </c>
      <c r="L17" s="2963" t="s">
        <v>3183</v>
      </c>
      <c r="M17" s="2963" t="s">
        <v>1327</v>
      </c>
      <c r="N17" s="2963" t="s">
        <v>3184</v>
      </c>
      <c r="O17" s="2963" t="s">
        <v>1327</v>
      </c>
      <c r="P17" s="2963" t="s">
        <v>1327</v>
      </c>
      <c r="Q17" s="2963" t="s">
        <v>1327</v>
      </c>
      <c r="R17" s="2963" t="s">
        <v>1327</v>
      </c>
      <c r="S17" s="2963" t="s">
        <v>1327</v>
      </c>
      <c r="T17" s="2963" t="s">
        <v>1327</v>
      </c>
      <c r="U17" s="2963" t="s">
        <v>1327</v>
      </c>
      <c r="V17" s="2963" t="s">
        <v>1327</v>
      </c>
      <c r="W17" s="2963" t="s">
        <v>3249</v>
      </c>
      <c r="X17" s="2963" t="s">
        <v>3257</v>
      </c>
      <c r="Y17" s="2963" t="s">
        <v>3258</v>
      </c>
      <c r="Z17" s="2963" t="s">
        <v>3258</v>
      </c>
      <c r="AA17" s="2963" t="s">
        <v>3258</v>
      </c>
      <c r="AB17" s="2963" t="s">
        <v>3259</v>
      </c>
      <c r="AC17" s="2963" t="s">
        <v>3151</v>
      </c>
      <c r="AD17" s="2963" t="s">
        <v>3260</v>
      </c>
      <c r="AE17" s="2963">
        <v>11013.8</v>
      </c>
      <c r="AF17" s="2963">
        <v>11013.79</v>
      </c>
      <c r="AG17" s="2963">
        <v>11013.79</v>
      </c>
      <c r="AH17" s="2963">
        <v>112.4</v>
      </c>
      <c r="AI17" s="2963">
        <v>112.4</v>
      </c>
      <c r="AJ17" s="2963">
        <v>2810</v>
      </c>
      <c r="AK17" s="2963">
        <v>2810</v>
      </c>
      <c r="AL17" s="2963" t="s">
        <v>1327</v>
      </c>
      <c r="AM17" s="2963" t="s">
        <v>1327</v>
      </c>
      <c r="AN17" s="2963">
        <v>0</v>
      </c>
      <c r="AO17" s="2963" t="s">
        <v>3153</v>
      </c>
      <c r="AP17" s="2963" t="s">
        <v>1327</v>
      </c>
      <c r="AQ17" s="2963" t="s">
        <v>1327</v>
      </c>
      <c r="AR17" s="2963" t="s">
        <v>1327</v>
      </c>
      <c r="AS17" s="2963" t="s">
        <v>3253</v>
      </c>
    </row>
    <row r="18" spans="1:45">
      <c r="A18" s="2962" t="s">
        <v>3261</v>
      </c>
      <c r="B18" s="2962" t="s">
        <v>3139</v>
      </c>
      <c r="C18" s="2962" t="s">
        <v>3140</v>
      </c>
      <c r="D18" s="2962" t="s">
        <v>3141</v>
      </c>
      <c r="E18" s="2962" t="s">
        <v>1327</v>
      </c>
      <c r="F18" s="2962" t="s">
        <v>3261</v>
      </c>
      <c r="G18" s="2962" t="s">
        <v>3142</v>
      </c>
      <c r="H18" s="2962" t="s">
        <v>3262</v>
      </c>
      <c r="I18" s="2962" t="s">
        <v>3263</v>
      </c>
      <c r="J18" s="2962">
        <v>55392</v>
      </c>
      <c r="K18" s="2962">
        <v>66470.399999999994</v>
      </c>
      <c r="L18" s="2962" t="s">
        <v>3232</v>
      </c>
      <c r="M18" s="2962" t="s">
        <v>1327</v>
      </c>
      <c r="N18" s="2962" t="s">
        <v>3146</v>
      </c>
      <c r="O18" s="2962" t="s">
        <v>1327</v>
      </c>
      <c r="P18" s="2962" t="s">
        <v>1327</v>
      </c>
      <c r="Q18" s="2962" t="s">
        <v>1327</v>
      </c>
      <c r="R18" s="2962" t="s">
        <v>1327</v>
      </c>
      <c r="S18" s="2962" t="s">
        <v>1327</v>
      </c>
      <c r="T18" s="2962" t="s">
        <v>1327</v>
      </c>
      <c r="U18" s="2962" t="s">
        <v>1327</v>
      </c>
      <c r="V18" s="2962" t="s">
        <v>1327</v>
      </c>
      <c r="W18" s="2962" t="s">
        <v>3249</v>
      </c>
      <c r="X18" s="2962" t="s">
        <v>3257</v>
      </c>
      <c r="Y18" s="2962" t="s">
        <v>3258</v>
      </c>
      <c r="Z18" s="2962" t="s">
        <v>3258</v>
      </c>
      <c r="AA18" s="2962" t="s">
        <v>3258</v>
      </c>
      <c r="AB18" s="2962" t="s">
        <v>3264</v>
      </c>
      <c r="AC18" s="2962" t="s">
        <v>3151</v>
      </c>
      <c r="AD18" s="2962" t="s">
        <v>3265</v>
      </c>
      <c r="AE18" s="2962">
        <v>9013.39</v>
      </c>
      <c r="AF18" s="2962">
        <v>9013.3799999999992</v>
      </c>
      <c r="AG18" s="2962">
        <v>9013.3799999999992</v>
      </c>
      <c r="AH18" s="2962">
        <v>108.48</v>
      </c>
      <c r="AI18" s="2962">
        <v>108.48</v>
      </c>
      <c r="AJ18" s="2962">
        <v>1356</v>
      </c>
      <c r="AK18" s="2962">
        <v>1356</v>
      </c>
      <c r="AL18" s="2962" t="s">
        <v>1327</v>
      </c>
      <c r="AM18" s="2962" t="s">
        <v>1327</v>
      </c>
      <c r="AN18" s="2962">
        <v>0</v>
      </c>
      <c r="AO18" s="2962" t="s">
        <v>3153</v>
      </c>
      <c r="AP18" s="2962" t="s">
        <v>1327</v>
      </c>
      <c r="AQ18" s="2962" t="s">
        <v>1327</v>
      </c>
      <c r="AR18" s="2962" t="s">
        <v>1327</v>
      </c>
      <c r="AS18" s="2962" t="s">
        <v>3164</v>
      </c>
    </row>
    <row r="19" spans="1:45">
      <c r="A19" s="2962" t="s">
        <v>3266</v>
      </c>
      <c r="B19" s="2962" t="s">
        <v>3139</v>
      </c>
      <c r="C19" s="2962" t="s">
        <v>3140</v>
      </c>
      <c r="D19" s="2962" t="s">
        <v>3141</v>
      </c>
      <c r="E19" s="2962" t="s">
        <v>1327</v>
      </c>
      <c r="F19" s="2962" t="s">
        <v>3266</v>
      </c>
      <c r="G19" s="2962" t="s">
        <v>3142</v>
      </c>
      <c r="H19" s="2962" t="s">
        <v>3267</v>
      </c>
      <c r="I19" s="2962" t="s">
        <v>3157</v>
      </c>
      <c r="J19" s="2962">
        <v>20849</v>
      </c>
      <c r="K19" s="2962">
        <v>20849</v>
      </c>
      <c r="L19" s="2962" t="s">
        <v>3268</v>
      </c>
      <c r="M19" s="2962" t="s">
        <v>1327</v>
      </c>
      <c r="N19" s="2962" t="s">
        <v>3159</v>
      </c>
      <c r="O19" s="2962" t="s">
        <v>1327</v>
      </c>
      <c r="P19" s="2962" t="s">
        <v>1327</v>
      </c>
      <c r="Q19" s="2962" t="s">
        <v>1327</v>
      </c>
      <c r="R19" s="2962" t="s">
        <v>1327</v>
      </c>
      <c r="S19" s="2962" t="s">
        <v>1327</v>
      </c>
      <c r="T19" s="2962" t="s">
        <v>1327</v>
      </c>
      <c r="U19" s="2962" t="s">
        <v>1327</v>
      </c>
      <c r="V19" s="2962" t="s">
        <v>1327</v>
      </c>
      <c r="W19" s="2962" t="s">
        <v>3249</v>
      </c>
      <c r="X19" s="2962" t="s">
        <v>3257</v>
      </c>
      <c r="Y19" s="2962" t="s">
        <v>3258</v>
      </c>
      <c r="Z19" s="2962" t="s">
        <v>3258</v>
      </c>
      <c r="AA19" s="2962" t="s">
        <v>3258</v>
      </c>
      <c r="AB19" s="2962" t="s">
        <v>3269</v>
      </c>
      <c r="AC19" s="2962" t="s">
        <v>3151</v>
      </c>
      <c r="AD19" s="2962" t="s">
        <v>3240</v>
      </c>
      <c r="AE19" s="2962">
        <v>2255.86</v>
      </c>
      <c r="AF19" s="2962">
        <v>2255.86</v>
      </c>
      <c r="AG19" s="2962">
        <v>2255.86</v>
      </c>
      <c r="AH19" s="2962">
        <v>72.13</v>
      </c>
      <c r="AI19" s="2962">
        <v>72.13</v>
      </c>
      <c r="AJ19" s="2962">
        <v>1081.99</v>
      </c>
      <c r="AK19" s="2962">
        <v>1082</v>
      </c>
      <c r="AL19" s="2962" t="s">
        <v>1327</v>
      </c>
      <c r="AM19" s="2962" t="s">
        <v>1327</v>
      </c>
      <c r="AN19" s="2962">
        <v>0</v>
      </c>
      <c r="AO19" s="2962" t="s">
        <v>3153</v>
      </c>
      <c r="AP19" s="2962" t="s">
        <v>1327</v>
      </c>
      <c r="AQ19" s="2962" t="s">
        <v>1327</v>
      </c>
      <c r="AR19" s="2962" t="s">
        <v>1327</v>
      </c>
      <c r="AS19" s="2962" t="s">
        <v>3154</v>
      </c>
    </row>
    <row r="20" spans="1:45">
      <c r="A20" s="2962" t="s">
        <v>3270</v>
      </c>
      <c r="B20" s="2962" t="s">
        <v>3139</v>
      </c>
      <c r="C20" s="2962" t="s">
        <v>3140</v>
      </c>
      <c r="D20" s="2962" t="s">
        <v>3141</v>
      </c>
      <c r="E20" s="2962" t="s">
        <v>1327</v>
      </c>
      <c r="F20" s="2962" t="s">
        <v>3270</v>
      </c>
      <c r="G20" s="2962" t="s">
        <v>3142</v>
      </c>
      <c r="H20" s="2962" t="s">
        <v>3271</v>
      </c>
      <c r="I20" s="2962" t="s">
        <v>3157</v>
      </c>
      <c r="J20" s="2962">
        <v>56133</v>
      </c>
      <c r="K20" s="2962">
        <v>56133</v>
      </c>
      <c r="L20" s="2962" t="s">
        <v>3268</v>
      </c>
      <c r="M20" s="2962" t="s">
        <v>1327</v>
      </c>
      <c r="N20" s="2962" t="s">
        <v>3159</v>
      </c>
      <c r="O20" s="2962" t="s">
        <v>1327</v>
      </c>
      <c r="P20" s="2962" t="s">
        <v>1327</v>
      </c>
      <c r="Q20" s="2962" t="s">
        <v>1327</v>
      </c>
      <c r="R20" s="2962" t="s">
        <v>1327</v>
      </c>
      <c r="S20" s="2962" t="s">
        <v>1327</v>
      </c>
      <c r="T20" s="2962" t="s">
        <v>1327</v>
      </c>
      <c r="U20" s="2962" t="s">
        <v>1327</v>
      </c>
      <c r="V20" s="2962" t="s">
        <v>1327</v>
      </c>
      <c r="W20" s="2962" t="s">
        <v>3249</v>
      </c>
      <c r="X20" s="2962" t="s">
        <v>3257</v>
      </c>
      <c r="Y20" s="2962" t="s">
        <v>3258</v>
      </c>
      <c r="Z20" s="2962" t="s">
        <v>3258</v>
      </c>
      <c r="AA20" s="2962" t="s">
        <v>3258</v>
      </c>
      <c r="AB20" s="2962" t="s">
        <v>3272</v>
      </c>
      <c r="AC20" s="2962" t="s">
        <v>3151</v>
      </c>
      <c r="AD20" s="2962" t="s">
        <v>3240</v>
      </c>
      <c r="AE20" s="2962">
        <v>6129.72</v>
      </c>
      <c r="AF20" s="2962">
        <v>6129.72</v>
      </c>
      <c r="AG20" s="2962">
        <v>6129.72</v>
      </c>
      <c r="AH20" s="2962">
        <v>72.8</v>
      </c>
      <c r="AI20" s="2962">
        <v>72.8</v>
      </c>
      <c r="AJ20" s="2962">
        <v>1091.99</v>
      </c>
      <c r="AK20" s="2962">
        <v>1092</v>
      </c>
      <c r="AL20" s="2962" t="s">
        <v>1327</v>
      </c>
      <c r="AM20" s="2962" t="s">
        <v>1327</v>
      </c>
      <c r="AN20" s="2962">
        <v>0</v>
      </c>
      <c r="AO20" s="2962" t="s">
        <v>3153</v>
      </c>
      <c r="AP20" s="2962" t="s">
        <v>1327</v>
      </c>
      <c r="AQ20" s="2962" t="s">
        <v>1327</v>
      </c>
      <c r="AR20" s="2962" t="s">
        <v>1327</v>
      </c>
      <c r="AS20" s="2962" t="s">
        <v>3154</v>
      </c>
    </row>
    <row r="21" spans="1:45">
      <c r="A21" s="2962" t="s">
        <v>3266</v>
      </c>
      <c r="B21" s="2962" t="s">
        <v>3139</v>
      </c>
      <c r="C21" s="2962" t="s">
        <v>3140</v>
      </c>
      <c r="D21" s="2962" t="s">
        <v>3141</v>
      </c>
      <c r="E21" s="2962" t="s">
        <v>1327</v>
      </c>
      <c r="F21" s="2962" t="s">
        <v>3266</v>
      </c>
      <c r="G21" s="2962" t="s">
        <v>3142</v>
      </c>
      <c r="H21" s="2962" t="s">
        <v>3273</v>
      </c>
      <c r="I21" s="2962" t="s">
        <v>3157</v>
      </c>
      <c r="J21" s="2962">
        <v>173374</v>
      </c>
      <c r="K21" s="2962">
        <v>173374</v>
      </c>
      <c r="L21" s="2962" t="s">
        <v>3268</v>
      </c>
      <c r="M21" s="2962" t="s">
        <v>1327</v>
      </c>
      <c r="N21" s="2962" t="s">
        <v>3159</v>
      </c>
      <c r="O21" s="2962" t="s">
        <v>1327</v>
      </c>
      <c r="P21" s="2962" t="s">
        <v>1327</v>
      </c>
      <c r="Q21" s="2962" t="s">
        <v>1327</v>
      </c>
      <c r="R21" s="2962" t="s">
        <v>1327</v>
      </c>
      <c r="S21" s="2962" t="s">
        <v>1327</v>
      </c>
      <c r="T21" s="2962" t="s">
        <v>1327</v>
      </c>
      <c r="U21" s="2962" t="s">
        <v>1327</v>
      </c>
      <c r="V21" s="2962" t="s">
        <v>1327</v>
      </c>
      <c r="W21" s="2962" t="s">
        <v>3249</v>
      </c>
      <c r="X21" s="2962" t="s">
        <v>3257</v>
      </c>
      <c r="Y21" s="2962" t="s">
        <v>3258</v>
      </c>
      <c r="Z21" s="2962" t="s">
        <v>3258</v>
      </c>
      <c r="AA21" s="2962" t="s">
        <v>3258</v>
      </c>
      <c r="AB21" s="2962" t="s">
        <v>3274</v>
      </c>
      <c r="AC21" s="2962" t="s">
        <v>3151</v>
      </c>
      <c r="AD21" s="2962" t="s">
        <v>3240</v>
      </c>
      <c r="AE21" s="2962">
        <v>18793.740000000002</v>
      </c>
      <c r="AF21" s="2962">
        <v>18793.740000000002</v>
      </c>
      <c r="AG21" s="2962">
        <v>18793.740000000002</v>
      </c>
      <c r="AH21" s="2962">
        <v>72.27</v>
      </c>
      <c r="AI21" s="2962">
        <v>72.27</v>
      </c>
      <c r="AJ21" s="2962">
        <v>1083.99</v>
      </c>
      <c r="AK21" s="2962">
        <v>1084</v>
      </c>
      <c r="AL21" s="2962" t="s">
        <v>1327</v>
      </c>
      <c r="AM21" s="2962" t="s">
        <v>1327</v>
      </c>
      <c r="AN21" s="2962">
        <v>0</v>
      </c>
      <c r="AO21" s="2962" t="s">
        <v>3153</v>
      </c>
      <c r="AP21" s="2962" t="s">
        <v>1327</v>
      </c>
      <c r="AQ21" s="2962" t="s">
        <v>1327</v>
      </c>
      <c r="AR21" s="2962" t="s">
        <v>1327</v>
      </c>
      <c r="AS21" s="2962" t="s">
        <v>3154</v>
      </c>
    </row>
    <row r="22" spans="1:45">
      <c r="A22" s="2962" t="s">
        <v>3266</v>
      </c>
      <c r="B22" s="2962" t="s">
        <v>3139</v>
      </c>
      <c r="C22" s="2962" t="s">
        <v>3140</v>
      </c>
      <c r="D22" s="2962" t="s">
        <v>3141</v>
      </c>
      <c r="E22" s="2962" t="s">
        <v>1327</v>
      </c>
      <c r="F22" s="2962" t="s">
        <v>3266</v>
      </c>
      <c r="G22" s="2962" t="s">
        <v>3142</v>
      </c>
      <c r="H22" s="2962" t="s">
        <v>3275</v>
      </c>
      <c r="I22" s="2962" t="s">
        <v>3157</v>
      </c>
      <c r="J22" s="2962">
        <v>145291</v>
      </c>
      <c r="K22" s="2962">
        <v>145291</v>
      </c>
      <c r="L22" s="2962" t="s">
        <v>3268</v>
      </c>
      <c r="M22" s="2962" t="s">
        <v>1327</v>
      </c>
      <c r="N22" s="2962" t="s">
        <v>3159</v>
      </c>
      <c r="O22" s="2962" t="s">
        <v>1327</v>
      </c>
      <c r="P22" s="2962" t="s">
        <v>1327</v>
      </c>
      <c r="Q22" s="2962" t="s">
        <v>1327</v>
      </c>
      <c r="R22" s="2962" t="s">
        <v>1327</v>
      </c>
      <c r="S22" s="2962" t="s">
        <v>1327</v>
      </c>
      <c r="T22" s="2962" t="s">
        <v>1327</v>
      </c>
      <c r="U22" s="2962" t="s">
        <v>1327</v>
      </c>
      <c r="V22" s="2962" t="s">
        <v>1327</v>
      </c>
      <c r="W22" s="2962" t="s">
        <v>3249</v>
      </c>
      <c r="X22" s="2962" t="s">
        <v>3257</v>
      </c>
      <c r="Y22" s="2962" t="s">
        <v>3258</v>
      </c>
      <c r="Z22" s="2962" t="s">
        <v>3258</v>
      </c>
      <c r="AA22" s="2962" t="s">
        <v>3258</v>
      </c>
      <c r="AB22" s="2962" t="s">
        <v>3276</v>
      </c>
      <c r="AC22" s="2962" t="s">
        <v>3151</v>
      </c>
      <c r="AD22" s="2962" t="s">
        <v>3240</v>
      </c>
      <c r="AE22" s="2962">
        <v>15720.49</v>
      </c>
      <c r="AF22" s="2962">
        <v>15720.48</v>
      </c>
      <c r="AG22" s="2962">
        <v>15720.48</v>
      </c>
      <c r="AH22" s="2962">
        <v>72.13</v>
      </c>
      <c r="AI22" s="2962">
        <v>72.13</v>
      </c>
      <c r="AJ22" s="2962">
        <v>1082</v>
      </c>
      <c r="AK22" s="2962">
        <v>1082</v>
      </c>
      <c r="AL22" s="2962" t="s">
        <v>1327</v>
      </c>
      <c r="AM22" s="2962" t="s">
        <v>1327</v>
      </c>
      <c r="AN22" s="2962">
        <v>0</v>
      </c>
      <c r="AO22" s="2962" t="s">
        <v>3153</v>
      </c>
      <c r="AP22" s="2962" t="s">
        <v>1327</v>
      </c>
      <c r="AQ22" s="2962" t="s">
        <v>1327</v>
      </c>
      <c r="AR22" s="2962" t="s">
        <v>1327</v>
      </c>
      <c r="AS22" s="2962" t="s">
        <v>3154</v>
      </c>
    </row>
    <row r="23" spans="1:45">
      <c r="A23" s="2962" t="s">
        <v>3266</v>
      </c>
      <c r="B23" s="2962" t="s">
        <v>3139</v>
      </c>
      <c r="C23" s="2962" t="s">
        <v>3140</v>
      </c>
      <c r="D23" s="2962" t="s">
        <v>3141</v>
      </c>
      <c r="E23" s="2962" t="s">
        <v>1327</v>
      </c>
      <c r="F23" s="2962" t="s">
        <v>3266</v>
      </c>
      <c r="G23" s="2962" t="s">
        <v>3142</v>
      </c>
      <c r="H23" s="2962" t="s">
        <v>3277</v>
      </c>
      <c r="I23" s="2962" t="s">
        <v>3157</v>
      </c>
      <c r="J23" s="2962">
        <v>118912</v>
      </c>
      <c r="K23" s="2962">
        <v>118912</v>
      </c>
      <c r="L23" s="2962" t="s">
        <v>3268</v>
      </c>
      <c r="M23" s="2962" t="s">
        <v>1327</v>
      </c>
      <c r="N23" s="2962" t="s">
        <v>3159</v>
      </c>
      <c r="O23" s="2962" t="s">
        <v>1327</v>
      </c>
      <c r="P23" s="2962" t="s">
        <v>1327</v>
      </c>
      <c r="Q23" s="2962" t="s">
        <v>1327</v>
      </c>
      <c r="R23" s="2962" t="s">
        <v>1327</v>
      </c>
      <c r="S23" s="2962" t="s">
        <v>1327</v>
      </c>
      <c r="T23" s="2962" t="s">
        <v>1327</v>
      </c>
      <c r="U23" s="2962" t="s">
        <v>1327</v>
      </c>
      <c r="V23" s="2962" t="s">
        <v>1327</v>
      </c>
      <c r="W23" s="2962" t="s">
        <v>3249</v>
      </c>
      <c r="X23" s="2962" t="s">
        <v>3257</v>
      </c>
      <c r="Y23" s="2962" t="s">
        <v>3258</v>
      </c>
      <c r="Z23" s="2962" t="s">
        <v>3258</v>
      </c>
      <c r="AA23" s="2962" t="s">
        <v>3258</v>
      </c>
      <c r="AB23" s="2962" t="s">
        <v>3278</v>
      </c>
      <c r="AC23" s="2962" t="s">
        <v>3151</v>
      </c>
      <c r="AD23" s="2962" t="s">
        <v>3240</v>
      </c>
      <c r="AE23" s="2962">
        <v>12866.28</v>
      </c>
      <c r="AF23" s="2962">
        <v>12866.28</v>
      </c>
      <c r="AG23" s="2962">
        <v>12866.28</v>
      </c>
      <c r="AH23" s="2962">
        <v>72.13</v>
      </c>
      <c r="AI23" s="2962">
        <v>72.13</v>
      </c>
      <c r="AJ23" s="2962">
        <v>1082</v>
      </c>
      <c r="AK23" s="2962">
        <v>1082</v>
      </c>
      <c r="AL23" s="2962" t="s">
        <v>1327</v>
      </c>
      <c r="AM23" s="2962" t="s">
        <v>1327</v>
      </c>
      <c r="AN23" s="2962">
        <v>0</v>
      </c>
      <c r="AO23" s="2962" t="s">
        <v>3153</v>
      </c>
      <c r="AP23" s="2962" t="s">
        <v>1327</v>
      </c>
      <c r="AQ23" s="2962" t="s">
        <v>1327</v>
      </c>
      <c r="AR23" s="2962" t="s">
        <v>1327</v>
      </c>
      <c r="AS23" s="2962" t="s">
        <v>3154</v>
      </c>
    </row>
    <row r="24" spans="1:45">
      <c r="A24" s="2962" t="s">
        <v>3279</v>
      </c>
      <c r="B24" s="2962" t="s">
        <v>3139</v>
      </c>
      <c r="C24" s="2962" t="s">
        <v>3140</v>
      </c>
      <c r="D24" s="2962" t="s">
        <v>3141</v>
      </c>
      <c r="E24" s="2962" t="s">
        <v>1327</v>
      </c>
      <c r="F24" s="2962" t="s">
        <v>3279</v>
      </c>
      <c r="G24" s="2962" t="s">
        <v>3142</v>
      </c>
      <c r="H24" s="2962" t="s">
        <v>3280</v>
      </c>
      <c r="I24" s="2962" t="s">
        <v>3157</v>
      </c>
      <c r="J24" s="2962">
        <v>86336</v>
      </c>
      <c r="K24" s="2962">
        <v>86336</v>
      </c>
      <c r="L24" s="2962" t="s">
        <v>3268</v>
      </c>
      <c r="M24" s="2962" t="s">
        <v>1327</v>
      </c>
      <c r="N24" s="2962" t="s">
        <v>3159</v>
      </c>
      <c r="O24" s="2962" t="s">
        <v>1327</v>
      </c>
      <c r="P24" s="2962" t="s">
        <v>1327</v>
      </c>
      <c r="Q24" s="2962" t="s">
        <v>1327</v>
      </c>
      <c r="R24" s="2962" t="s">
        <v>1327</v>
      </c>
      <c r="S24" s="2962" t="s">
        <v>1327</v>
      </c>
      <c r="T24" s="2962" t="s">
        <v>1327</v>
      </c>
      <c r="U24" s="2962" t="s">
        <v>1327</v>
      </c>
      <c r="V24" s="2962" t="s">
        <v>1327</v>
      </c>
      <c r="W24" s="2962" t="s">
        <v>3249</v>
      </c>
      <c r="X24" s="2962" t="s">
        <v>3257</v>
      </c>
      <c r="Y24" s="2962" t="s">
        <v>3258</v>
      </c>
      <c r="Z24" s="2962" t="s">
        <v>3258</v>
      </c>
      <c r="AA24" s="2962" t="s">
        <v>3258</v>
      </c>
      <c r="AB24" s="2962" t="s">
        <v>3281</v>
      </c>
      <c r="AC24" s="2962" t="s">
        <v>3151</v>
      </c>
      <c r="AD24" s="2962" t="s">
        <v>3240</v>
      </c>
      <c r="AE24" s="2962">
        <v>9358.82</v>
      </c>
      <c r="AF24" s="2962">
        <v>9358.81</v>
      </c>
      <c r="AG24" s="2962">
        <v>9358.81</v>
      </c>
      <c r="AH24" s="2962">
        <v>72.27</v>
      </c>
      <c r="AI24" s="2962">
        <v>72.27</v>
      </c>
      <c r="AJ24" s="2962">
        <v>1083.99</v>
      </c>
      <c r="AK24" s="2962">
        <v>1084</v>
      </c>
      <c r="AL24" s="2962" t="s">
        <v>1327</v>
      </c>
      <c r="AM24" s="2962" t="s">
        <v>1327</v>
      </c>
      <c r="AN24" s="2962">
        <v>0</v>
      </c>
      <c r="AO24" s="2962" t="s">
        <v>3153</v>
      </c>
      <c r="AP24" s="2962" t="s">
        <v>1327</v>
      </c>
      <c r="AQ24" s="2962" t="s">
        <v>1327</v>
      </c>
      <c r="AR24" s="2962" t="s">
        <v>1327</v>
      </c>
      <c r="AS24" s="2962" t="s">
        <v>3154</v>
      </c>
    </row>
    <row r="25" spans="1:45">
      <c r="A25" s="2962" t="s">
        <v>3266</v>
      </c>
      <c r="B25" s="2962" t="s">
        <v>3139</v>
      </c>
      <c r="C25" s="2962" t="s">
        <v>3140</v>
      </c>
      <c r="D25" s="2962" t="s">
        <v>3141</v>
      </c>
      <c r="E25" s="2962" t="s">
        <v>1327</v>
      </c>
      <c r="F25" s="2962" t="s">
        <v>3266</v>
      </c>
      <c r="G25" s="2962" t="s">
        <v>3142</v>
      </c>
      <c r="H25" s="2962" t="s">
        <v>3282</v>
      </c>
      <c r="I25" s="2962" t="s">
        <v>3157</v>
      </c>
      <c r="J25" s="2962">
        <v>73850</v>
      </c>
      <c r="K25" s="2962">
        <v>73850</v>
      </c>
      <c r="L25" s="2962" t="s">
        <v>3268</v>
      </c>
      <c r="M25" s="2962" t="s">
        <v>1327</v>
      </c>
      <c r="N25" s="2962" t="s">
        <v>3159</v>
      </c>
      <c r="O25" s="2962" t="s">
        <v>1327</v>
      </c>
      <c r="P25" s="2962" t="s">
        <v>1327</v>
      </c>
      <c r="Q25" s="2962" t="s">
        <v>1327</v>
      </c>
      <c r="R25" s="2962" t="s">
        <v>1327</v>
      </c>
      <c r="S25" s="2962" t="s">
        <v>1327</v>
      </c>
      <c r="T25" s="2962" t="s">
        <v>1327</v>
      </c>
      <c r="U25" s="2962" t="s">
        <v>1327</v>
      </c>
      <c r="V25" s="2962" t="s">
        <v>1327</v>
      </c>
      <c r="W25" s="2962" t="s">
        <v>3249</v>
      </c>
      <c r="X25" s="2962" t="s">
        <v>3257</v>
      </c>
      <c r="Y25" s="2962" t="s">
        <v>3258</v>
      </c>
      <c r="Z25" s="2962" t="s">
        <v>3258</v>
      </c>
      <c r="AA25" s="2962" t="s">
        <v>3258</v>
      </c>
      <c r="AB25" s="2962" t="s">
        <v>3283</v>
      </c>
      <c r="AC25" s="2962" t="s">
        <v>3151</v>
      </c>
      <c r="AD25" s="2962" t="s">
        <v>3240</v>
      </c>
      <c r="AE25" s="2962">
        <v>7990.57</v>
      </c>
      <c r="AF25" s="2962">
        <v>7990.56</v>
      </c>
      <c r="AG25" s="2962">
        <v>7990.56</v>
      </c>
      <c r="AH25" s="2962">
        <v>72.13</v>
      </c>
      <c r="AI25" s="2962">
        <v>72.13</v>
      </c>
      <c r="AJ25" s="2962">
        <v>1082</v>
      </c>
      <c r="AK25" s="2962">
        <v>1082</v>
      </c>
      <c r="AL25" s="2962" t="s">
        <v>1327</v>
      </c>
      <c r="AM25" s="2962" t="s">
        <v>1327</v>
      </c>
      <c r="AN25" s="2962">
        <v>0</v>
      </c>
      <c r="AO25" s="2962" t="s">
        <v>3153</v>
      </c>
      <c r="AP25" s="2962" t="s">
        <v>1327</v>
      </c>
      <c r="AQ25" s="2962" t="s">
        <v>1327</v>
      </c>
      <c r="AR25" s="2962" t="s">
        <v>1327</v>
      </c>
      <c r="AS25" s="2962" t="s">
        <v>3154</v>
      </c>
    </row>
    <row r="26" spans="1:45">
      <c r="A26" s="2962" t="s">
        <v>3284</v>
      </c>
      <c r="B26" s="2962" t="s">
        <v>3139</v>
      </c>
      <c r="C26" s="2962" t="s">
        <v>3140</v>
      </c>
      <c r="D26" s="2962" t="s">
        <v>3141</v>
      </c>
      <c r="E26" s="2962" t="s">
        <v>1327</v>
      </c>
      <c r="F26" s="2962" t="s">
        <v>3284</v>
      </c>
      <c r="G26" s="2962" t="s">
        <v>3142</v>
      </c>
      <c r="H26" s="2962" t="s">
        <v>3285</v>
      </c>
      <c r="I26" s="2962" t="s">
        <v>3248</v>
      </c>
      <c r="J26" s="2962">
        <v>47284</v>
      </c>
      <c r="K26" s="2962">
        <v>70926</v>
      </c>
      <c r="L26" s="2962" t="s">
        <v>3209</v>
      </c>
      <c r="M26" s="2962" t="s">
        <v>1327</v>
      </c>
      <c r="N26" s="2962" t="s">
        <v>3159</v>
      </c>
      <c r="O26" s="2962" t="s">
        <v>1327</v>
      </c>
      <c r="P26" s="2962" t="s">
        <v>1327</v>
      </c>
      <c r="Q26" s="2962" t="s">
        <v>1327</v>
      </c>
      <c r="R26" s="2962" t="s">
        <v>1327</v>
      </c>
      <c r="S26" s="2962" t="s">
        <v>1327</v>
      </c>
      <c r="T26" s="2962" t="s">
        <v>1327</v>
      </c>
      <c r="U26" s="2962" t="s">
        <v>1327</v>
      </c>
      <c r="V26" s="2962" t="s">
        <v>1327</v>
      </c>
      <c r="W26" s="2962" t="s">
        <v>3249</v>
      </c>
      <c r="X26" s="2962" t="s">
        <v>3257</v>
      </c>
      <c r="Y26" s="2962" t="s">
        <v>3258</v>
      </c>
      <c r="Z26" s="2962" t="s">
        <v>3258</v>
      </c>
      <c r="AA26" s="2962" t="s">
        <v>3258</v>
      </c>
      <c r="AB26" s="2962" t="s">
        <v>3286</v>
      </c>
      <c r="AC26" s="2962" t="s">
        <v>3151</v>
      </c>
      <c r="AD26" s="2962" t="s">
        <v>3240</v>
      </c>
      <c r="AE26" s="2962">
        <v>6652.86</v>
      </c>
      <c r="AF26" s="2962">
        <v>6652.85</v>
      </c>
      <c r="AG26" s="2962">
        <v>6652.85</v>
      </c>
      <c r="AH26" s="2962">
        <v>93.8</v>
      </c>
      <c r="AI26" s="2962">
        <v>93.8</v>
      </c>
      <c r="AJ26" s="2962">
        <v>938</v>
      </c>
      <c r="AK26" s="2962">
        <v>938</v>
      </c>
      <c r="AL26" s="2962" t="s">
        <v>1327</v>
      </c>
      <c r="AM26" s="2962" t="s">
        <v>1327</v>
      </c>
      <c r="AN26" s="2962">
        <v>0</v>
      </c>
      <c r="AO26" s="2962" t="s">
        <v>3153</v>
      </c>
      <c r="AP26" s="2962" t="s">
        <v>1327</v>
      </c>
      <c r="AQ26" s="2962" t="s">
        <v>1327</v>
      </c>
      <c r="AR26" s="2962" t="s">
        <v>1327</v>
      </c>
      <c r="AS26" s="2962" t="s">
        <v>3154</v>
      </c>
    </row>
    <row r="27" spans="1:45">
      <c r="A27" s="2962" t="s">
        <v>3266</v>
      </c>
      <c r="B27" s="2962" t="s">
        <v>3139</v>
      </c>
      <c r="C27" s="2962" t="s">
        <v>3140</v>
      </c>
      <c r="D27" s="2962" t="s">
        <v>3141</v>
      </c>
      <c r="E27" s="2962" t="s">
        <v>1327</v>
      </c>
      <c r="F27" s="2962" t="s">
        <v>3266</v>
      </c>
      <c r="G27" s="2962" t="s">
        <v>3142</v>
      </c>
      <c r="H27" s="2962" t="s">
        <v>3287</v>
      </c>
      <c r="I27" s="2962" t="s">
        <v>3157</v>
      </c>
      <c r="J27" s="2962">
        <v>70290</v>
      </c>
      <c r="K27" s="2962">
        <v>70290</v>
      </c>
      <c r="L27" s="2962" t="s">
        <v>3217</v>
      </c>
      <c r="M27" s="2962" t="s">
        <v>1327</v>
      </c>
      <c r="N27" s="2962" t="s">
        <v>3288</v>
      </c>
      <c r="O27" s="2962" t="s">
        <v>1327</v>
      </c>
      <c r="P27" s="2962" t="s">
        <v>1327</v>
      </c>
      <c r="Q27" s="2962" t="s">
        <v>1327</v>
      </c>
      <c r="R27" s="2962" t="s">
        <v>1327</v>
      </c>
      <c r="S27" s="2962" t="s">
        <v>1327</v>
      </c>
      <c r="T27" s="2962" t="s">
        <v>1327</v>
      </c>
      <c r="U27" s="2962" t="s">
        <v>1327</v>
      </c>
      <c r="V27" s="2962" t="s">
        <v>1327</v>
      </c>
      <c r="W27" s="2962" t="s">
        <v>3249</v>
      </c>
      <c r="X27" s="2962" t="s">
        <v>3289</v>
      </c>
      <c r="Y27" s="2962" t="s">
        <v>3290</v>
      </c>
      <c r="Z27" s="2962" t="s">
        <v>3290</v>
      </c>
      <c r="AA27" s="2962" t="s">
        <v>3290</v>
      </c>
      <c r="AB27" s="2962" t="s">
        <v>3291</v>
      </c>
      <c r="AC27" s="2962" t="s">
        <v>3151</v>
      </c>
      <c r="AD27" s="2962" t="s">
        <v>3240</v>
      </c>
      <c r="AE27" s="2962">
        <v>4245.5200000000004</v>
      </c>
      <c r="AF27" s="2962">
        <v>4245.5200000000004</v>
      </c>
      <c r="AG27" s="2962">
        <v>4245.5200000000004</v>
      </c>
      <c r="AH27" s="2962">
        <v>40.270000000000003</v>
      </c>
      <c r="AI27" s="2962">
        <v>40.270000000000003</v>
      </c>
      <c r="AJ27" s="2962">
        <v>604</v>
      </c>
      <c r="AK27" s="2962">
        <v>604</v>
      </c>
      <c r="AL27" s="2962" t="s">
        <v>1327</v>
      </c>
      <c r="AM27" s="2962" t="s">
        <v>1327</v>
      </c>
      <c r="AN27" s="2962">
        <v>0</v>
      </c>
      <c r="AO27" s="2962" t="s">
        <v>3153</v>
      </c>
      <c r="AP27" s="2962" t="s">
        <v>1327</v>
      </c>
      <c r="AQ27" s="2962" t="s">
        <v>1327</v>
      </c>
      <c r="AR27" s="2962" t="s">
        <v>1327</v>
      </c>
      <c r="AS27" s="2962" t="s">
        <v>3154</v>
      </c>
    </row>
    <row r="28" spans="1:45">
      <c r="A28" s="2962" t="s">
        <v>3237</v>
      </c>
      <c r="B28" s="2962" t="s">
        <v>3139</v>
      </c>
      <c r="C28" s="2962" t="s">
        <v>3140</v>
      </c>
      <c r="D28" s="2962" t="s">
        <v>3141</v>
      </c>
      <c r="E28" s="2962" t="s">
        <v>1327</v>
      </c>
      <c r="F28" s="2962" t="s">
        <v>3237</v>
      </c>
      <c r="G28" s="2962" t="s">
        <v>3142</v>
      </c>
      <c r="H28" s="2962" t="s">
        <v>3292</v>
      </c>
      <c r="I28" s="2962" t="s">
        <v>3231</v>
      </c>
      <c r="J28" s="2962">
        <v>37891</v>
      </c>
      <c r="K28" s="2962">
        <v>22734.6</v>
      </c>
      <c r="L28" s="2962" t="s">
        <v>3183</v>
      </c>
      <c r="M28" s="2962" t="s">
        <v>1327</v>
      </c>
      <c r="N28" s="2962" t="s">
        <v>3288</v>
      </c>
      <c r="O28" s="2962" t="s">
        <v>1327</v>
      </c>
      <c r="P28" s="2962" t="s">
        <v>1327</v>
      </c>
      <c r="Q28" s="2962" t="s">
        <v>1327</v>
      </c>
      <c r="R28" s="2962" t="s">
        <v>1327</v>
      </c>
      <c r="S28" s="2962" t="s">
        <v>1327</v>
      </c>
      <c r="T28" s="2962" t="s">
        <v>1327</v>
      </c>
      <c r="U28" s="2962" t="s">
        <v>1327</v>
      </c>
      <c r="V28" s="2962" t="s">
        <v>1327</v>
      </c>
      <c r="W28" s="2962" t="s">
        <v>3249</v>
      </c>
      <c r="X28" s="2962" t="s">
        <v>3289</v>
      </c>
      <c r="Y28" s="2962" t="s">
        <v>3290</v>
      </c>
      <c r="Z28" s="2962" t="s">
        <v>3290</v>
      </c>
      <c r="AA28" s="2962" t="s">
        <v>3290</v>
      </c>
      <c r="AB28" s="2962" t="s">
        <v>3293</v>
      </c>
      <c r="AC28" s="2962" t="s">
        <v>3151</v>
      </c>
      <c r="AD28" s="2962" t="s">
        <v>3240</v>
      </c>
      <c r="AE28" s="2962">
        <v>2603.11</v>
      </c>
      <c r="AF28" s="2962">
        <v>2603.11</v>
      </c>
      <c r="AG28" s="2962">
        <v>2603.11</v>
      </c>
      <c r="AH28" s="2962">
        <v>45.8</v>
      </c>
      <c r="AI28" s="2962">
        <v>45.8</v>
      </c>
      <c r="AJ28" s="2962">
        <v>1144.99</v>
      </c>
      <c r="AK28" s="2962">
        <v>1145</v>
      </c>
      <c r="AL28" s="2962" t="s">
        <v>1327</v>
      </c>
      <c r="AM28" s="2962" t="s">
        <v>1327</v>
      </c>
      <c r="AN28" s="2962">
        <v>0</v>
      </c>
      <c r="AO28" s="2962" t="s">
        <v>3153</v>
      </c>
      <c r="AP28" s="2962" t="s">
        <v>1327</v>
      </c>
      <c r="AQ28" s="2962" t="s">
        <v>1327</v>
      </c>
      <c r="AR28" s="2962" t="s">
        <v>1327</v>
      </c>
      <c r="AS28" s="2962" t="s">
        <v>3154</v>
      </c>
    </row>
    <row r="29" spans="1:45">
      <c r="A29" s="2962" t="s">
        <v>3237</v>
      </c>
      <c r="B29" s="2962" t="s">
        <v>3139</v>
      </c>
      <c r="C29" s="2962" t="s">
        <v>3140</v>
      </c>
      <c r="D29" s="2962" t="s">
        <v>3141</v>
      </c>
      <c r="E29" s="2962" t="s">
        <v>1327</v>
      </c>
      <c r="F29" s="2962" t="s">
        <v>3237</v>
      </c>
      <c r="G29" s="2962" t="s">
        <v>3142</v>
      </c>
      <c r="H29" s="2962" t="s">
        <v>3294</v>
      </c>
      <c r="I29" s="2962" t="s">
        <v>3231</v>
      </c>
      <c r="J29" s="2962">
        <v>64545</v>
      </c>
      <c r="K29" s="2962">
        <v>38727</v>
      </c>
      <c r="L29" s="2962" t="s">
        <v>3183</v>
      </c>
      <c r="M29" s="2962" t="s">
        <v>1327</v>
      </c>
      <c r="N29" s="2962" t="s">
        <v>3288</v>
      </c>
      <c r="O29" s="2962" t="s">
        <v>1327</v>
      </c>
      <c r="P29" s="2962" t="s">
        <v>1327</v>
      </c>
      <c r="Q29" s="2962" t="s">
        <v>1327</v>
      </c>
      <c r="R29" s="2962" t="s">
        <v>1327</v>
      </c>
      <c r="S29" s="2962" t="s">
        <v>1327</v>
      </c>
      <c r="T29" s="2962" t="s">
        <v>1327</v>
      </c>
      <c r="U29" s="2962" t="s">
        <v>1327</v>
      </c>
      <c r="V29" s="2962" t="s">
        <v>1327</v>
      </c>
      <c r="W29" s="2962" t="s">
        <v>3249</v>
      </c>
      <c r="X29" s="2962" t="s">
        <v>3289</v>
      </c>
      <c r="Y29" s="2962" t="s">
        <v>3290</v>
      </c>
      <c r="Z29" s="2962" t="s">
        <v>3290</v>
      </c>
      <c r="AA29" s="2962" t="s">
        <v>3290</v>
      </c>
      <c r="AB29" s="2962" t="s">
        <v>3295</v>
      </c>
      <c r="AC29" s="2962" t="s">
        <v>3151</v>
      </c>
      <c r="AD29" s="2962" t="s">
        <v>3240</v>
      </c>
      <c r="AE29" s="2962">
        <v>4488.46</v>
      </c>
      <c r="AF29" s="2962">
        <v>4488.46</v>
      </c>
      <c r="AG29" s="2962">
        <v>4488.46</v>
      </c>
      <c r="AH29" s="2962">
        <v>46.36</v>
      </c>
      <c r="AI29" s="2962">
        <v>46.36</v>
      </c>
      <c r="AJ29" s="2962">
        <v>1159</v>
      </c>
      <c r="AK29" s="2962">
        <v>1159</v>
      </c>
      <c r="AL29" s="2962" t="s">
        <v>1327</v>
      </c>
      <c r="AM29" s="2962" t="s">
        <v>1327</v>
      </c>
      <c r="AN29" s="2962">
        <v>0</v>
      </c>
      <c r="AO29" s="2962" t="s">
        <v>3153</v>
      </c>
      <c r="AP29" s="2962" t="s">
        <v>1327</v>
      </c>
      <c r="AQ29" s="2962" t="s">
        <v>1327</v>
      </c>
      <c r="AR29" s="2962" t="s">
        <v>1327</v>
      </c>
      <c r="AS29" s="2962" t="s">
        <v>3154</v>
      </c>
    </row>
    <row r="30" spans="1:45">
      <c r="A30" s="2962" t="s">
        <v>3237</v>
      </c>
      <c r="B30" s="2962" t="s">
        <v>3139</v>
      </c>
      <c r="C30" s="2962" t="s">
        <v>3140</v>
      </c>
      <c r="D30" s="2962" t="s">
        <v>3141</v>
      </c>
      <c r="E30" s="2962" t="s">
        <v>1327</v>
      </c>
      <c r="F30" s="2962" t="s">
        <v>3237</v>
      </c>
      <c r="G30" s="2962" t="s">
        <v>3142</v>
      </c>
      <c r="H30" s="2962" t="s">
        <v>3296</v>
      </c>
      <c r="I30" s="2962" t="s">
        <v>3231</v>
      </c>
      <c r="J30" s="2962">
        <v>48280</v>
      </c>
      <c r="K30" s="2962">
        <v>28968</v>
      </c>
      <c r="L30" s="2962" t="s">
        <v>3183</v>
      </c>
      <c r="M30" s="2962" t="s">
        <v>1327</v>
      </c>
      <c r="N30" s="2962" t="s">
        <v>3288</v>
      </c>
      <c r="O30" s="2962" t="s">
        <v>1327</v>
      </c>
      <c r="P30" s="2962" t="s">
        <v>1327</v>
      </c>
      <c r="Q30" s="2962" t="s">
        <v>1327</v>
      </c>
      <c r="R30" s="2962" t="s">
        <v>1327</v>
      </c>
      <c r="S30" s="2962" t="s">
        <v>1327</v>
      </c>
      <c r="T30" s="2962" t="s">
        <v>1327</v>
      </c>
      <c r="U30" s="2962" t="s">
        <v>1327</v>
      </c>
      <c r="V30" s="2962" t="s">
        <v>1327</v>
      </c>
      <c r="W30" s="2962" t="s">
        <v>3249</v>
      </c>
      <c r="X30" s="2962" t="s">
        <v>3289</v>
      </c>
      <c r="Y30" s="2962" t="s">
        <v>3290</v>
      </c>
      <c r="Z30" s="2962" t="s">
        <v>3290</v>
      </c>
      <c r="AA30" s="2962" t="s">
        <v>3290</v>
      </c>
      <c r="AB30" s="2962" t="s">
        <v>3297</v>
      </c>
      <c r="AC30" s="2962" t="s">
        <v>3151</v>
      </c>
      <c r="AD30" s="2962" t="s">
        <v>3240</v>
      </c>
      <c r="AE30" s="2962">
        <v>3316.84</v>
      </c>
      <c r="AF30" s="2962">
        <v>3316.84</v>
      </c>
      <c r="AG30" s="2962">
        <v>3316.84</v>
      </c>
      <c r="AH30" s="2962">
        <v>45.8</v>
      </c>
      <c r="AI30" s="2962">
        <v>45.8</v>
      </c>
      <c r="AJ30" s="2962">
        <v>1145</v>
      </c>
      <c r="AK30" s="2962">
        <v>1145</v>
      </c>
      <c r="AL30" s="2962" t="s">
        <v>1327</v>
      </c>
      <c r="AM30" s="2962" t="s">
        <v>1327</v>
      </c>
      <c r="AN30" s="2962">
        <v>0</v>
      </c>
      <c r="AO30" s="2962" t="s">
        <v>3153</v>
      </c>
      <c r="AP30" s="2962" t="s">
        <v>1327</v>
      </c>
      <c r="AQ30" s="2962" t="s">
        <v>1327</v>
      </c>
      <c r="AR30" s="2962" t="s">
        <v>1327</v>
      </c>
      <c r="AS30" s="2962" t="s">
        <v>3154</v>
      </c>
    </row>
    <row r="31" spans="1:45">
      <c r="A31" s="2962" t="s">
        <v>3298</v>
      </c>
      <c r="B31" s="2962" t="s">
        <v>3139</v>
      </c>
      <c r="C31" s="2962" t="s">
        <v>3140</v>
      </c>
      <c r="D31" s="2962" t="s">
        <v>3141</v>
      </c>
      <c r="E31" s="2962" t="s">
        <v>1327</v>
      </c>
      <c r="F31" s="2962" t="s">
        <v>3298</v>
      </c>
      <c r="G31" s="2962" t="s">
        <v>3142</v>
      </c>
      <c r="H31" s="2962" t="s">
        <v>3299</v>
      </c>
      <c r="I31" s="2962" t="s">
        <v>3157</v>
      </c>
      <c r="J31" s="2962">
        <v>14155</v>
      </c>
      <c r="K31" s="2962">
        <v>14155</v>
      </c>
      <c r="L31" s="2962" t="s">
        <v>3217</v>
      </c>
      <c r="M31" s="2962" t="s">
        <v>1327</v>
      </c>
      <c r="N31" s="2962" t="s">
        <v>3288</v>
      </c>
      <c r="O31" s="2962" t="s">
        <v>1327</v>
      </c>
      <c r="P31" s="2962" t="s">
        <v>1327</v>
      </c>
      <c r="Q31" s="2962" t="s">
        <v>1327</v>
      </c>
      <c r="R31" s="2962" t="s">
        <v>1327</v>
      </c>
      <c r="S31" s="2962" t="s">
        <v>1327</v>
      </c>
      <c r="T31" s="2962" t="s">
        <v>1327</v>
      </c>
      <c r="U31" s="2962" t="s">
        <v>1327</v>
      </c>
      <c r="V31" s="2962" t="s">
        <v>1327</v>
      </c>
      <c r="W31" s="2962" t="s">
        <v>3249</v>
      </c>
      <c r="X31" s="2962" t="s">
        <v>3289</v>
      </c>
      <c r="Y31" s="2962" t="s">
        <v>3290</v>
      </c>
      <c r="Z31" s="2962" t="s">
        <v>3290</v>
      </c>
      <c r="AA31" s="2962" t="s">
        <v>3290</v>
      </c>
      <c r="AB31" s="2962" t="s">
        <v>3300</v>
      </c>
      <c r="AC31" s="2962" t="s">
        <v>3151</v>
      </c>
      <c r="AD31" s="2962" t="s">
        <v>3240</v>
      </c>
      <c r="AE31" s="2962">
        <v>854.96</v>
      </c>
      <c r="AF31" s="2962">
        <v>854.96</v>
      </c>
      <c r="AG31" s="2962">
        <v>854.96</v>
      </c>
      <c r="AH31" s="2962">
        <v>40.270000000000003</v>
      </c>
      <c r="AI31" s="2962">
        <v>40.270000000000003</v>
      </c>
      <c r="AJ31" s="2962">
        <v>603.99</v>
      </c>
      <c r="AK31" s="2962">
        <v>604</v>
      </c>
      <c r="AL31" s="2962" t="s">
        <v>1327</v>
      </c>
      <c r="AM31" s="2962" t="s">
        <v>1327</v>
      </c>
      <c r="AN31" s="2962">
        <v>0</v>
      </c>
      <c r="AO31" s="2962" t="s">
        <v>3153</v>
      </c>
      <c r="AP31" s="2962" t="s">
        <v>1327</v>
      </c>
      <c r="AQ31" s="2962" t="s">
        <v>1327</v>
      </c>
      <c r="AR31" s="2962" t="s">
        <v>1327</v>
      </c>
      <c r="AS31" s="2962" t="s">
        <v>3154</v>
      </c>
    </row>
    <row r="32" spans="1:45">
      <c r="A32" s="2962" t="s">
        <v>3301</v>
      </c>
      <c r="B32" s="2962" t="s">
        <v>3139</v>
      </c>
      <c r="C32" s="2962" t="s">
        <v>3140</v>
      </c>
      <c r="D32" s="2962" t="s">
        <v>3141</v>
      </c>
      <c r="E32" s="2962" t="s">
        <v>1327</v>
      </c>
      <c r="F32" s="2962" t="s">
        <v>3301</v>
      </c>
      <c r="G32" s="2962" t="s">
        <v>3142</v>
      </c>
      <c r="H32" s="2962" t="s">
        <v>3302</v>
      </c>
      <c r="I32" s="2962" t="s">
        <v>3157</v>
      </c>
      <c r="J32" s="2962">
        <v>20040</v>
      </c>
      <c r="K32" s="2962">
        <v>20040</v>
      </c>
      <c r="L32" s="2962" t="s">
        <v>3217</v>
      </c>
      <c r="M32" s="2962" t="s">
        <v>1327</v>
      </c>
      <c r="N32" s="2962" t="s">
        <v>3288</v>
      </c>
      <c r="O32" s="2962" t="s">
        <v>1327</v>
      </c>
      <c r="P32" s="2962" t="s">
        <v>1327</v>
      </c>
      <c r="Q32" s="2962" t="s">
        <v>1327</v>
      </c>
      <c r="R32" s="2962" t="s">
        <v>1327</v>
      </c>
      <c r="S32" s="2962" t="s">
        <v>1327</v>
      </c>
      <c r="T32" s="2962" t="s">
        <v>1327</v>
      </c>
      <c r="U32" s="2962" t="s">
        <v>1327</v>
      </c>
      <c r="V32" s="2962" t="s">
        <v>1327</v>
      </c>
      <c r="W32" s="2962" t="s">
        <v>3249</v>
      </c>
      <c r="X32" s="2962" t="s">
        <v>3289</v>
      </c>
      <c r="Y32" s="2962" t="s">
        <v>3290</v>
      </c>
      <c r="Z32" s="2962" t="s">
        <v>3290</v>
      </c>
      <c r="AA32" s="2962" t="s">
        <v>3290</v>
      </c>
      <c r="AB32" s="2962" t="s">
        <v>3303</v>
      </c>
      <c r="AC32" s="2962" t="s">
        <v>3151</v>
      </c>
      <c r="AD32" s="2962" t="s">
        <v>3240</v>
      </c>
      <c r="AE32" s="2962">
        <v>1226.45</v>
      </c>
      <c r="AF32" s="2962">
        <v>1226.45</v>
      </c>
      <c r="AG32" s="2962">
        <v>1226.45</v>
      </c>
      <c r="AH32" s="2962">
        <v>40.799999999999997</v>
      </c>
      <c r="AI32" s="2962">
        <v>40.799999999999997</v>
      </c>
      <c r="AJ32" s="2962">
        <v>612</v>
      </c>
      <c r="AK32" s="2962">
        <v>612</v>
      </c>
      <c r="AL32" s="2962" t="s">
        <v>1327</v>
      </c>
      <c r="AM32" s="2962" t="s">
        <v>1327</v>
      </c>
      <c r="AN32" s="2962">
        <v>0</v>
      </c>
      <c r="AO32" s="2962" t="s">
        <v>3153</v>
      </c>
      <c r="AP32" s="2962" t="s">
        <v>1327</v>
      </c>
      <c r="AQ32" s="2962" t="s">
        <v>1327</v>
      </c>
      <c r="AR32" s="2962" t="s">
        <v>1327</v>
      </c>
      <c r="AS32" s="2962" t="s">
        <v>3154</v>
      </c>
    </row>
    <row r="33" spans="1:45">
      <c r="A33" s="2962" t="s">
        <v>3237</v>
      </c>
      <c r="B33" s="2962" t="s">
        <v>3139</v>
      </c>
      <c r="C33" s="2962" t="s">
        <v>3140</v>
      </c>
      <c r="D33" s="2962" t="s">
        <v>3141</v>
      </c>
      <c r="E33" s="2962" t="s">
        <v>1327</v>
      </c>
      <c r="F33" s="2962" t="s">
        <v>3237</v>
      </c>
      <c r="G33" s="2962" t="s">
        <v>3142</v>
      </c>
      <c r="H33" s="2962" t="s">
        <v>3304</v>
      </c>
      <c r="I33" s="2962" t="s">
        <v>3231</v>
      </c>
      <c r="J33" s="2962">
        <v>50313</v>
      </c>
      <c r="K33" s="2962">
        <v>30187.8</v>
      </c>
      <c r="L33" s="2962" t="s">
        <v>3183</v>
      </c>
      <c r="M33" s="2962" t="s">
        <v>1327</v>
      </c>
      <c r="N33" s="2962" t="s">
        <v>3288</v>
      </c>
      <c r="O33" s="2962" t="s">
        <v>1327</v>
      </c>
      <c r="P33" s="2962" t="s">
        <v>1327</v>
      </c>
      <c r="Q33" s="2962" t="s">
        <v>1327</v>
      </c>
      <c r="R33" s="2962" t="s">
        <v>1327</v>
      </c>
      <c r="S33" s="2962" t="s">
        <v>1327</v>
      </c>
      <c r="T33" s="2962" t="s">
        <v>1327</v>
      </c>
      <c r="U33" s="2962" t="s">
        <v>1327</v>
      </c>
      <c r="V33" s="2962" t="s">
        <v>1327</v>
      </c>
      <c r="W33" s="2962" t="s">
        <v>3249</v>
      </c>
      <c r="X33" s="2962" t="s">
        <v>3289</v>
      </c>
      <c r="Y33" s="2962" t="s">
        <v>3290</v>
      </c>
      <c r="Z33" s="2962" t="s">
        <v>3290</v>
      </c>
      <c r="AA33" s="2962" t="s">
        <v>3290</v>
      </c>
      <c r="AB33" s="2962" t="s">
        <v>3305</v>
      </c>
      <c r="AC33" s="2962" t="s">
        <v>3151</v>
      </c>
      <c r="AD33" s="2962" t="s">
        <v>3240</v>
      </c>
      <c r="AE33" s="2962">
        <v>3456.5</v>
      </c>
      <c r="AF33" s="2962">
        <v>3456.5</v>
      </c>
      <c r="AG33" s="2962">
        <v>3456.5</v>
      </c>
      <c r="AH33" s="2962">
        <v>45.8</v>
      </c>
      <c r="AI33" s="2962">
        <v>45.8</v>
      </c>
      <c r="AJ33" s="2962">
        <v>1144.99</v>
      </c>
      <c r="AK33" s="2962">
        <v>1145</v>
      </c>
      <c r="AL33" s="2962" t="s">
        <v>1327</v>
      </c>
      <c r="AM33" s="2962" t="s">
        <v>1327</v>
      </c>
      <c r="AN33" s="2962">
        <v>0</v>
      </c>
      <c r="AO33" s="2962" t="s">
        <v>3153</v>
      </c>
      <c r="AP33" s="2962" t="s">
        <v>1327</v>
      </c>
      <c r="AQ33" s="2962" t="s">
        <v>1327</v>
      </c>
      <c r="AR33" s="2962" t="s">
        <v>1327</v>
      </c>
      <c r="AS33" s="2962" t="s">
        <v>3154</v>
      </c>
    </row>
    <row r="34" spans="1:45">
      <c r="A34" s="2962" t="s">
        <v>3284</v>
      </c>
      <c r="B34" s="2962" t="s">
        <v>3139</v>
      </c>
      <c r="C34" s="2962" t="s">
        <v>3140</v>
      </c>
      <c r="D34" s="2962" t="s">
        <v>3141</v>
      </c>
      <c r="E34" s="2962" t="s">
        <v>1327</v>
      </c>
      <c r="F34" s="2962" t="s">
        <v>3284</v>
      </c>
      <c r="G34" s="2962" t="s">
        <v>3142</v>
      </c>
      <c r="H34" s="2962" t="s">
        <v>3306</v>
      </c>
      <c r="I34" s="2962" t="s">
        <v>3157</v>
      </c>
      <c r="J34" s="2962">
        <v>42042</v>
      </c>
      <c r="K34" s="2962">
        <v>42042</v>
      </c>
      <c r="L34" s="2962" t="s">
        <v>3217</v>
      </c>
      <c r="M34" s="2962" t="s">
        <v>1327</v>
      </c>
      <c r="N34" s="2962" t="s">
        <v>3288</v>
      </c>
      <c r="O34" s="2962" t="s">
        <v>1327</v>
      </c>
      <c r="P34" s="2962" t="s">
        <v>1327</v>
      </c>
      <c r="Q34" s="2962" t="s">
        <v>1327</v>
      </c>
      <c r="R34" s="2962" t="s">
        <v>1327</v>
      </c>
      <c r="S34" s="2962" t="s">
        <v>1327</v>
      </c>
      <c r="T34" s="2962" t="s">
        <v>1327</v>
      </c>
      <c r="U34" s="2962" t="s">
        <v>1327</v>
      </c>
      <c r="V34" s="2962" t="s">
        <v>1327</v>
      </c>
      <c r="W34" s="2962" t="s">
        <v>3249</v>
      </c>
      <c r="X34" s="2962" t="s">
        <v>3289</v>
      </c>
      <c r="Y34" s="2962" t="s">
        <v>3290</v>
      </c>
      <c r="Z34" s="2962" t="s">
        <v>3290</v>
      </c>
      <c r="AA34" s="2962" t="s">
        <v>3290</v>
      </c>
      <c r="AB34" s="2962" t="s">
        <v>3307</v>
      </c>
      <c r="AC34" s="2962" t="s">
        <v>3151</v>
      </c>
      <c r="AD34" s="2962" t="s">
        <v>3240</v>
      </c>
      <c r="AE34" s="2962">
        <v>2539.34</v>
      </c>
      <c r="AF34" s="2962">
        <v>2539.34</v>
      </c>
      <c r="AG34" s="2962">
        <v>2539.34</v>
      </c>
      <c r="AH34" s="2962">
        <v>40.270000000000003</v>
      </c>
      <c r="AI34" s="2962">
        <v>40.270000000000003</v>
      </c>
      <c r="AJ34" s="2962">
        <v>604</v>
      </c>
      <c r="AK34" s="2962">
        <v>604</v>
      </c>
      <c r="AL34" s="2962" t="s">
        <v>1327</v>
      </c>
      <c r="AM34" s="2962" t="s">
        <v>1327</v>
      </c>
      <c r="AN34" s="2962">
        <v>0</v>
      </c>
      <c r="AO34" s="2962" t="s">
        <v>3153</v>
      </c>
      <c r="AP34" s="2962" t="s">
        <v>1327</v>
      </c>
      <c r="AQ34" s="2962" t="s">
        <v>1327</v>
      </c>
      <c r="AR34" s="2962" t="s">
        <v>1327</v>
      </c>
      <c r="AS34" s="2962" t="s">
        <v>3154</v>
      </c>
    </row>
    <row r="35" spans="1:45">
      <c r="A35" s="2962" t="s">
        <v>3284</v>
      </c>
      <c r="B35" s="2962" t="s">
        <v>3139</v>
      </c>
      <c r="C35" s="2962" t="s">
        <v>3140</v>
      </c>
      <c r="D35" s="2962" t="s">
        <v>3141</v>
      </c>
      <c r="E35" s="2962" t="s">
        <v>1327</v>
      </c>
      <c r="F35" s="2962" t="s">
        <v>3284</v>
      </c>
      <c r="G35" s="2962" t="s">
        <v>3142</v>
      </c>
      <c r="H35" s="2962" t="s">
        <v>3308</v>
      </c>
      <c r="I35" s="2962" t="s">
        <v>3157</v>
      </c>
      <c r="J35" s="2962">
        <v>13329</v>
      </c>
      <c r="K35" s="2962">
        <v>13329</v>
      </c>
      <c r="L35" s="2962" t="s">
        <v>3217</v>
      </c>
      <c r="M35" s="2962" t="s">
        <v>1327</v>
      </c>
      <c r="N35" s="2962" t="s">
        <v>3288</v>
      </c>
      <c r="O35" s="2962" t="s">
        <v>1327</v>
      </c>
      <c r="P35" s="2962" t="s">
        <v>1327</v>
      </c>
      <c r="Q35" s="2962" t="s">
        <v>1327</v>
      </c>
      <c r="R35" s="2962" t="s">
        <v>1327</v>
      </c>
      <c r="S35" s="2962" t="s">
        <v>1327</v>
      </c>
      <c r="T35" s="2962" t="s">
        <v>1327</v>
      </c>
      <c r="U35" s="2962" t="s">
        <v>1327</v>
      </c>
      <c r="V35" s="2962" t="s">
        <v>1327</v>
      </c>
      <c r="W35" s="2962" t="s">
        <v>3249</v>
      </c>
      <c r="X35" s="2962" t="s">
        <v>3289</v>
      </c>
      <c r="Y35" s="2962" t="s">
        <v>3290</v>
      </c>
      <c r="Z35" s="2962" t="s">
        <v>3290</v>
      </c>
      <c r="AA35" s="2962" t="s">
        <v>3290</v>
      </c>
      <c r="AB35" s="2962" t="s">
        <v>3309</v>
      </c>
      <c r="AC35" s="2962" t="s">
        <v>3151</v>
      </c>
      <c r="AD35" s="2962" t="s">
        <v>3240</v>
      </c>
      <c r="AE35" s="2962">
        <v>805.07</v>
      </c>
      <c r="AF35" s="2962">
        <v>805.07</v>
      </c>
      <c r="AG35" s="2962">
        <v>805.07</v>
      </c>
      <c r="AH35" s="2962">
        <v>40.270000000000003</v>
      </c>
      <c r="AI35" s="2962">
        <v>40.270000000000003</v>
      </c>
      <c r="AJ35" s="2962">
        <v>603.99</v>
      </c>
      <c r="AK35" s="2962">
        <v>604</v>
      </c>
      <c r="AL35" s="2962" t="s">
        <v>1327</v>
      </c>
      <c r="AM35" s="2962" t="s">
        <v>1327</v>
      </c>
      <c r="AN35" s="2962">
        <v>0</v>
      </c>
      <c r="AO35" s="2962" t="s">
        <v>3153</v>
      </c>
      <c r="AP35" s="2962" t="s">
        <v>1327</v>
      </c>
      <c r="AQ35" s="2962" t="s">
        <v>1327</v>
      </c>
      <c r="AR35" s="2962" t="s">
        <v>1327</v>
      </c>
      <c r="AS35" s="2962" t="s">
        <v>3154</v>
      </c>
    </row>
    <row r="36" spans="1:45">
      <c r="A36" s="2962" t="s">
        <v>3266</v>
      </c>
      <c r="B36" s="2962" t="s">
        <v>3139</v>
      </c>
      <c r="C36" s="2962" t="s">
        <v>3140</v>
      </c>
      <c r="D36" s="2962" t="s">
        <v>3141</v>
      </c>
      <c r="E36" s="2962" t="s">
        <v>1327</v>
      </c>
      <c r="F36" s="2962" t="s">
        <v>3266</v>
      </c>
      <c r="G36" s="2962" t="s">
        <v>3142</v>
      </c>
      <c r="H36" s="2962" t="s">
        <v>3310</v>
      </c>
      <c r="I36" s="2962" t="s">
        <v>3157</v>
      </c>
      <c r="J36" s="2962">
        <v>31022</v>
      </c>
      <c r="K36" s="2962">
        <v>31022</v>
      </c>
      <c r="L36" s="2962" t="s">
        <v>3217</v>
      </c>
      <c r="M36" s="2962" t="s">
        <v>1327</v>
      </c>
      <c r="N36" s="2962" t="s">
        <v>3288</v>
      </c>
      <c r="O36" s="2962" t="s">
        <v>1327</v>
      </c>
      <c r="P36" s="2962" t="s">
        <v>1327</v>
      </c>
      <c r="Q36" s="2962" t="s">
        <v>1327</v>
      </c>
      <c r="R36" s="2962" t="s">
        <v>1327</v>
      </c>
      <c r="S36" s="2962" t="s">
        <v>1327</v>
      </c>
      <c r="T36" s="2962" t="s">
        <v>1327</v>
      </c>
      <c r="U36" s="2962" t="s">
        <v>1327</v>
      </c>
      <c r="V36" s="2962" t="s">
        <v>1327</v>
      </c>
      <c r="W36" s="2962" t="s">
        <v>3249</v>
      </c>
      <c r="X36" s="2962" t="s">
        <v>3289</v>
      </c>
      <c r="Y36" s="2962" t="s">
        <v>3290</v>
      </c>
      <c r="Z36" s="2962" t="s">
        <v>3290</v>
      </c>
      <c r="AA36" s="2962" t="s">
        <v>3290</v>
      </c>
      <c r="AB36" s="2962" t="s">
        <v>3311</v>
      </c>
      <c r="AC36" s="2962" t="s">
        <v>3151</v>
      </c>
      <c r="AD36" s="2962" t="s">
        <v>3240</v>
      </c>
      <c r="AE36" s="2962">
        <v>1867.52</v>
      </c>
      <c r="AF36" s="2962">
        <v>1867.51</v>
      </c>
      <c r="AG36" s="2962">
        <v>1867.51</v>
      </c>
      <c r="AH36" s="2962">
        <v>40.130000000000003</v>
      </c>
      <c r="AI36" s="2962">
        <v>40.130000000000003</v>
      </c>
      <c r="AJ36" s="2962">
        <v>601.99</v>
      </c>
      <c r="AK36" s="2962">
        <v>602</v>
      </c>
      <c r="AL36" s="2962" t="s">
        <v>1327</v>
      </c>
      <c r="AM36" s="2962" t="s">
        <v>1327</v>
      </c>
      <c r="AN36" s="2962">
        <v>0</v>
      </c>
      <c r="AO36" s="2962" t="s">
        <v>3153</v>
      </c>
      <c r="AP36" s="2962" t="s">
        <v>1327</v>
      </c>
      <c r="AQ36" s="2962" t="s">
        <v>1327</v>
      </c>
      <c r="AR36" s="2962" t="s">
        <v>1327</v>
      </c>
      <c r="AS36" s="2962" t="s">
        <v>3154</v>
      </c>
    </row>
    <row r="37" spans="1:45">
      <c r="A37" s="2962" t="s">
        <v>3312</v>
      </c>
      <c r="B37" s="2962" t="s">
        <v>3139</v>
      </c>
      <c r="C37" s="2962" t="s">
        <v>3140</v>
      </c>
      <c r="D37" s="2962" t="s">
        <v>3141</v>
      </c>
      <c r="E37" s="2962" t="s">
        <v>1327</v>
      </c>
      <c r="F37" s="2962" t="s">
        <v>3312</v>
      </c>
      <c r="G37" s="2962" t="s">
        <v>3142</v>
      </c>
      <c r="H37" s="2962" t="s">
        <v>3313</v>
      </c>
      <c r="I37" s="2962" t="s">
        <v>3157</v>
      </c>
      <c r="J37" s="2962">
        <v>33766</v>
      </c>
      <c r="K37" s="2962">
        <v>33766</v>
      </c>
      <c r="L37" s="2962" t="s">
        <v>3217</v>
      </c>
      <c r="M37" s="2962" t="s">
        <v>1327</v>
      </c>
      <c r="N37" s="2962" t="s">
        <v>3288</v>
      </c>
      <c r="O37" s="2962" t="s">
        <v>1327</v>
      </c>
      <c r="P37" s="2962" t="s">
        <v>1327</v>
      </c>
      <c r="Q37" s="2962" t="s">
        <v>1327</v>
      </c>
      <c r="R37" s="2962" t="s">
        <v>1327</v>
      </c>
      <c r="S37" s="2962" t="s">
        <v>1327</v>
      </c>
      <c r="T37" s="2962" t="s">
        <v>1327</v>
      </c>
      <c r="U37" s="2962" t="s">
        <v>1327</v>
      </c>
      <c r="V37" s="2962" t="s">
        <v>1327</v>
      </c>
      <c r="W37" s="2962" t="s">
        <v>3249</v>
      </c>
      <c r="X37" s="2962" t="s">
        <v>3289</v>
      </c>
      <c r="Y37" s="2962" t="s">
        <v>3290</v>
      </c>
      <c r="Z37" s="2962" t="s">
        <v>3290</v>
      </c>
      <c r="AA37" s="2962" t="s">
        <v>3290</v>
      </c>
      <c r="AB37" s="2962" t="s">
        <v>3314</v>
      </c>
      <c r="AC37" s="2962" t="s">
        <v>3151</v>
      </c>
      <c r="AD37" s="2962" t="s">
        <v>3240</v>
      </c>
      <c r="AE37" s="2962">
        <v>2039.47</v>
      </c>
      <c r="AF37" s="2962">
        <v>2039.47</v>
      </c>
      <c r="AG37" s="2962">
        <v>2039.47</v>
      </c>
      <c r="AH37" s="2962">
        <v>40.270000000000003</v>
      </c>
      <c r="AI37" s="2962">
        <v>40.270000000000003</v>
      </c>
      <c r="AJ37" s="2962">
        <v>604</v>
      </c>
      <c r="AK37" s="2962">
        <v>604</v>
      </c>
      <c r="AL37" s="2962" t="s">
        <v>1327</v>
      </c>
      <c r="AM37" s="2962" t="s">
        <v>1327</v>
      </c>
      <c r="AN37" s="2962">
        <v>0</v>
      </c>
      <c r="AO37" s="2962" t="s">
        <v>3153</v>
      </c>
      <c r="AP37" s="2962" t="s">
        <v>1327</v>
      </c>
      <c r="AQ37" s="2962" t="s">
        <v>1327</v>
      </c>
      <c r="AR37" s="2962" t="s">
        <v>1327</v>
      </c>
      <c r="AS37" s="2962" t="s">
        <v>3154</v>
      </c>
    </row>
    <row r="38" spans="1:45">
      <c r="A38" s="2962" t="s">
        <v>3270</v>
      </c>
      <c r="B38" s="2962" t="s">
        <v>3139</v>
      </c>
      <c r="C38" s="2962" t="s">
        <v>3140</v>
      </c>
      <c r="D38" s="2962" t="s">
        <v>3141</v>
      </c>
      <c r="E38" s="2962" t="s">
        <v>1327</v>
      </c>
      <c r="F38" s="2962" t="s">
        <v>3270</v>
      </c>
      <c r="G38" s="2962" t="s">
        <v>3142</v>
      </c>
      <c r="H38" s="2962" t="s">
        <v>3315</v>
      </c>
      <c r="I38" s="2962" t="s">
        <v>3157</v>
      </c>
      <c r="J38" s="2962">
        <v>66941</v>
      </c>
      <c r="K38" s="2962">
        <v>66941</v>
      </c>
      <c r="L38" s="2962" t="s">
        <v>3217</v>
      </c>
      <c r="M38" s="2962" t="s">
        <v>1327</v>
      </c>
      <c r="N38" s="2962" t="s">
        <v>3288</v>
      </c>
      <c r="O38" s="2962" t="s">
        <v>1327</v>
      </c>
      <c r="P38" s="2962" t="s">
        <v>1327</v>
      </c>
      <c r="Q38" s="2962" t="s">
        <v>1327</v>
      </c>
      <c r="R38" s="2962" t="s">
        <v>1327</v>
      </c>
      <c r="S38" s="2962" t="s">
        <v>1327</v>
      </c>
      <c r="T38" s="2962" t="s">
        <v>1327</v>
      </c>
      <c r="U38" s="2962" t="s">
        <v>1327</v>
      </c>
      <c r="V38" s="2962" t="s">
        <v>1327</v>
      </c>
      <c r="W38" s="2962" t="s">
        <v>3249</v>
      </c>
      <c r="X38" s="2962" t="s">
        <v>3289</v>
      </c>
      <c r="Y38" s="2962" t="s">
        <v>3290</v>
      </c>
      <c r="Z38" s="2962" t="s">
        <v>3290</v>
      </c>
      <c r="AA38" s="2962" t="s">
        <v>3290</v>
      </c>
      <c r="AB38" s="2962" t="s">
        <v>3316</v>
      </c>
      <c r="AC38" s="2962" t="s">
        <v>3151</v>
      </c>
      <c r="AD38" s="2962" t="s">
        <v>3240</v>
      </c>
      <c r="AE38" s="2962">
        <v>4096.79</v>
      </c>
      <c r="AF38" s="2962">
        <v>4096.78</v>
      </c>
      <c r="AG38" s="2962">
        <v>4096.78</v>
      </c>
      <c r="AH38" s="2962">
        <v>40.799999999999997</v>
      </c>
      <c r="AI38" s="2962">
        <v>40.799999999999997</v>
      </c>
      <c r="AJ38" s="2962">
        <v>612</v>
      </c>
      <c r="AK38" s="2962">
        <v>612</v>
      </c>
      <c r="AL38" s="2962" t="s">
        <v>1327</v>
      </c>
      <c r="AM38" s="2962" t="s">
        <v>1327</v>
      </c>
      <c r="AN38" s="2962">
        <v>0</v>
      </c>
      <c r="AO38" s="2962" t="s">
        <v>3153</v>
      </c>
      <c r="AP38" s="2962" t="s">
        <v>1327</v>
      </c>
      <c r="AQ38" s="2962" t="s">
        <v>1327</v>
      </c>
      <c r="AR38" s="2962" t="s">
        <v>1327</v>
      </c>
      <c r="AS38" s="2962" t="s">
        <v>3154</v>
      </c>
    </row>
    <row r="39" spans="1:45">
      <c r="A39" s="2962" t="s">
        <v>3237</v>
      </c>
      <c r="B39" s="2962" t="s">
        <v>3139</v>
      </c>
      <c r="C39" s="2962" t="s">
        <v>3140</v>
      </c>
      <c r="D39" s="2962" t="s">
        <v>3141</v>
      </c>
      <c r="E39" s="2962" t="s">
        <v>1327</v>
      </c>
      <c r="F39" s="2962" t="s">
        <v>3237</v>
      </c>
      <c r="G39" s="2962" t="s">
        <v>3142</v>
      </c>
      <c r="H39" s="2962" t="s">
        <v>3317</v>
      </c>
      <c r="I39" s="2962" t="s">
        <v>3231</v>
      </c>
      <c r="J39" s="2962">
        <v>46995</v>
      </c>
      <c r="K39" s="2962">
        <v>28197</v>
      </c>
      <c r="L39" s="2962" t="s">
        <v>3183</v>
      </c>
      <c r="M39" s="2962" t="s">
        <v>1327</v>
      </c>
      <c r="N39" s="2962" t="s">
        <v>3288</v>
      </c>
      <c r="O39" s="2962" t="s">
        <v>1327</v>
      </c>
      <c r="P39" s="2962" t="s">
        <v>1327</v>
      </c>
      <c r="Q39" s="2962" t="s">
        <v>1327</v>
      </c>
      <c r="R39" s="2962" t="s">
        <v>1327</v>
      </c>
      <c r="S39" s="2962" t="s">
        <v>1327</v>
      </c>
      <c r="T39" s="2962" t="s">
        <v>1327</v>
      </c>
      <c r="U39" s="2962" t="s">
        <v>1327</v>
      </c>
      <c r="V39" s="2962" t="s">
        <v>1327</v>
      </c>
      <c r="W39" s="2962" t="s">
        <v>3249</v>
      </c>
      <c r="X39" s="2962" t="s">
        <v>3289</v>
      </c>
      <c r="Y39" s="2962" t="s">
        <v>3290</v>
      </c>
      <c r="Z39" s="2962" t="s">
        <v>3290</v>
      </c>
      <c r="AA39" s="2962" t="s">
        <v>3290</v>
      </c>
      <c r="AB39" s="2962" t="s">
        <v>3318</v>
      </c>
      <c r="AC39" s="2962" t="s">
        <v>3151</v>
      </c>
      <c r="AD39" s="2962" t="s">
        <v>3240</v>
      </c>
      <c r="AE39" s="2962">
        <v>3268.03</v>
      </c>
      <c r="AF39" s="2962">
        <v>3268.03</v>
      </c>
      <c r="AG39" s="2962">
        <v>3268.03</v>
      </c>
      <c r="AH39" s="2962">
        <v>46.36</v>
      </c>
      <c r="AI39" s="2962">
        <v>46.36</v>
      </c>
      <c r="AJ39" s="2962">
        <v>1158.99</v>
      </c>
      <c r="AK39" s="2962">
        <v>1159</v>
      </c>
      <c r="AL39" s="2962" t="s">
        <v>1327</v>
      </c>
      <c r="AM39" s="2962" t="s">
        <v>1327</v>
      </c>
      <c r="AN39" s="2962">
        <v>0</v>
      </c>
      <c r="AO39" s="2962" t="s">
        <v>3153</v>
      </c>
      <c r="AP39" s="2962" t="s">
        <v>1327</v>
      </c>
      <c r="AQ39" s="2962" t="s">
        <v>1327</v>
      </c>
      <c r="AR39" s="2962" t="s">
        <v>1327</v>
      </c>
      <c r="AS39" s="2962" t="s">
        <v>3154</v>
      </c>
    </row>
    <row r="40" spans="1:45">
      <c r="A40" s="2962" t="s">
        <v>3319</v>
      </c>
      <c r="B40" s="2962" t="s">
        <v>3139</v>
      </c>
      <c r="C40" s="2962" t="s">
        <v>3140</v>
      </c>
      <c r="D40" s="2962" t="s">
        <v>3141</v>
      </c>
      <c r="E40" s="2962" t="s">
        <v>1327</v>
      </c>
      <c r="F40" s="2962" t="s">
        <v>3319</v>
      </c>
      <c r="G40" s="2962" t="s">
        <v>3142</v>
      </c>
      <c r="H40" s="2962" t="s">
        <v>3320</v>
      </c>
      <c r="I40" s="2962" t="s">
        <v>3157</v>
      </c>
      <c r="J40" s="2962">
        <v>12076</v>
      </c>
      <c r="K40" s="2962">
        <v>28982.400000000001</v>
      </c>
      <c r="L40" s="2962" t="s">
        <v>3321</v>
      </c>
      <c r="M40" s="2962" t="s">
        <v>1327</v>
      </c>
      <c r="N40" s="2962" t="s">
        <v>3322</v>
      </c>
      <c r="O40" s="2962" t="s">
        <v>1327</v>
      </c>
      <c r="P40" s="2962" t="s">
        <v>1327</v>
      </c>
      <c r="Q40" s="2962" t="s">
        <v>1327</v>
      </c>
      <c r="R40" s="2962" t="s">
        <v>1327</v>
      </c>
      <c r="S40" s="2962" t="s">
        <v>1327</v>
      </c>
      <c r="T40" s="2962" t="s">
        <v>3323</v>
      </c>
      <c r="U40" s="2962" t="s">
        <v>3201</v>
      </c>
      <c r="V40" s="2962" t="s">
        <v>1327</v>
      </c>
      <c r="W40" s="2962" t="s">
        <v>3249</v>
      </c>
      <c r="X40" s="2962" t="s">
        <v>3324</v>
      </c>
      <c r="Y40" s="2962" t="s">
        <v>3325</v>
      </c>
      <c r="Z40" s="2962" t="s">
        <v>3325</v>
      </c>
      <c r="AA40" s="2962" t="s">
        <v>3325</v>
      </c>
      <c r="AB40" s="2962" t="s">
        <v>3326</v>
      </c>
      <c r="AC40" s="2962" t="s">
        <v>3151</v>
      </c>
      <c r="AD40" s="2962" t="s">
        <v>3327</v>
      </c>
      <c r="AE40" s="2962">
        <v>5379.13</v>
      </c>
      <c r="AF40" s="2962">
        <v>5379.13</v>
      </c>
      <c r="AG40" s="2962">
        <v>5379.13</v>
      </c>
      <c r="AH40" s="2962">
        <v>296.95999999999998</v>
      </c>
      <c r="AI40" s="2962">
        <v>296.95999999999998</v>
      </c>
      <c r="AJ40" s="2962">
        <v>1855.99</v>
      </c>
      <c r="AK40" s="2962">
        <v>1856</v>
      </c>
      <c r="AL40" s="2962" t="s">
        <v>1327</v>
      </c>
      <c r="AM40" s="2962" t="s">
        <v>1327</v>
      </c>
      <c r="AN40" s="2962">
        <v>0</v>
      </c>
      <c r="AO40" s="2962" t="s">
        <v>3153</v>
      </c>
      <c r="AP40" s="2962" t="s">
        <v>1327</v>
      </c>
      <c r="AQ40" s="2962" t="s">
        <v>1327</v>
      </c>
      <c r="AR40" s="2962" t="s">
        <v>1327</v>
      </c>
      <c r="AS40" s="2962" t="s">
        <v>3164</v>
      </c>
    </row>
    <row r="41" spans="1:45">
      <c r="A41" s="2962" t="s">
        <v>3328</v>
      </c>
      <c r="B41" s="2962" t="s">
        <v>3139</v>
      </c>
      <c r="C41" s="2962" t="s">
        <v>3140</v>
      </c>
      <c r="D41" s="2962" t="s">
        <v>3141</v>
      </c>
      <c r="E41" s="2962" t="s">
        <v>1327</v>
      </c>
      <c r="F41" s="2962" t="s">
        <v>3328</v>
      </c>
      <c r="G41" s="2962" t="s">
        <v>3142</v>
      </c>
      <c r="H41" s="2962" t="s">
        <v>3329</v>
      </c>
      <c r="I41" s="2962" t="s">
        <v>3157</v>
      </c>
      <c r="J41" s="2962">
        <v>2677</v>
      </c>
      <c r="K41" s="2962">
        <v>6424.8</v>
      </c>
      <c r="L41" s="2962" t="s">
        <v>3321</v>
      </c>
      <c r="M41" s="2962" t="s">
        <v>1327</v>
      </c>
      <c r="N41" s="2962" t="s">
        <v>3288</v>
      </c>
      <c r="O41" s="2962" t="s">
        <v>1327</v>
      </c>
      <c r="P41" s="2962" t="s">
        <v>1327</v>
      </c>
      <c r="Q41" s="2962" t="s">
        <v>1327</v>
      </c>
      <c r="R41" s="2962" t="s">
        <v>1327</v>
      </c>
      <c r="S41" s="2962" t="s">
        <v>1327</v>
      </c>
      <c r="T41" s="2962" t="s">
        <v>3323</v>
      </c>
      <c r="U41" s="2962" t="s">
        <v>3201</v>
      </c>
      <c r="V41" s="2962" t="s">
        <v>1327</v>
      </c>
      <c r="W41" s="2962" t="s">
        <v>3249</v>
      </c>
      <c r="X41" s="2962" t="s">
        <v>3324</v>
      </c>
      <c r="Y41" s="2962" t="s">
        <v>3325</v>
      </c>
      <c r="Z41" s="2962" t="s">
        <v>3325</v>
      </c>
      <c r="AA41" s="2962" t="s">
        <v>3325</v>
      </c>
      <c r="AB41" s="2962" t="s">
        <v>3330</v>
      </c>
      <c r="AC41" s="2962" t="s">
        <v>3151</v>
      </c>
      <c r="AD41" s="2962" t="s">
        <v>3331</v>
      </c>
      <c r="AE41" s="2962">
        <v>3601.74</v>
      </c>
      <c r="AF41" s="2962">
        <v>3601.73</v>
      </c>
      <c r="AG41" s="2962">
        <v>3601.73</v>
      </c>
      <c r="AH41" s="2962">
        <v>896.96</v>
      </c>
      <c r="AI41" s="2962">
        <v>896.96</v>
      </c>
      <c r="AJ41" s="2962">
        <v>5605.99</v>
      </c>
      <c r="AK41" s="2962">
        <v>5606</v>
      </c>
      <c r="AL41" s="2962" t="s">
        <v>1327</v>
      </c>
      <c r="AM41" s="2962" t="s">
        <v>1327</v>
      </c>
      <c r="AN41" s="2962">
        <v>0</v>
      </c>
      <c r="AO41" s="2962" t="s">
        <v>3153</v>
      </c>
      <c r="AP41" s="2962" t="s">
        <v>1327</v>
      </c>
      <c r="AQ41" s="2962" t="s">
        <v>1327</v>
      </c>
      <c r="AR41" s="2962" t="s">
        <v>1327</v>
      </c>
      <c r="AS41" s="2962" t="s">
        <v>3179</v>
      </c>
    </row>
    <row r="42" spans="1:45">
      <c r="A42" s="2962" t="s">
        <v>3332</v>
      </c>
      <c r="B42" s="2962" t="s">
        <v>3139</v>
      </c>
      <c r="C42" s="2962" t="s">
        <v>3140</v>
      </c>
      <c r="D42" s="2962" t="s">
        <v>3141</v>
      </c>
      <c r="E42" s="2962" t="s">
        <v>1327</v>
      </c>
      <c r="F42" s="2962" t="s">
        <v>3332</v>
      </c>
      <c r="G42" s="2962" t="s">
        <v>3142</v>
      </c>
      <c r="H42" s="2962" t="s">
        <v>3333</v>
      </c>
      <c r="I42" s="2962" t="s">
        <v>3157</v>
      </c>
      <c r="J42" s="2962">
        <v>13508</v>
      </c>
      <c r="K42" s="2962">
        <v>24314.400000000001</v>
      </c>
      <c r="L42" s="2962" t="s">
        <v>3334</v>
      </c>
      <c r="M42" s="2962" t="s">
        <v>1327</v>
      </c>
      <c r="N42" s="2962" t="s">
        <v>3335</v>
      </c>
      <c r="O42" s="2962" t="s">
        <v>1327</v>
      </c>
      <c r="P42" s="2962" t="s">
        <v>1327</v>
      </c>
      <c r="Q42" s="2962" t="s">
        <v>1327</v>
      </c>
      <c r="R42" s="2962" t="s">
        <v>1327</v>
      </c>
      <c r="S42" s="2962" t="s">
        <v>1327</v>
      </c>
      <c r="T42" s="2962" t="s">
        <v>1327</v>
      </c>
      <c r="U42" s="2962" t="s">
        <v>1327</v>
      </c>
      <c r="V42" s="2962" t="s">
        <v>1327</v>
      </c>
      <c r="W42" s="2962" t="s">
        <v>3249</v>
      </c>
      <c r="X42" s="2962" t="s">
        <v>3336</v>
      </c>
      <c r="Y42" s="2962" t="s">
        <v>3337</v>
      </c>
      <c r="Z42" s="2962" t="s">
        <v>3337</v>
      </c>
      <c r="AA42" s="2962" t="s">
        <v>3337</v>
      </c>
      <c r="AB42" s="2962" t="s">
        <v>3338</v>
      </c>
      <c r="AC42" s="2962" t="s">
        <v>3151</v>
      </c>
      <c r="AD42" s="2962" t="s">
        <v>3339</v>
      </c>
      <c r="AE42" s="2962">
        <v>6559.48</v>
      </c>
      <c r="AF42" s="2962">
        <v>6559.47</v>
      </c>
      <c r="AG42" s="2962">
        <v>6559.47</v>
      </c>
      <c r="AH42" s="2962">
        <v>323.73</v>
      </c>
      <c r="AI42" s="2962">
        <v>323.73</v>
      </c>
      <c r="AJ42" s="2962">
        <v>2697.77</v>
      </c>
      <c r="AK42" s="2962">
        <v>2697.78</v>
      </c>
      <c r="AL42" s="2962" t="s">
        <v>1327</v>
      </c>
      <c r="AM42" s="2962" t="s">
        <v>1327</v>
      </c>
      <c r="AN42" s="2962">
        <v>0</v>
      </c>
      <c r="AO42" s="2962" t="s">
        <v>3153</v>
      </c>
      <c r="AP42" s="2962" t="s">
        <v>1327</v>
      </c>
      <c r="AQ42" s="2962" t="s">
        <v>1327</v>
      </c>
      <c r="AR42" s="2962" t="s">
        <v>1327</v>
      </c>
      <c r="AS42" s="2962" t="s">
        <v>3340</v>
      </c>
    </row>
    <row r="43" spans="1:45">
      <c r="A43" s="2962" t="s">
        <v>3341</v>
      </c>
      <c r="B43" s="2962" t="s">
        <v>3139</v>
      </c>
      <c r="C43" s="2962" t="s">
        <v>3140</v>
      </c>
      <c r="D43" s="2962" t="s">
        <v>3141</v>
      </c>
      <c r="E43" s="2962" t="s">
        <v>1327</v>
      </c>
      <c r="F43" s="2962" t="s">
        <v>3341</v>
      </c>
      <c r="G43" s="2962" t="s">
        <v>3142</v>
      </c>
      <c r="H43" s="2962" t="s">
        <v>3342</v>
      </c>
      <c r="I43" s="2962" t="s">
        <v>3157</v>
      </c>
      <c r="J43" s="2962">
        <v>40543</v>
      </c>
      <c r="K43" s="2962">
        <v>81086</v>
      </c>
      <c r="L43" s="2962" t="s">
        <v>3158</v>
      </c>
      <c r="M43" s="2962" t="s">
        <v>1327</v>
      </c>
      <c r="N43" s="2962" t="s">
        <v>3335</v>
      </c>
      <c r="O43" s="2962" t="s">
        <v>1327</v>
      </c>
      <c r="P43" s="2962" t="s">
        <v>1327</v>
      </c>
      <c r="Q43" s="2962" t="s">
        <v>1327</v>
      </c>
      <c r="R43" s="2962" t="s">
        <v>1327</v>
      </c>
      <c r="S43" s="2962" t="s">
        <v>1327</v>
      </c>
      <c r="T43" s="2962" t="s">
        <v>1327</v>
      </c>
      <c r="U43" s="2962" t="s">
        <v>1327</v>
      </c>
      <c r="V43" s="2962" t="s">
        <v>1327</v>
      </c>
      <c r="W43" s="2962" t="s">
        <v>3249</v>
      </c>
      <c r="X43" s="2962" t="s">
        <v>3343</v>
      </c>
      <c r="Y43" s="2962" t="s">
        <v>3344</v>
      </c>
      <c r="Z43" s="2962" t="s">
        <v>3344</v>
      </c>
      <c r="AA43" s="2962" t="s">
        <v>3344</v>
      </c>
      <c r="AB43" s="2962" t="s">
        <v>3345</v>
      </c>
      <c r="AC43" s="2962" t="s">
        <v>3151</v>
      </c>
      <c r="AD43" s="2962" t="s">
        <v>3346</v>
      </c>
      <c r="AE43" s="2962">
        <v>15852.31</v>
      </c>
      <c r="AF43" s="2962">
        <v>15852.3</v>
      </c>
      <c r="AG43" s="2962">
        <v>15852.3</v>
      </c>
      <c r="AH43" s="2962">
        <v>260.67</v>
      </c>
      <c r="AI43" s="2962">
        <v>260.67</v>
      </c>
      <c r="AJ43" s="2962">
        <v>1954.99</v>
      </c>
      <c r="AK43" s="2962">
        <v>1955</v>
      </c>
      <c r="AL43" s="2962" t="s">
        <v>1327</v>
      </c>
      <c r="AM43" s="2962" t="s">
        <v>1327</v>
      </c>
      <c r="AN43" s="2962">
        <v>0</v>
      </c>
      <c r="AO43" s="2962" t="s">
        <v>3153</v>
      </c>
      <c r="AP43" s="2962" t="s">
        <v>1327</v>
      </c>
      <c r="AQ43" s="2962" t="s">
        <v>1327</v>
      </c>
      <c r="AR43" s="2962" t="s">
        <v>1327</v>
      </c>
      <c r="AS43" s="2962" t="s">
        <v>3179</v>
      </c>
    </row>
    <row r="44" spans="1:45">
      <c r="A44" s="2962" t="s">
        <v>3347</v>
      </c>
      <c r="B44" s="2962" t="s">
        <v>3139</v>
      </c>
      <c r="C44" s="2962" t="s">
        <v>3140</v>
      </c>
      <c r="D44" s="2962" t="s">
        <v>3141</v>
      </c>
      <c r="E44" s="2962" t="s">
        <v>1327</v>
      </c>
      <c r="F44" s="2962" t="s">
        <v>3347</v>
      </c>
      <c r="G44" s="2962" t="s">
        <v>3142</v>
      </c>
      <c r="H44" s="2962" t="s">
        <v>3348</v>
      </c>
      <c r="I44" s="2962" t="s">
        <v>3263</v>
      </c>
      <c r="J44" s="2962">
        <v>3651</v>
      </c>
      <c r="K44" s="2962">
        <v>3651</v>
      </c>
      <c r="L44" s="2962" t="s">
        <v>3268</v>
      </c>
      <c r="M44" s="2962" t="s">
        <v>1327</v>
      </c>
      <c r="N44" s="2962" t="s">
        <v>3288</v>
      </c>
      <c r="O44" s="2962" t="s">
        <v>1327</v>
      </c>
      <c r="P44" s="2962" t="s">
        <v>1327</v>
      </c>
      <c r="Q44" s="2962" t="s">
        <v>1327</v>
      </c>
      <c r="R44" s="2962" t="s">
        <v>1327</v>
      </c>
      <c r="S44" s="2962" t="s">
        <v>1327</v>
      </c>
      <c r="T44" s="2962" t="s">
        <v>1327</v>
      </c>
      <c r="U44" s="2962" t="s">
        <v>1327</v>
      </c>
      <c r="V44" s="2962" t="s">
        <v>1327</v>
      </c>
      <c r="W44" s="2962" t="s">
        <v>3249</v>
      </c>
      <c r="X44" s="2962" t="s">
        <v>3343</v>
      </c>
      <c r="Y44" s="2962" t="s">
        <v>3344</v>
      </c>
      <c r="Z44" s="2962" t="s">
        <v>3344</v>
      </c>
      <c r="AA44" s="2962" t="s">
        <v>3344</v>
      </c>
      <c r="AB44" s="2962" t="s">
        <v>3349</v>
      </c>
      <c r="AC44" s="2962" t="s">
        <v>3151</v>
      </c>
      <c r="AD44" s="2962" t="s">
        <v>3346</v>
      </c>
      <c r="AE44" s="2962">
        <v>2273.11</v>
      </c>
      <c r="AF44" s="2962">
        <v>2273.11</v>
      </c>
      <c r="AG44" s="2962">
        <v>2273.11</v>
      </c>
      <c r="AH44" s="2962">
        <v>415.07</v>
      </c>
      <c r="AI44" s="2962">
        <v>415.07</v>
      </c>
      <c r="AJ44" s="2962">
        <v>6225.99</v>
      </c>
      <c r="AK44" s="2962">
        <v>6225.98</v>
      </c>
      <c r="AL44" s="2962" t="s">
        <v>1327</v>
      </c>
      <c r="AM44" s="2962" t="s">
        <v>1327</v>
      </c>
      <c r="AN44" s="2962">
        <v>0</v>
      </c>
      <c r="AO44" s="2962" t="s">
        <v>3153</v>
      </c>
      <c r="AP44" s="2962" t="s">
        <v>1327</v>
      </c>
      <c r="AQ44" s="2962" t="s">
        <v>1327</v>
      </c>
      <c r="AR44" s="2962" t="s">
        <v>1327</v>
      </c>
      <c r="AS44" s="2962" t="s">
        <v>3179</v>
      </c>
    </row>
    <row r="45" spans="1:45">
      <c r="A45" s="2962" t="s">
        <v>3350</v>
      </c>
      <c r="B45" s="2962" t="s">
        <v>3139</v>
      </c>
      <c r="C45" s="2962" t="s">
        <v>3140</v>
      </c>
      <c r="D45" s="2962" t="s">
        <v>3141</v>
      </c>
      <c r="E45" s="2962" t="s">
        <v>1327</v>
      </c>
      <c r="F45" s="2962" t="s">
        <v>3350</v>
      </c>
      <c r="G45" s="2962" t="s">
        <v>3142</v>
      </c>
      <c r="H45" s="2962" t="s">
        <v>3351</v>
      </c>
      <c r="I45" s="2962" t="s">
        <v>3263</v>
      </c>
      <c r="J45" s="2962">
        <v>54369</v>
      </c>
      <c r="K45" s="2962">
        <v>54369</v>
      </c>
      <c r="L45" s="2962" t="s">
        <v>3268</v>
      </c>
      <c r="M45" s="2962" t="s">
        <v>1327</v>
      </c>
      <c r="N45" s="2962" t="s">
        <v>3352</v>
      </c>
      <c r="O45" s="2962" t="s">
        <v>1327</v>
      </c>
      <c r="P45" s="2962" t="s">
        <v>1327</v>
      </c>
      <c r="Q45" s="2962" t="s">
        <v>1327</v>
      </c>
      <c r="R45" s="2962" t="s">
        <v>1327</v>
      </c>
      <c r="S45" s="2962" t="s">
        <v>1327</v>
      </c>
      <c r="T45" s="2962" t="s">
        <v>1327</v>
      </c>
      <c r="U45" s="2962" t="s">
        <v>1327</v>
      </c>
      <c r="V45" s="2962" t="s">
        <v>1327</v>
      </c>
      <c r="W45" s="2962" t="s">
        <v>3249</v>
      </c>
      <c r="X45" s="2962" t="s">
        <v>3353</v>
      </c>
      <c r="Y45" s="2962" t="s">
        <v>3354</v>
      </c>
      <c r="Z45" s="2962" t="s">
        <v>3354</v>
      </c>
      <c r="AA45" s="2962" t="s">
        <v>3354</v>
      </c>
      <c r="AB45" s="2962" t="s">
        <v>3355</v>
      </c>
      <c r="AC45" s="2962" t="s">
        <v>3151</v>
      </c>
      <c r="AD45" s="2962" t="s">
        <v>3356</v>
      </c>
      <c r="AE45" s="2962">
        <v>13728.17</v>
      </c>
      <c r="AF45" s="2962">
        <v>13728.17</v>
      </c>
      <c r="AG45" s="2962">
        <v>13728.17</v>
      </c>
      <c r="AH45" s="2962">
        <v>168.33</v>
      </c>
      <c r="AI45" s="2962">
        <v>168.33</v>
      </c>
      <c r="AJ45" s="2962">
        <v>2524.9899999999998</v>
      </c>
      <c r="AK45" s="2962">
        <v>2525</v>
      </c>
      <c r="AL45" s="2962" t="s">
        <v>1327</v>
      </c>
      <c r="AM45" s="2962" t="s">
        <v>1327</v>
      </c>
      <c r="AN45" s="2962">
        <v>0</v>
      </c>
      <c r="AO45" s="2962" t="s">
        <v>3153</v>
      </c>
      <c r="AP45" s="2962" t="s">
        <v>1327</v>
      </c>
      <c r="AQ45" s="2962" t="s">
        <v>1327</v>
      </c>
      <c r="AR45" s="2962" t="s">
        <v>1327</v>
      </c>
      <c r="AS45" s="2962" t="s">
        <v>3253</v>
      </c>
    </row>
    <row r="46" spans="1:45">
      <c r="A46" s="2962" t="s">
        <v>3357</v>
      </c>
      <c r="B46" s="2962" t="s">
        <v>3139</v>
      </c>
      <c r="C46" s="2962" t="s">
        <v>3140</v>
      </c>
      <c r="D46" s="2962" t="s">
        <v>3141</v>
      </c>
      <c r="E46" s="2962" t="s">
        <v>1327</v>
      </c>
      <c r="F46" s="2962" t="s">
        <v>3357</v>
      </c>
      <c r="G46" s="2962" t="s">
        <v>3142</v>
      </c>
      <c r="H46" s="2962" t="s">
        <v>3358</v>
      </c>
      <c r="I46" s="2962" t="s">
        <v>3157</v>
      </c>
      <c r="J46" s="2962">
        <v>19478</v>
      </c>
      <c r="K46" s="2962">
        <v>38956</v>
      </c>
      <c r="L46" s="2962" t="s">
        <v>3158</v>
      </c>
      <c r="M46" s="2962" t="s">
        <v>1327</v>
      </c>
      <c r="N46" s="2962" t="s">
        <v>3352</v>
      </c>
      <c r="O46" s="2962" t="s">
        <v>1327</v>
      </c>
      <c r="P46" s="2962" t="s">
        <v>1327</v>
      </c>
      <c r="Q46" s="2962" t="s">
        <v>1327</v>
      </c>
      <c r="R46" s="2962" t="s">
        <v>1327</v>
      </c>
      <c r="S46" s="2962" t="s">
        <v>1327</v>
      </c>
      <c r="T46" s="2962" t="s">
        <v>1327</v>
      </c>
      <c r="U46" s="2962" t="s">
        <v>1327</v>
      </c>
      <c r="V46" s="2962" t="s">
        <v>1327</v>
      </c>
      <c r="W46" s="2962" t="s">
        <v>3249</v>
      </c>
      <c r="X46" s="2962" t="s">
        <v>3359</v>
      </c>
      <c r="Y46" s="2962" t="s">
        <v>3360</v>
      </c>
      <c r="Z46" s="2962" t="s">
        <v>3360</v>
      </c>
      <c r="AA46" s="2962" t="s">
        <v>3360</v>
      </c>
      <c r="AB46" s="2962" t="s">
        <v>3361</v>
      </c>
      <c r="AC46" s="2962" t="s">
        <v>3151</v>
      </c>
      <c r="AD46" s="2962" t="s">
        <v>3362</v>
      </c>
      <c r="AE46" s="2962">
        <v>8917.0300000000007</v>
      </c>
      <c r="AF46" s="2962">
        <v>8917.0300000000007</v>
      </c>
      <c r="AG46" s="2962">
        <v>8917.0300000000007</v>
      </c>
      <c r="AH46" s="2962">
        <v>305.2</v>
      </c>
      <c r="AI46" s="2962">
        <v>305.2</v>
      </c>
      <c r="AJ46" s="2962">
        <v>2289</v>
      </c>
      <c r="AK46" s="2962">
        <v>2289</v>
      </c>
      <c r="AL46" s="2962" t="s">
        <v>1327</v>
      </c>
      <c r="AM46" s="2962" t="s">
        <v>1327</v>
      </c>
      <c r="AN46" s="2962">
        <v>0</v>
      </c>
      <c r="AO46" s="2962" t="s">
        <v>3153</v>
      </c>
      <c r="AP46" s="2962" t="s">
        <v>1327</v>
      </c>
      <c r="AQ46" s="2962" t="s">
        <v>1327</v>
      </c>
      <c r="AR46" s="2962" t="s">
        <v>1327</v>
      </c>
      <c r="AS46" s="2962" t="s">
        <v>3179</v>
      </c>
    </row>
    <row r="47" spans="1:45">
      <c r="A47" s="2962" t="s">
        <v>3363</v>
      </c>
      <c r="B47" s="2962" t="s">
        <v>3139</v>
      </c>
      <c r="C47" s="2962" t="s">
        <v>3140</v>
      </c>
      <c r="D47" s="2962" t="s">
        <v>3141</v>
      </c>
      <c r="E47" s="2962" t="s">
        <v>1327</v>
      </c>
      <c r="F47" s="2962" t="s">
        <v>3363</v>
      </c>
      <c r="G47" s="2962" t="s">
        <v>3142</v>
      </c>
      <c r="H47" s="2962" t="s">
        <v>3364</v>
      </c>
      <c r="I47" s="2962" t="s">
        <v>3263</v>
      </c>
      <c r="J47" s="2962">
        <v>9188.4</v>
      </c>
      <c r="K47" s="2962">
        <v>9188.4</v>
      </c>
      <c r="L47" s="2962" t="s">
        <v>3268</v>
      </c>
      <c r="M47" s="2962" t="s">
        <v>1327</v>
      </c>
      <c r="N47" s="2962" t="s">
        <v>3288</v>
      </c>
      <c r="O47" s="2962" t="s">
        <v>1327</v>
      </c>
      <c r="P47" s="2962" t="s">
        <v>1327</v>
      </c>
      <c r="Q47" s="2962" t="s">
        <v>1327</v>
      </c>
      <c r="R47" s="2962" t="s">
        <v>1327</v>
      </c>
      <c r="S47" s="2962" t="s">
        <v>1327</v>
      </c>
      <c r="T47" s="2962" t="s">
        <v>1327</v>
      </c>
      <c r="U47" s="2962" t="s">
        <v>1327</v>
      </c>
      <c r="V47" s="2962" t="s">
        <v>1327</v>
      </c>
      <c r="W47" s="2962" t="s">
        <v>3249</v>
      </c>
      <c r="X47" s="2962" t="s">
        <v>3365</v>
      </c>
      <c r="Y47" s="2962" t="s">
        <v>3366</v>
      </c>
      <c r="Z47" s="2962" t="s">
        <v>3366</v>
      </c>
      <c r="AA47" s="2962" t="s">
        <v>3366</v>
      </c>
      <c r="AB47" s="2962" t="s">
        <v>3367</v>
      </c>
      <c r="AC47" s="2962" t="s">
        <v>3151</v>
      </c>
      <c r="AD47" s="2962" t="s">
        <v>3368</v>
      </c>
      <c r="AE47" s="2962">
        <v>599.08000000000004</v>
      </c>
      <c r="AF47" s="2962">
        <v>599.08000000000004</v>
      </c>
      <c r="AG47" s="2962">
        <v>599.08000000000004</v>
      </c>
      <c r="AH47" s="2962">
        <v>43.47</v>
      </c>
      <c r="AI47" s="2962">
        <v>43.47</v>
      </c>
      <c r="AJ47" s="2962">
        <v>651.99</v>
      </c>
      <c r="AK47" s="2962">
        <v>652</v>
      </c>
      <c r="AL47" s="2962" t="s">
        <v>1327</v>
      </c>
      <c r="AM47" s="2962" t="s">
        <v>1327</v>
      </c>
      <c r="AN47" s="2962">
        <v>0</v>
      </c>
      <c r="AO47" s="2962" t="s">
        <v>3153</v>
      </c>
      <c r="AP47" s="2962" t="s">
        <v>1327</v>
      </c>
      <c r="AQ47" s="2962" t="s">
        <v>1327</v>
      </c>
      <c r="AR47" s="2962" t="s">
        <v>1327</v>
      </c>
      <c r="AS47" s="2962" t="s">
        <v>3154</v>
      </c>
    </row>
    <row r="48" spans="1:45" hidden="1">
      <c r="A48" s="2962" t="s">
        <v>3369</v>
      </c>
      <c r="B48" s="2962" t="s">
        <v>3139</v>
      </c>
      <c r="C48" s="2962" t="s">
        <v>3140</v>
      </c>
      <c r="D48" s="2962" t="s">
        <v>3141</v>
      </c>
      <c r="E48" s="2962" t="s">
        <v>1327</v>
      </c>
      <c r="F48" s="2962" t="s">
        <v>3369</v>
      </c>
      <c r="G48" s="2962" t="s">
        <v>3142</v>
      </c>
      <c r="H48" s="2962" t="s">
        <v>3370</v>
      </c>
      <c r="I48" s="2962" t="s">
        <v>3263</v>
      </c>
      <c r="J48" s="2962">
        <v>7972</v>
      </c>
      <c r="K48" s="2962">
        <v>11958</v>
      </c>
      <c r="L48" s="2962" t="s">
        <v>3209</v>
      </c>
      <c r="M48" s="2962" t="s">
        <v>1327</v>
      </c>
      <c r="N48" s="2962" t="s">
        <v>3288</v>
      </c>
      <c r="O48" s="2962" t="s">
        <v>1327</v>
      </c>
      <c r="P48" s="2962" t="s">
        <v>1327</v>
      </c>
      <c r="Q48" s="2962" t="s">
        <v>1327</v>
      </c>
      <c r="R48" s="2962" t="s">
        <v>1327</v>
      </c>
      <c r="S48" s="2962" t="s">
        <v>1327</v>
      </c>
      <c r="T48" s="2962" t="s">
        <v>3371</v>
      </c>
      <c r="U48" s="2962" t="s">
        <v>3372</v>
      </c>
      <c r="V48" s="2962" t="s">
        <v>1327</v>
      </c>
      <c r="W48" s="2962" t="s">
        <v>3249</v>
      </c>
      <c r="X48" s="2962" t="s">
        <v>3373</v>
      </c>
      <c r="Y48" s="2962" t="s">
        <v>3374</v>
      </c>
      <c r="Z48" s="2962" t="s">
        <v>3374</v>
      </c>
      <c r="AA48" s="2962" t="s">
        <v>3374</v>
      </c>
      <c r="AB48" s="2962" t="s">
        <v>3375</v>
      </c>
      <c r="AC48" s="2962" t="s">
        <v>3151</v>
      </c>
      <c r="AD48" s="2962" t="s">
        <v>3376</v>
      </c>
      <c r="AE48" s="2962">
        <v>3038.53</v>
      </c>
      <c r="AF48" s="2962">
        <v>3038.53</v>
      </c>
      <c r="AG48" s="2962">
        <v>3038.53</v>
      </c>
      <c r="AH48" s="2962">
        <v>254.1</v>
      </c>
      <c r="AI48" s="2962">
        <v>254.1</v>
      </c>
      <c r="AJ48" s="2962">
        <v>2541</v>
      </c>
      <c r="AK48" s="2962">
        <v>2541</v>
      </c>
      <c r="AL48" s="2962" t="s">
        <v>1327</v>
      </c>
      <c r="AM48" s="2962" t="s">
        <v>1327</v>
      </c>
      <c r="AN48" s="2962">
        <v>0</v>
      </c>
      <c r="AO48" s="2962" t="s">
        <v>3153</v>
      </c>
      <c r="AP48" s="2962" t="s">
        <v>1327</v>
      </c>
      <c r="AQ48" s="2962" t="s">
        <v>1327</v>
      </c>
      <c r="AR48" s="2962" t="s">
        <v>1327</v>
      </c>
      <c r="AS48" s="2962" t="s">
        <v>3179</v>
      </c>
    </row>
    <row r="49" spans="1:45">
      <c r="A49" s="2962" t="s">
        <v>3377</v>
      </c>
      <c r="B49" s="2962" t="s">
        <v>3139</v>
      </c>
      <c r="C49" s="2962" t="s">
        <v>3140</v>
      </c>
      <c r="D49" s="2962" t="s">
        <v>3141</v>
      </c>
      <c r="E49" s="2962" t="s">
        <v>1327</v>
      </c>
      <c r="F49" s="2962" t="s">
        <v>3377</v>
      </c>
      <c r="G49" s="2962" t="s">
        <v>3142</v>
      </c>
      <c r="H49" s="2962" t="s">
        <v>3378</v>
      </c>
      <c r="I49" s="2962" t="s">
        <v>3263</v>
      </c>
      <c r="J49" s="2962">
        <v>5366</v>
      </c>
      <c r="K49" s="2962">
        <v>5366</v>
      </c>
      <c r="L49" s="2962" t="s">
        <v>3268</v>
      </c>
      <c r="M49" s="2962" t="s">
        <v>1327</v>
      </c>
      <c r="N49" s="2962" t="s">
        <v>1327</v>
      </c>
      <c r="O49" s="2962" t="s">
        <v>1327</v>
      </c>
      <c r="P49" s="2962" t="s">
        <v>1327</v>
      </c>
      <c r="Q49" s="2962" t="s">
        <v>1327</v>
      </c>
      <c r="R49" s="2962" t="s">
        <v>1327</v>
      </c>
      <c r="S49" s="2962" t="s">
        <v>1327</v>
      </c>
      <c r="T49" s="2962" t="s">
        <v>1327</v>
      </c>
      <c r="U49" s="2962" t="s">
        <v>1327</v>
      </c>
      <c r="V49" s="2962" t="s">
        <v>1327</v>
      </c>
      <c r="W49" s="2962" t="s">
        <v>3249</v>
      </c>
      <c r="X49" s="2962" t="s">
        <v>3379</v>
      </c>
      <c r="Y49" s="2962" t="s">
        <v>3374</v>
      </c>
      <c r="Z49" s="2962" t="s">
        <v>3374</v>
      </c>
      <c r="AA49" s="2962" t="s">
        <v>3374</v>
      </c>
      <c r="AB49" s="2962" t="s">
        <v>3380</v>
      </c>
      <c r="AC49" s="2962" t="s">
        <v>3151</v>
      </c>
      <c r="AD49" s="2962" t="s">
        <v>3381</v>
      </c>
      <c r="AE49" s="2962">
        <v>945.49</v>
      </c>
      <c r="AF49" s="2962">
        <v>945.49</v>
      </c>
      <c r="AG49" s="2962">
        <v>945.49</v>
      </c>
      <c r="AH49" s="2962">
        <v>117.47</v>
      </c>
      <c r="AI49" s="2962">
        <v>117.47</v>
      </c>
      <c r="AJ49" s="2962">
        <v>1762</v>
      </c>
      <c r="AK49" s="2962">
        <v>1762</v>
      </c>
      <c r="AL49" s="2962" t="s">
        <v>1327</v>
      </c>
      <c r="AM49" s="2962" t="s">
        <v>1327</v>
      </c>
      <c r="AN49" s="2962">
        <v>0</v>
      </c>
      <c r="AO49" s="2962" t="s">
        <v>3153</v>
      </c>
      <c r="AP49" s="2962" t="s">
        <v>1327</v>
      </c>
      <c r="AQ49" s="2962" t="s">
        <v>1327</v>
      </c>
      <c r="AR49" s="2962" t="s">
        <v>1327</v>
      </c>
      <c r="AS49" s="2962" t="s">
        <v>3179</v>
      </c>
    </row>
    <row r="50" spans="1:45">
      <c r="A50" s="2962" t="s">
        <v>3382</v>
      </c>
      <c r="B50" s="2962" t="s">
        <v>3139</v>
      </c>
      <c r="C50" s="2962" t="s">
        <v>3140</v>
      </c>
      <c r="D50" s="2962" t="s">
        <v>3141</v>
      </c>
      <c r="E50" s="2962" t="s">
        <v>1327</v>
      </c>
      <c r="F50" s="2962" t="s">
        <v>3382</v>
      </c>
      <c r="G50" s="2962" t="s">
        <v>3142</v>
      </c>
      <c r="H50" s="2962" t="s">
        <v>3383</v>
      </c>
      <c r="I50" s="2962" t="s">
        <v>3384</v>
      </c>
      <c r="J50" s="2962">
        <v>5338</v>
      </c>
      <c r="K50" s="2962">
        <v>1067.5999999999999</v>
      </c>
      <c r="L50" s="2962" t="s">
        <v>3385</v>
      </c>
      <c r="M50" s="2962" t="s">
        <v>1327</v>
      </c>
      <c r="N50" s="2962" t="s">
        <v>3386</v>
      </c>
      <c r="O50" s="2962" t="s">
        <v>1327</v>
      </c>
      <c r="P50" s="2962" t="s">
        <v>1327</v>
      </c>
      <c r="Q50" s="2962" t="s">
        <v>1327</v>
      </c>
      <c r="R50" s="2962" t="s">
        <v>1327</v>
      </c>
      <c r="S50" s="2962" t="s">
        <v>1327</v>
      </c>
      <c r="T50" s="2962" t="s">
        <v>1327</v>
      </c>
      <c r="U50" s="2962" t="s">
        <v>1327</v>
      </c>
      <c r="V50" s="2962" t="s">
        <v>1327</v>
      </c>
      <c r="W50" s="2962" t="s">
        <v>3249</v>
      </c>
      <c r="X50" s="2962" t="s">
        <v>3387</v>
      </c>
      <c r="Y50" s="2962" t="s">
        <v>3388</v>
      </c>
      <c r="Z50" s="2962" t="s">
        <v>3388</v>
      </c>
      <c r="AA50" s="2962" t="s">
        <v>3388</v>
      </c>
      <c r="AB50" s="2962" t="s">
        <v>3389</v>
      </c>
      <c r="AC50" s="2962" t="s">
        <v>3151</v>
      </c>
      <c r="AD50" s="2962" t="s">
        <v>3390</v>
      </c>
      <c r="AE50" s="2962">
        <v>659.46</v>
      </c>
      <c r="AF50" s="2962">
        <v>659.46</v>
      </c>
      <c r="AG50" s="2962">
        <v>659.46</v>
      </c>
      <c r="AH50" s="2962">
        <v>82.36</v>
      </c>
      <c r="AI50" s="2962">
        <v>82.36</v>
      </c>
      <c r="AJ50" s="2962">
        <v>6177.03</v>
      </c>
      <c r="AK50" s="2962">
        <v>6177.02</v>
      </c>
      <c r="AL50" s="2962" t="s">
        <v>1327</v>
      </c>
      <c r="AM50" s="2962" t="s">
        <v>1327</v>
      </c>
      <c r="AN50" s="2962">
        <v>0</v>
      </c>
      <c r="AO50" s="2962" t="s">
        <v>3153</v>
      </c>
      <c r="AP50" s="2962" t="s">
        <v>1327</v>
      </c>
      <c r="AQ50" s="2962" t="s">
        <v>1327</v>
      </c>
      <c r="AR50" s="2962" t="s">
        <v>1327</v>
      </c>
      <c r="AS50" s="2962" t="s">
        <v>3164</v>
      </c>
    </row>
    <row r="51" spans="1:45">
      <c r="A51" s="2962" t="s">
        <v>3391</v>
      </c>
      <c r="B51" s="2962" t="s">
        <v>3139</v>
      </c>
      <c r="C51" s="2962" t="s">
        <v>3140</v>
      </c>
      <c r="D51" s="2962" t="s">
        <v>3141</v>
      </c>
      <c r="E51" s="2962" t="s">
        <v>1327</v>
      </c>
      <c r="F51" s="2962" t="s">
        <v>3391</v>
      </c>
      <c r="G51" s="2962" t="s">
        <v>3142</v>
      </c>
      <c r="H51" s="2962" t="s">
        <v>3392</v>
      </c>
      <c r="I51" s="2962" t="s">
        <v>3263</v>
      </c>
      <c r="J51" s="2962">
        <v>5209.54</v>
      </c>
      <c r="K51" s="2962">
        <v>20838.16</v>
      </c>
      <c r="L51" s="2962" t="s">
        <v>3393</v>
      </c>
      <c r="M51" s="2962" t="s">
        <v>1327</v>
      </c>
      <c r="N51" s="2962" t="s">
        <v>3288</v>
      </c>
      <c r="O51" s="2962" t="s">
        <v>1327</v>
      </c>
      <c r="P51" s="2962" t="s">
        <v>1327</v>
      </c>
      <c r="Q51" s="2962" t="s">
        <v>1327</v>
      </c>
      <c r="R51" s="2962" t="s">
        <v>1327</v>
      </c>
      <c r="S51" s="2962" t="s">
        <v>1327</v>
      </c>
      <c r="T51" s="2962" t="s">
        <v>1327</v>
      </c>
      <c r="U51" s="2962" t="s">
        <v>1327</v>
      </c>
      <c r="V51" s="2962" t="s">
        <v>1327</v>
      </c>
      <c r="W51" s="2962" t="s">
        <v>3249</v>
      </c>
      <c r="X51" s="2962" t="s">
        <v>3394</v>
      </c>
      <c r="Y51" s="2962" t="s">
        <v>3395</v>
      </c>
      <c r="Z51" s="2962" t="s">
        <v>3396</v>
      </c>
      <c r="AA51" s="2962" t="s">
        <v>3396</v>
      </c>
      <c r="AB51" s="2962" t="s">
        <v>3397</v>
      </c>
      <c r="AC51" s="2962" t="s">
        <v>3151</v>
      </c>
      <c r="AD51" s="2962" t="s">
        <v>3398</v>
      </c>
      <c r="AE51" s="2962">
        <v>8253.4</v>
      </c>
      <c r="AF51" s="2962">
        <v>8253.39</v>
      </c>
      <c r="AG51" s="2962">
        <v>8253.39</v>
      </c>
      <c r="AH51" s="2962">
        <v>1056.19</v>
      </c>
      <c r="AI51" s="2962">
        <v>1056.19</v>
      </c>
      <c r="AJ51" s="2962">
        <v>3960.71</v>
      </c>
      <c r="AK51" s="2962">
        <v>3960.71</v>
      </c>
      <c r="AL51" s="2962" t="s">
        <v>1327</v>
      </c>
      <c r="AM51" s="2962" t="s">
        <v>1327</v>
      </c>
      <c r="AN51" s="2962">
        <v>0</v>
      </c>
      <c r="AO51" s="2962" t="s">
        <v>3153</v>
      </c>
      <c r="AP51" s="2962" t="s">
        <v>1327</v>
      </c>
      <c r="AQ51" s="2962" t="s">
        <v>1327</v>
      </c>
      <c r="AR51" s="2962" t="s">
        <v>1327</v>
      </c>
      <c r="AS51" s="2962" t="s">
        <v>3179</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69" t="s">
        <v>2642</v>
      </c>
      <c r="D4" s="3170"/>
      <c r="E4" s="3171" t="s">
        <v>2643</v>
      </c>
      <c r="F4" s="3172"/>
      <c r="G4" s="3169" t="s">
        <v>2644</v>
      </c>
      <c r="H4" s="3170"/>
      <c r="I4" s="3169" t="s">
        <v>2645</v>
      </c>
      <c r="J4" s="3170"/>
      <c r="K4" s="610" t="s">
        <v>2646</v>
      </c>
      <c r="L4" s="1130"/>
      <c r="M4" s="1131"/>
      <c r="N4" s="1131"/>
      <c r="O4" s="1131"/>
      <c r="P4" s="3173" t="s">
        <v>2647</v>
      </c>
      <c r="Q4" s="3174"/>
      <c r="R4" s="3157" t="s">
        <v>2643</v>
      </c>
      <c r="S4" s="3158"/>
      <c r="T4" s="3157" t="s">
        <v>2644</v>
      </c>
      <c r="U4" s="3158"/>
      <c r="V4" s="3181" t="s">
        <v>2645</v>
      </c>
      <c r="W4" s="3181"/>
      <c r="X4" s="1813"/>
      <c r="Y4" s="3157" t="s">
        <v>2647</v>
      </c>
      <c r="Z4" s="3158"/>
      <c r="AA4" s="3152" t="s">
        <v>2643</v>
      </c>
      <c r="AB4" s="3153" t="s">
        <v>2644</v>
      </c>
      <c r="AC4" s="3152" t="s">
        <v>2645</v>
      </c>
    </row>
    <row r="5" spans="1:29" ht="15">
      <c r="A5" s="404"/>
      <c r="B5" s="405"/>
      <c r="C5" s="3167" t="s">
        <v>2538</v>
      </c>
      <c r="D5" s="3164"/>
      <c r="E5" s="3161" t="s">
        <v>2539</v>
      </c>
      <c r="F5" s="3162"/>
      <c r="G5" s="3167" t="s">
        <v>2540</v>
      </c>
      <c r="H5" s="3164"/>
      <c r="I5" s="3167" t="s">
        <v>2541</v>
      </c>
      <c r="J5" s="3164"/>
      <c r="K5" s="610"/>
      <c r="L5" s="1130"/>
      <c r="M5" s="1131"/>
      <c r="N5" s="1131"/>
      <c r="O5" s="1131"/>
      <c r="P5" s="3175"/>
      <c r="Q5" s="3176"/>
      <c r="R5" s="3159"/>
      <c r="S5" s="3160"/>
      <c r="T5" s="3159"/>
      <c r="U5" s="3160"/>
      <c r="V5" s="3181"/>
      <c r="W5" s="3181"/>
      <c r="X5" s="1813"/>
      <c r="Y5" s="3159"/>
      <c r="Z5" s="3160"/>
      <c r="AA5" s="3153"/>
      <c r="AB5" s="3153"/>
      <c r="AC5" s="3153"/>
    </row>
    <row r="6" spans="1:29" ht="15.75" thickBot="1">
      <c r="A6" s="406"/>
      <c r="B6" s="407"/>
      <c r="C6" s="3250" t="s">
        <v>2793</v>
      </c>
      <c r="D6" s="3251"/>
      <c r="E6" s="3252" t="s">
        <v>2793</v>
      </c>
      <c r="F6" s="3253"/>
      <c r="G6" s="3250" t="s">
        <v>2793</v>
      </c>
      <c r="H6" s="3251"/>
      <c r="I6" s="3250" t="s">
        <v>2793</v>
      </c>
      <c r="J6" s="3251"/>
      <c r="K6" s="610" t="s">
        <v>2543</v>
      </c>
      <c r="L6" s="1130"/>
      <c r="M6" s="1131"/>
      <c r="N6" s="1131"/>
      <c r="O6" s="1131"/>
      <c r="P6" s="3177"/>
      <c r="Q6" s="3178"/>
      <c r="R6" s="3159"/>
      <c r="S6" s="3160"/>
      <c r="T6" s="3179"/>
      <c r="U6" s="3180"/>
      <c r="V6" s="3181"/>
      <c r="W6" s="3181"/>
      <c r="X6" s="1813"/>
      <c r="Y6" s="3179"/>
      <c r="Z6" s="3180"/>
      <c r="AA6" s="3154"/>
      <c r="AB6" s="3154"/>
      <c r="AC6" s="3154"/>
    </row>
    <row r="7" spans="1:29" s="117" customFormat="1" ht="15.75" thickBot="1">
      <c r="A7" s="408" t="s">
        <v>2544</v>
      </c>
      <c r="B7" s="409"/>
      <c r="C7" s="410">
        <f>'数据-取费表'!B2</f>
        <v>43692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55" t="s">
        <v>2545</v>
      </c>
      <c r="Q7" s="3182"/>
      <c r="R7" s="770" t="s">
        <v>17</v>
      </c>
      <c r="S7" s="771">
        <f t="shared" ref="S7:S15" si="0">F7</f>
        <v>0</v>
      </c>
      <c r="T7" s="770" t="s">
        <v>17</v>
      </c>
      <c r="U7" s="771">
        <f t="shared" ref="U7:U15" si="1">H7</f>
        <v>0</v>
      </c>
      <c r="V7" s="770" t="s">
        <v>17</v>
      </c>
      <c r="W7" s="771">
        <f t="shared" ref="W7:W15" si="2">J7</f>
        <v>0</v>
      </c>
      <c r="X7" s="772"/>
      <c r="Y7" s="3155" t="s">
        <v>2545</v>
      </c>
      <c r="Z7" s="3156"/>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5" t="s">
        <v>2548</v>
      </c>
      <c r="Q8" s="3156"/>
      <c r="R8" s="770" t="s">
        <v>17</v>
      </c>
      <c r="S8" s="771">
        <f t="shared" si="0"/>
        <v>0</v>
      </c>
      <c r="T8" s="770" t="s">
        <v>17</v>
      </c>
      <c r="U8" s="771">
        <f t="shared" si="1"/>
        <v>0</v>
      </c>
      <c r="V8" s="770" t="s">
        <v>17</v>
      </c>
      <c r="W8" s="771">
        <f t="shared" si="2"/>
        <v>0</v>
      </c>
      <c r="X8" s="772"/>
      <c r="Y8" s="3155" t="s">
        <v>2548</v>
      </c>
      <c r="Z8" s="3156"/>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68"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68"/>
      <c r="Q10" s="1795" t="str">
        <f t="shared" si="6"/>
        <v>土地使用年限（年）</v>
      </c>
      <c r="R10" s="770" t="s">
        <v>17</v>
      </c>
      <c r="S10" s="771">
        <f t="shared" si="0"/>
        <v>106</v>
      </c>
      <c r="T10" s="770" t="s">
        <v>17</v>
      </c>
      <c r="U10" s="771">
        <f t="shared" si="1"/>
        <v>106</v>
      </c>
      <c r="V10" s="770" t="s">
        <v>17</v>
      </c>
      <c r="W10" s="771">
        <f t="shared" si="2"/>
        <v>106</v>
      </c>
      <c r="X10" s="772"/>
      <c r="Y10" s="3032"/>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8"/>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8"/>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8"/>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8"/>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2556</v>
      </c>
      <c r="Q15" s="1810" t="str">
        <f t="shared" si="6"/>
        <v>产业集聚程度</v>
      </c>
      <c r="R15" s="774" t="s">
        <v>17</v>
      </c>
      <c r="S15" s="775">
        <f t="shared" si="0"/>
        <v>100</v>
      </c>
      <c r="T15" s="774" t="s">
        <v>17</v>
      </c>
      <c r="U15" s="775">
        <f t="shared" si="1"/>
        <v>100</v>
      </c>
      <c r="V15" s="774" t="s">
        <v>17</v>
      </c>
      <c r="W15" s="775">
        <f t="shared" si="2"/>
        <v>100</v>
      </c>
      <c r="X15" s="1813"/>
      <c r="Y15" s="3183" t="s">
        <v>2556</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10" t="str">
        <f t="shared" ref="Q19:Q33" si="8">B19</f>
        <v>区域土地利用方向</v>
      </c>
      <c r="R19" s="774" t="s">
        <v>17</v>
      </c>
      <c r="S19" s="775">
        <f>F19</f>
        <v>100</v>
      </c>
      <c r="T19" s="774" t="s">
        <v>17</v>
      </c>
      <c r="U19" s="775">
        <f>H19</f>
        <v>100</v>
      </c>
      <c r="V19" s="774" t="s">
        <v>17</v>
      </c>
      <c r="W19" s="775">
        <f>J19</f>
        <v>100</v>
      </c>
      <c r="X19" s="1813"/>
      <c r="Y19" s="318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4"/>
      <c r="Q20" s="1810"/>
      <c r="R20" s="774"/>
      <c r="S20" s="775"/>
      <c r="T20" s="774"/>
      <c r="U20" s="775"/>
      <c r="V20" s="774"/>
      <c r="W20" s="775"/>
      <c r="X20" s="1813"/>
      <c r="Y20" s="3184"/>
      <c r="Z20" s="1814"/>
      <c r="AA20" s="1811"/>
      <c r="AB20" s="1811"/>
      <c r="AC20" s="1811"/>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10" t="str">
        <f t="shared" si="8"/>
        <v>环境状况</v>
      </c>
      <c r="R21" s="774" t="s">
        <v>17</v>
      </c>
      <c r="S21" s="775">
        <f>F21</f>
        <v>100</v>
      </c>
      <c r="T21" s="774" t="s">
        <v>17</v>
      </c>
      <c r="U21" s="775">
        <f>H21</f>
        <v>100</v>
      </c>
      <c r="V21" s="774" t="s">
        <v>17</v>
      </c>
      <c r="W21" s="775">
        <f>J21</f>
        <v>100</v>
      </c>
      <c r="X21" s="1813"/>
      <c r="Y21" s="318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5" t="str">
        <f t="shared" si="8"/>
        <v>公共配套设施</v>
      </c>
      <c r="R23" s="770" t="s">
        <v>17</v>
      </c>
      <c r="S23" s="771">
        <f>F23</f>
        <v>100</v>
      </c>
      <c r="T23" s="770" t="s">
        <v>17</v>
      </c>
      <c r="U23" s="771">
        <f>H23</f>
        <v>100</v>
      </c>
      <c r="V23" s="770" t="s">
        <v>17</v>
      </c>
      <c r="W23" s="771">
        <f>J23</f>
        <v>100</v>
      </c>
      <c r="X23" s="772"/>
      <c r="Y23" s="318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4"/>
      <c r="Q24" s="1795"/>
      <c r="R24" s="770"/>
      <c r="S24" s="771"/>
      <c r="T24" s="770"/>
      <c r="U24" s="771"/>
      <c r="V24" s="770"/>
      <c r="W24" s="771"/>
      <c r="X24" s="772"/>
      <c r="Y24" s="3184"/>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5"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4"/>
      <c r="Q26" s="1795"/>
      <c r="R26" s="770"/>
      <c r="S26" s="771"/>
      <c r="T26" s="770"/>
      <c r="U26" s="771"/>
      <c r="V26" s="770"/>
      <c r="W26" s="771"/>
      <c r="X26" s="772"/>
      <c r="Y26" s="318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4"/>
      <c r="Z27" s="1814" t="str">
        <f t="shared" ref="Z27:Z40" si="13">Q27</f>
        <v>临街状况</v>
      </c>
      <c r="AA27" s="1811">
        <f t="shared" si="3"/>
        <v>1</v>
      </c>
      <c r="AB27" s="1811">
        <f t="shared" si="4"/>
        <v>1</v>
      </c>
      <c r="AC27" s="1811">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10" t="str">
        <f t="shared" si="8"/>
        <v>毗邻道路的类型与等级</v>
      </c>
      <c r="R28" s="774" t="s">
        <v>17</v>
      </c>
      <c r="S28" s="775">
        <f t="shared" si="10"/>
        <v>100</v>
      </c>
      <c r="T28" s="774" t="s">
        <v>17</v>
      </c>
      <c r="U28" s="775">
        <f t="shared" si="11"/>
        <v>100</v>
      </c>
      <c r="V28" s="774" t="s">
        <v>17</v>
      </c>
      <c r="W28" s="775">
        <f t="shared" si="12"/>
        <v>100</v>
      </c>
      <c r="X28" s="1813"/>
      <c r="Y28" s="318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4"/>
      <c r="Q29" s="1810"/>
      <c r="R29" s="774"/>
      <c r="S29" s="775"/>
      <c r="T29" s="774"/>
      <c r="U29" s="775"/>
      <c r="V29" s="774"/>
      <c r="W29" s="775"/>
      <c r="X29" s="1813"/>
      <c r="Y29" s="3184"/>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10" t="str">
        <f t="shared" si="8"/>
        <v>土地级别</v>
      </c>
      <c r="R30" s="774" t="s">
        <v>17</v>
      </c>
      <c r="S30" s="775">
        <f t="shared" si="10"/>
        <v>100</v>
      </c>
      <c r="T30" s="774" t="s">
        <v>17</v>
      </c>
      <c r="U30" s="775">
        <f t="shared" si="11"/>
        <v>100</v>
      </c>
      <c r="V30" s="774" t="s">
        <v>17</v>
      </c>
      <c r="W30" s="775">
        <f t="shared" si="12"/>
        <v>100</v>
      </c>
      <c r="X30" s="1813"/>
      <c r="Y30" s="318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10">
        <f t="shared" si="8"/>
        <v>111</v>
      </c>
      <c r="R31" s="774" t="s">
        <v>17</v>
      </c>
      <c r="S31" s="775">
        <f t="shared" si="10"/>
        <v>100</v>
      </c>
      <c r="T31" s="774" t="s">
        <v>17</v>
      </c>
      <c r="U31" s="775">
        <f t="shared" si="11"/>
        <v>100</v>
      </c>
      <c r="V31" s="774" t="s">
        <v>17</v>
      </c>
      <c r="W31" s="775">
        <f t="shared" si="12"/>
        <v>100</v>
      </c>
      <c r="X31" s="1813"/>
      <c r="Y31" s="318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5" t="s">
        <v>2561</v>
      </c>
      <c r="Q32" s="1810">
        <f t="shared" si="8"/>
        <v>111</v>
      </c>
      <c r="R32" s="774" t="s">
        <v>17</v>
      </c>
      <c r="S32" s="775">
        <f t="shared" si="10"/>
        <v>100</v>
      </c>
      <c r="T32" s="774" t="s">
        <v>17</v>
      </c>
      <c r="U32" s="775">
        <f t="shared" si="11"/>
        <v>100</v>
      </c>
      <c r="V32" s="774" t="s">
        <v>17</v>
      </c>
      <c r="W32" s="775">
        <f t="shared" si="12"/>
        <v>100</v>
      </c>
      <c r="X32" s="1813"/>
      <c r="Y32" s="3186" t="s">
        <v>2561</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6"/>
      <c r="Q33" s="1810">
        <f t="shared" si="8"/>
        <v>111</v>
      </c>
      <c r="R33" s="777" t="s">
        <v>17</v>
      </c>
      <c r="S33" s="778">
        <f t="shared" si="10"/>
        <v>100</v>
      </c>
      <c r="T33" s="777" t="s">
        <v>17</v>
      </c>
      <c r="U33" s="778">
        <f t="shared" si="11"/>
        <v>100</v>
      </c>
      <c r="V33" s="777" t="s">
        <v>17</v>
      </c>
      <c r="W33" s="778">
        <f t="shared" si="12"/>
        <v>100</v>
      </c>
      <c r="X33" s="779"/>
      <c r="Y33" s="3186"/>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6"/>
      <c r="Q34" s="1810" t="str">
        <f>B34</f>
        <v>宗地面积</v>
      </c>
      <c r="R34" s="774" t="s">
        <v>17</v>
      </c>
      <c r="S34" s="775" t="e">
        <f t="shared" si="10"/>
        <v>#N/A</v>
      </c>
      <c r="T34" s="774" t="s">
        <v>17</v>
      </c>
      <c r="U34" s="775" t="e">
        <f t="shared" si="11"/>
        <v>#N/A</v>
      </c>
      <c r="V34" s="774" t="s">
        <v>17</v>
      </c>
      <c r="W34" s="775" t="e">
        <f t="shared" si="12"/>
        <v>#N/A</v>
      </c>
      <c r="X34" s="1813"/>
      <c r="Y34" s="3186"/>
      <c r="Z34" s="1814" t="str">
        <f t="shared" si="13"/>
        <v>宗地面积</v>
      </c>
      <c r="AA34" s="1811" t="e">
        <f t="shared" si="3"/>
        <v>#N/A</v>
      </c>
      <c r="AB34" s="1811" t="e">
        <f t="shared" si="4"/>
        <v>#N/A</v>
      </c>
      <c r="AC34" s="1811"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6"/>
      <c r="Q35" s="1810" t="str">
        <f t="shared" ref="Q35:Q40" si="14">B35</f>
        <v>宗地形状</v>
      </c>
      <c r="R35" s="774" t="s">
        <v>17</v>
      </c>
      <c r="S35" s="775">
        <f t="shared" si="10"/>
        <v>100</v>
      </c>
      <c r="T35" s="774" t="s">
        <v>17</v>
      </c>
      <c r="U35" s="775">
        <f t="shared" si="11"/>
        <v>100</v>
      </c>
      <c r="V35" s="774" t="s">
        <v>17</v>
      </c>
      <c r="W35" s="775">
        <f t="shared" si="12"/>
        <v>100</v>
      </c>
      <c r="X35" s="1813"/>
      <c r="Y35" s="3186"/>
      <c r="Z35" s="1814" t="str">
        <f t="shared" si="13"/>
        <v>宗地形状</v>
      </c>
      <c r="AA35" s="1811">
        <f t="shared" si="3"/>
        <v>1</v>
      </c>
      <c r="AB35" s="1811">
        <f t="shared" si="4"/>
        <v>1</v>
      </c>
      <c r="AC35" s="1811">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6"/>
      <c r="Q36" s="1810"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6" t="s">
        <v>2561</v>
      </c>
      <c r="Q37" s="1810" t="str">
        <f t="shared" si="14"/>
        <v>工程地质条件</v>
      </c>
      <c r="R37" s="774" t="s">
        <v>17</v>
      </c>
      <c r="S37" s="775">
        <f t="shared" si="10"/>
        <v>100</v>
      </c>
      <c r="T37" s="774" t="s">
        <v>17</v>
      </c>
      <c r="U37" s="775">
        <f t="shared" si="11"/>
        <v>100</v>
      </c>
      <c r="V37" s="774" t="s">
        <v>17</v>
      </c>
      <c r="W37" s="775">
        <f t="shared" si="12"/>
        <v>100</v>
      </c>
      <c r="X37" s="1813"/>
      <c r="Y37" s="3186"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6"/>
      <c r="Q38" s="1810">
        <f t="shared" si="14"/>
        <v>111</v>
      </c>
      <c r="R38" s="774" t="s">
        <v>17</v>
      </c>
      <c r="S38" s="775">
        <f t="shared" si="10"/>
        <v>100</v>
      </c>
      <c r="T38" s="774" t="s">
        <v>17</v>
      </c>
      <c r="U38" s="775">
        <f t="shared" si="11"/>
        <v>100</v>
      </c>
      <c r="V38" s="774" t="s">
        <v>17</v>
      </c>
      <c r="W38" s="775">
        <f t="shared" si="12"/>
        <v>100</v>
      </c>
      <c r="X38" s="1813"/>
      <c r="Y38" s="318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6"/>
      <c r="Q39" s="1810">
        <f t="shared" si="14"/>
        <v>111</v>
      </c>
      <c r="R39" s="774" t="s">
        <v>17</v>
      </c>
      <c r="S39" s="775">
        <f t="shared" si="10"/>
        <v>100</v>
      </c>
      <c r="T39" s="774" t="s">
        <v>17</v>
      </c>
      <c r="U39" s="775">
        <f t="shared" si="11"/>
        <v>100</v>
      </c>
      <c r="V39" s="774" t="s">
        <v>17</v>
      </c>
      <c r="W39" s="775">
        <f t="shared" si="12"/>
        <v>100</v>
      </c>
      <c r="X39" s="1813"/>
      <c r="Y39" s="3186"/>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6"/>
      <c r="Q40" s="1810">
        <f t="shared" si="14"/>
        <v>111</v>
      </c>
      <c r="R40" s="777" t="s">
        <v>17</v>
      </c>
      <c r="S40" s="778">
        <f t="shared" si="10"/>
        <v>100</v>
      </c>
      <c r="T40" s="777" t="s">
        <v>17</v>
      </c>
      <c r="U40" s="778">
        <f t="shared" si="11"/>
        <v>100</v>
      </c>
      <c r="V40" s="777" t="s">
        <v>17</v>
      </c>
      <c r="W40" s="778">
        <f t="shared" si="12"/>
        <v>100</v>
      </c>
      <c r="X40" s="779"/>
      <c r="Y40" s="3186"/>
      <c r="Z40" s="780">
        <f t="shared" si="13"/>
        <v>111</v>
      </c>
      <c r="AA40" s="1811">
        <f t="shared" si="3"/>
        <v>1</v>
      </c>
      <c r="AB40" s="1811">
        <f t="shared" si="4"/>
        <v>1</v>
      </c>
      <c r="AC40" s="1811">
        <f t="shared" si="5"/>
        <v>1</v>
      </c>
    </row>
    <row r="41" spans="1:29" ht="15">
      <c r="A41" s="479" t="s">
        <v>2716</v>
      </c>
      <c r="B41" s="2703" t="s">
        <v>2796</v>
      </c>
      <c r="C41" s="682" t="s">
        <v>1</v>
      </c>
      <c r="D41" s="481"/>
      <c r="E41" s="482"/>
      <c r="F41" s="483"/>
      <c r="G41" s="484"/>
      <c r="H41" s="485"/>
      <c r="I41" s="482"/>
      <c r="J41" s="485"/>
      <c r="K41" s="783"/>
      <c r="L41" s="1143"/>
      <c r="M41" s="1131"/>
      <c r="N41" s="1131"/>
      <c r="O41" s="1144"/>
      <c r="P41" s="3168" t="str">
        <f>A41</f>
        <v>成交单价</v>
      </c>
      <c r="Q41" s="3168"/>
      <c r="R41" s="3181">
        <f>E41</f>
        <v>0</v>
      </c>
      <c r="S41" s="3181"/>
      <c r="T41" s="3181">
        <f>G41</f>
        <v>0</v>
      </c>
      <c r="U41" s="3181"/>
      <c r="V41" s="3181">
        <f>I41</f>
        <v>0</v>
      </c>
      <c r="W41" s="318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68" t="str">
        <f>A42</f>
        <v>比较价值（元/平方米）</v>
      </c>
      <c r="Q42" s="3168"/>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69" t="s">
        <v>2760</v>
      </c>
      <c r="H50" s="3191"/>
      <c r="I50" s="1814" t="s">
        <v>2797</v>
      </c>
      <c r="J50" s="1814" t="str">
        <f>项目基本情况!F35</f>
        <v>山东省</v>
      </c>
      <c r="K50" s="2707" t="s">
        <v>2762</v>
      </c>
      <c r="L50" s="1106"/>
      <c r="M50" s="1144"/>
      <c r="N50" s="1144"/>
      <c r="O50" s="1144"/>
    </row>
    <row r="51" spans="1:17" s="692" customFormat="1">
      <c r="A51" s="688" t="s">
        <v>2763</v>
      </c>
      <c r="B51" s="689" t="e">
        <f>C43</f>
        <v>#DIV/0!</v>
      </c>
      <c r="C51" s="690">
        <v>1</v>
      </c>
      <c r="D51" s="1163">
        <v>1</v>
      </c>
      <c r="E51" s="690">
        <f>'数据-汇总表'!E8+'数据-汇总表'!E9</f>
        <v>57392.160000000003</v>
      </c>
      <c r="F51" s="691" t="e">
        <f t="shared" ref="F51:F60" si="15">ROUND(B51*E51/10000,0)</f>
        <v>#DIV/0!</v>
      </c>
      <c r="G51" s="3192"/>
      <c r="H51" s="3168"/>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193"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193"/>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193"/>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193"/>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8"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0" t="s">
        <v>2815</v>
      </c>
      <c r="D3" s="2721" t="s">
        <v>2816</v>
      </c>
      <c r="E3" s="2726"/>
      <c r="F3" s="2727" t="s">
        <v>2817</v>
      </c>
      <c r="G3" s="916" t="e">
        <f>IF(F3="宗地容积率",'数据-汇总表'!I4,IF(F3="估价对象容积率",'数据-汇总表'!I6,'数据-汇总表'!I7))</f>
        <v>#DIV/0!</v>
      </c>
      <c r="H3" s="198" t="s">
        <v>2818</v>
      </c>
      <c r="I3" s="944"/>
      <c r="J3" s="2724" t="s">
        <v>2819</v>
      </c>
      <c r="K3" s="1370"/>
      <c r="L3" s="2725"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0"/>
      <c r="B4" s="3271"/>
      <c r="C4" s="3271"/>
      <c r="D4" s="3272"/>
      <c r="E4" s="3272"/>
      <c r="F4" s="3272"/>
      <c r="G4" s="3272"/>
      <c r="H4" s="3272"/>
      <c r="I4" s="3272"/>
      <c r="J4" s="3273"/>
      <c r="K4" s="1370"/>
      <c r="L4" s="2725"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2822</v>
      </c>
      <c r="C5" s="917" t="e">
        <f>ROUND(IF(E2="商业",C6*C7+C16,(IF(E2="住宅",C6*C12+C16,C6+C16))),0)</f>
        <v>#DIV/0!</v>
      </c>
      <c r="D5" s="1787" t="e">
        <f>ROUND(C6+C16,0)</f>
        <v>#DIV/0!</v>
      </c>
      <c r="E5" s="1787"/>
      <c r="F5" s="2730"/>
      <c r="G5" s="2731"/>
      <c r="H5" s="2731"/>
      <c r="I5" s="2731"/>
      <c r="J5" s="2732"/>
      <c r="K5" s="2733"/>
      <c r="L5" s="2725"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2824</v>
      </c>
      <c r="B6" s="2739" t="s">
        <v>2825</v>
      </c>
      <c r="C6" s="918">
        <f>SUMIF(L1:L12,G2,M1:M12)</f>
        <v>0</v>
      </c>
      <c r="D6" s="2740" t="s">
        <v>2826</v>
      </c>
      <c r="E6" s="2741"/>
      <c r="F6" s="2741"/>
      <c r="G6" s="2742"/>
      <c r="H6" s="2742"/>
      <c r="I6" s="2742"/>
      <c r="J6" s="2743"/>
      <c r="K6" s="1842"/>
      <c r="L6" s="2725"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4" t="str">
        <f>IF(E2="商业",IF(C8="不临58条商业街","",2),"")</f>
        <v/>
      </c>
      <c r="B7" s="2744" t="s">
        <v>2828</v>
      </c>
      <c r="C7" s="919" t="e">
        <f>IF(C8="不临58条商业街",1,ROUND(1+(1.6*E8+1.2*E9+0.8*E10+0.4*E11)*C9,4))</f>
        <v>#DIV/0!</v>
      </c>
      <c r="D7" s="2745" t="s">
        <v>2829</v>
      </c>
      <c r="E7" s="945"/>
      <c r="F7" s="2746"/>
      <c r="G7" s="2747"/>
      <c r="H7" s="2747"/>
      <c r="I7" s="2747"/>
      <c r="J7" s="2748"/>
      <c r="K7" s="1842"/>
      <c r="L7" s="2725"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74"/>
      <c r="B8" s="198" t="s">
        <v>2833</v>
      </c>
      <c r="C8" s="2749"/>
      <c r="D8" s="920" t="s">
        <v>139</v>
      </c>
      <c r="E8" s="921" t="e">
        <f>ROUND(C11/E7,4)</f>
        <v>#DIV/0!</v>
      </c>
      <c r="F8" s="2750" t="s">
        <v>2834</v>
      </c>
      <c r="G8" s="2751"/>
      <c r="H8" s="2751"/>
      <c r="I8" s="2751"/>
      <c r="J8" s="2752"/>
      <c r="K8" s="1370"/>
      <c r="L8" s="2725"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7" t="s">
        <v>2836</v>
      </c>
      <c r="X8" s="326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4"/>
      <c r="B9" s="198" t="s">
        <v>2849</v>
      </c>
      <c r="C9" s="922">
        <f>SUMIF(修正!C59:C119,C8,修正!E59:E119)</f>
        <v>0</v>
      </c>
      <c r="D9" s="200" t="s">
        <v>140</v>
      </c>
      <c r="E9" s="200" t="e">
        <f>ROUND(C11/E7,4)</f>
        <v>#DIV/0!</v>
      </c>
      <c r="F9" s="2750" t="s">
        <v>2850</v>
      </c>
      <c r="G9" s="2751"/>
      <c r="H9" s="2751"/>
      <c r="I9" s="2751"/>
      <c r="J9" s="2752"/>
      <c r="K9" s="1370"/>
      <c r="L9" s="2725"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2854</v>
      </c>
      <c r="C10" s="200">
        <f>SUMIF(修正!C59:C119,C8,修正!F59:F119)</f>
        <v>0</v>
      </c>
      <c r="D10" s="200" t="s">
        <v>141</v>
      </c>
      <c r="E10" s="200" t="e">
        <f>ROUND(C11/E7,4)</f>
        <v>#DIV/0!</v>
      </c>
      <c r="F10" s="2750" t="s">
        <v>2855</v>
      </c>
      <c r="G10" s="2751"/>
      <c r="H10" s="2751"/>
      <c r="I10" s="2751"/>
      <c r="J10" s="2752"/>
      <c r="K10" s="1370"/>
      <c r="L10" s="2725"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4"/>
      <c r="B11" s="2753" t="s">
        <v>2857</v>
      </c>
      <c r="C11" s="923">
        <f>C10/4</f>
        <v>0</v>
      </c>
      <c r="D11" s="923" t="s">
        <v>142</v>
      </c>
      <c r="E11" s="923" t="e">
        <f>ROUND(C11/E7,4)</f>
        <v>#DIV/0!</v>
      </c>
      <c r="F11" s="2754" t="s">
        <v>2858</v>
      </c>
      <c r="G11" s="2755"/>
      <c r="H11" s="2755"/>
      <c r="I11" s="2755"/>
      <c r="J11" s="2756"/>
      <c r="K11" s="1370"/>
      <c r="L11" s="2725"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9"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4" t="s">
        <v>2862</v>
      </c>
      <c r="B12" s="2757" t="s">
        <v>2863</v>
      </c>
      <c r="C12" s="919">
        <f>ROUND(C15*D15*E15*F15*G15*H15*I15*J15,4)</f>
        <v>1</v>
      </c>
      <c r="D12" s="2758" t="s">
        <v>2864</v>
      </c>
      <c r="E12" s="2759"/>
      <c r="F12" s="2759"/>
      <c r="G12" s="2760"/>
      <c r="H12" s="2760"/>
      <c r="I12" s="2760"/>
      <c r="J12" s="2761"/>
      <c r="K12" s="1370"/>
      <c r="L12" s="2762"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3" t="s">
        <v>2867</v>
      </c>
      <c r="C13" s="2764" t="s">
        <v>2868</v>
      </c>
      <c r="D13" s="1808" t="s">
        <v>2869</v>
      </c>
      <c r="E13" s="1808" t="s">
        <v>2870</v>
      </c>
      <c r="F13" s="30" t="s">
        <v>2871</v>
      </c>
      <c r="G13" s="2765" t="s">
        <v>2872</v>
      </c>
      <c r="H13" s="2765" t="s">
        <v>2872</v>
      </c>
      <c r="I13" s="2765" t="s">
        <v>2872</v>
      </c>
      <c r="J13" s="2766" t="s">
        <v>2872</v>
      </c>
      <c r="K13" s="1370"/>
      <c r="L13" s="1370"/>
      <c r="M13" s="1370"/>
      <c r="N13" s="1370"/>
      <c r="O13" s="1370"/>
      <c r="P13" s="1370"/>
      <c r="Q13" s="1370"/>
      <c r="R13" s="1602">
        <v>12</v>
      </c>
      <c r="S13" s="1603"/>
      <c r="T13" s="1602" t="e">
        <f t="shared" si="0"/>
        <v>#DIV/0!</v>
      </c>
      <c r="U13" s="1603"/>
      <c r="V13" s="1602" t="e">
        <f t="shared" si="1"/>
        <v>#DIV/0!</v>
      </c>
      <c r="W13" s="326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5"/>
      <c r="B14" s="2767"/>
      <c r="C14" s="2768"/>
      <c r="D14" s="2769"/>
      <c r="E14" s="2769"/>
      <c r="F14" s="2770"/>
      <c r="G14" s="2771" t="s">
        <v>2873</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5"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4" t="s">
        <v>2879</v>
      </c>
      <c r="B16" s="2744" t="s">
        <v>2880</v>
      </c>
      <c r="C16" s="2931" t="e">
        <f>ROUND(IF(F17="与级别开发程度一致",0,(G17-E17)/C17),0)</f>
        <v>#DIV/0!</v>
      </c>
      <c r="D16" s="3265" t="s">
        <v>2884</v>
      </c>
      <c r="E16" s="3266"/>
      <c r="F16" s="3265" t="s">
        <v>2881</v>
      </c>
      <c r="G16" s="3266"/>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5"/>
      <c r="B17" s="2942" t="s">
        <v>2883</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2886</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2887</v>
      </c>
      <c r="C19" s="924" t="e">
        <f>ROUND(IF(H19="按公示增长率计算",SUMPRODUCT((地价!A3:A27=YEAR(G19)&amp;"-"&amp;ROUNDUP(MONTH(G19)/3,0))*(地价!X2:AB2=E2)*(地价!X3:AB27)),IF(H19="地价指数",M20/M19,(1+I19)^O19)),4)</f>
        <v>#VALUE!</v>
      </c>
      <c r="D19" s="2788" t="s">
        <v>2888</v>
      </c>
      <c r="E19" s="925">
        <v>41640</v>
      </c>
      <c r="F19" s="2788" t="s">
        <v>2889</v>
      </c>
      <c r="G19" s="926">
        <f>'数据-取费表'!B2</f>
        <v>43692</v>
      </c>
      <c r="H19" s="2789"/>
      <c r="I19" s="927" t="str">
        <f>IF(H19="季度增幅（自定义）",SUMIF(N21:N24,E2,O21:O24),"")</f>
        <v/>
      </c>
      <c r="J19" s="2786"/>
      <c r="K19" s="1377"/>
      <c r="L19" s="2790" t="s">
        <v>2890</v>
      </c>
      <c r="M19" s="1734">
        <f>ROUND(SUMIF(地价!B2:F2,E2,地价!B27:F27),0)</f>
        <v>0</v>
      </c>
      <c r="N19" s="2791"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2892</v>
      </c>
      <c r="C20" s="929" t="e">
        <f>ROUND(POWER(1+G20,J20-I20)*(POWER(1+G20,I20)-1)/(POWER(1+G20,J20)-1),4)</f>
        <v>#DIV/0!</v>
      </c>
      <c r="D20" s="2797" t="s">
        <v>2893</v>
      </c>
      <c r="E20" s="1768">
        <f ca="1">存贷款利率!D4/100</f>
        <v>4.3499999999999997E-2</v>
      </c>
      <c r="F20" s="2797" t="s">
        <v>2885</v>
      </c>
      <c r="G20" s="934">
        <f>SUMIF(M26:P26,E2,M28:P28)</f>
        <v>0</v>
      </c>
      <c r="H20" s="2797" t="s">
        <v>2894</v>
      </c>
      <c r="I20" s="935" t="e">
        <f>SUMIF('数据-取费表'!C6:C15,E2,'数据-取费表'!F6:F15)/COUNTIF('数据-取费表'!C6:C15,E2)</f>
        <v>#DIV/0!</v>
      </c>
      <c r="J20" s="936">
        <f>IF(E2="住宅",70,IF(E2="商业",40,50))</f>
        <v>50</v>
      </c>
      <c r="K20" s="1377"/>
      <c r="L20" s="2798" t="s">
        <v>2895</v>
      </c>
      <c r="M20" s="1735">
        <f>ROUND(SUMPRODUCT((地价!A4:A27=YEAR(G19)&amp;"-"&amp;ROUNDUP(MONTH(G19)/3,0))*(地价!B2:F2=E2)*(地价!B4:F27)),0)</f>
        <v>0</v>
      </c>
      <c r="N20" s="2799" t="s">
        <v>2896</v>
      </c>
      <c r="O20" s="2800" t="s">
        <v>2897</v>
      </c>
      <c r="P20" s="2801" t="s">
        <v>2898</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2899</v>
      </c>
      <c r="C21" s="937" t="e">
        <f>IF(B21="容积率修正",IF(G3&lt;=10,D22,J22),C23)</f>
        <v>#DIV/0!</v>
      </c>
      <c r="D21" s="2804"/>
      <c r="E21" s="2804"/>
      <c r="F21" s="2804"/>
      <c r="G21" s="2804"/>
      <c r="H21" s="2804"/>
      <c r="I21" s="2804"/>
      <c r="J21" s="2805"/>
      <c r="K21" s="1377"/>
      <c r="N21" s="2806"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0</v>
      </c>
      <c r="D24" s="2785"/>
      <c r="E24" s="2814"/>
      <c r="F24" s="2814"/>
      <c r="G24" s="2814"/>
      <c r="H24" s="2814"/>
      <c r="I24" s="2814"/>
      <c r="J24" s="2815"/>
      <c r="K24" s="1377"/>
      <c r="N24" s="2816"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2912</v>
      </c>
      <c r="C26" s="206" t="e">
        <f>E29+SUM(E33:E39)</f>
        <v>#DIV/0!</v>
      </c>
      <c r="D26" s="2821"/>
      <c r="E26" s="2772"/>
      <c r="F26" s="2822"/>
      <c r="G26" s="2772"/>
      <c r="H26" s="2772"/>
      <c r="I26" s="2772"/>
      <c r="J26" s="2823"/>
      <c r="K26" s="1370"/>
      <c r="L26" s="2776" t="s">
        <v>2810</v>
      </c>
      <c r="M26" s="920" t="s">
        <v>2875</v>
      </c>
      <c r="N26" s="920" t="s">
        <v>2876</v>
      </c>
      <c r="O26" s="920" t="s">
        <v>2877</v>
      </c>
      <c r="P26" s="2777" t="s">
        <v>2878</v>
      </c>
      <c r="R26" s="1376"/>
      <c r="S26" s="1376"/>
      <c r="T26" s="1371"/>
      <c r="U26" s="1371"/>
      <c r="V26" s="1371"/>
      <c r="W26" s="1370"/>
      <c r="X26" s="1370"/>
      <c r="Y26" s="1370"/>
      <c r="Z26" s="1377"/>
      <c r="AA26" s="1378"/>
      <c r="AB26" s="1378"/>
      <c r="AC26" s="1378"/>
      <c r="AD26" s="1378"/>
    </row>
    <row r="27" spans="1:37" ht="15.75" thickBot="1">
      <c r="A27" s="2820"/>
      <c r="B27" s="2824" t="s">
        <v>2913</v>
      </c>
      <c r="C27" s="931" t="e">
        <f>E30+SUM(I33:I39)</f>
        <v>#DIV/0!</v>
      </c>
      <c r="D27" s="2825"/>
      <c r="E27" s="2826"/>
      <c r="F27" s="2827"/>
      <c r="G27" s="2826"/>
      <c r="H27" s="2826"/>
      <c r="I27" s="2826"/>
      <c r="J27" s="2828"/>
      <c r="K27" s="1370"/>
      <c r="L27" s="2780"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t="e">
        <f>ROUND(C5*C18*C19*C20*C21*C24,0)</f>
        <v>#DIV/0!</v>
      </c>
      <c r="D29" s="2836"/>
      <c r="E29" s="942" t="e">
        <f>ROUND(C29*D29/10000,0)</f>
        <v>#DIV/0!</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t="e">
        <f>ROUND(IF(E2="工业",C29*M39,C29*M38),0)</f>
        <v>#DIV/0!</v>
      </c>
      <c r="D30" s="2842"/>
      <c r="E30" s="942" t="e">
        <f>ROUND(C30*D30/10000,0)</f>
        <v>#DIV/0!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2"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3"/>
      <c r="B34" s="2764"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3"/>
      <c r="B35" s="2764"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4"/>
      <c r="B36" s="2764"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2878</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t="e">
        <f>ROUND(POWER(1+E41,H41-G41)*(POWER(1+E41,G41)-1)/(POWER(1+E41,H41)-1),4)</f>
        <v>#DIV/0!</v>
      </c>
      <c r="D41" s="200" t="s">
        <v>2885</v>
      </c>
      <c r="E41" s="2928">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2946</v>
      </c>
      <c r="B48" s="2872" t="str">
        <f>估价对象房地状况!C4</f>
        <v>一般</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2947</v>
      </c>
      <c r="B49" s="2873" t="str">
        <f>估价对象房地状况!C18</f>
        <v>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2954</v>
      </c>
      <c r="B54" s="1725"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2955</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2959</v>
      </c>
      <c r="B59" s="2872" t="str">
        <f>估价对象房地状况!C17</f>
        <v>一般</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2947</v>
      </c>
      <c r="B60" s="2873" t="str">
        <f>估价对象房地状况!C18</f>
        <v>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2954</v>
      </c>
      <c r="B65" s="1725"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2955</v>
      </c>
      <c r="B66" s="1725"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2956</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2961</v>
      </c>
      <c r="B70" s="2872" t="str">
        <f>估价对象房地状况!C15</f>
        <v xml:space="preserve"> </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2947</v>
      </c>
      <c r="B71" s="2873" t="str">
        <f>估价对象房地状况!C18</f>
        <v>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2593</v>
      </c>
      <c r="K80" s="603" t="s">
        <v>2594</v>
      </c>
      <c r="L80" s="603" t="s">
        <v>2595</v>
      </c>
      <c r="M80" s="603" t="s">
        <v>2596</v>
      </c>
      <c r="N80" s="603" t="s">
        <v>2597</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6" t="s">
        <v>2968</v>
      </c>
      <c r="B90" s="3256"/>
      <c r="C90" s="3256"/>
      <c r="D90" s="3256"/>
      <c r="E90" s="3256"/>
      <c r="F90" s="3256"/>
      <c r="G90" s="3256"/>
      <c r="H90" s="3256"/>
      <c r="I90" s="3256"/>
      <c r="J90" s="3256"/>
      <c r="K90" s="2883"/>
      <c r="L90" s="2883"/>
      <c r="M90" s="2883"/>
      <c r="N90" s="2883"/>
    </row>
    <row r="91" spans="1:37">
      <c r="A91" s="3258" t="s">
        <v>2969</v>
      </c>
      <c r="B91" s="3258" t="s">
        <v>2970</v>
      </c>
      <c r="C91" s="2837" t="s">
        <v>2971</v>
      </c>
      <c r="D91" s="2838"/>
      <c r="E91" s="2838"/>
      <c r="F91" s="2838"/>
      <c r="G91" s="2838"/>
      <c r="H91" s="2838"/>
      <c r="I91" s="2838"/>
      <c r="J91" s="2884"/>
      <c r="K91" s="2885"/>
      <c r="L91" s="2885"/>
      <c r="M91" s="2885"/>
      <c r="N91" s="2885"/>
    </row>
    <row r="92" spans="1:37">
      <c r="A92" s="3258"/>
      <c r="B92" s="325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9"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0"/>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9"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60"/>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60"/>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60"/>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60"/>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60"/>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60"/>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60"/>
      <c r="B108" s="3086"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1"/>
      <c r="B109" s="3087"/>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57" t="s">
        <v>2976</v>
      </c>
      <c r="B110" s="3257"/>
      <c r="C110" s="3257"/>
      <c r="D110" s="3257"/>
      <c r="E110" s="3257"/>
      <c r="F110" s="3257"/>
      <c r="G110" s="3257"/>
      <c r="H110" s="3257"/>
      <c r="I110" s="3257"/>
      <c r="J110" s="3257"/>
      <c r="K110" s="2892"/>
      <c r="L110" s="2892"/>
      <c r="M110" s="2892"/>
      <c r="N110" s="2892"/>
    </row>
    <row r="112" spans="1:14" ht="13.5" thickBot="1"/>
    <row r="113" spans="1:13" ht="25.5" thickBot="1">
      <c r="A113" s="903" t="s">
        <v>2977</v>
      </c>
      <c r="B113" s="1287" t="e">
        <f>G3</f>
        <v>#DIV/0!</v>
      </c>
      <c r="C113" s="904" t="s">
        <v>2978</v>
      </c>
      <c r="D113" s="905" t="e">
        <f>SUMPRODUCT((A115:A118=F113)*(B114:M114=H113)*B115:M118)</f>
        <v>#DIV/0!</v>
      </c>
      <c r="E113" s="2723" t="s">
        <v>2810</v>
      </c>
      <c r="F113" s="2894">
        <f>E2</f>
        <v>0</v>
      </c>
      <c r="G113" s="2723" t="s">
        <v>2811</v>
      </c>
      <c r="H113" s="2894">
        <f>G2</f>
        <v>0</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t="e">
        <f ca="1">SUMIF(B6:B13,"&lt;&gt;#ref!",B6:B13)</f>
        <v>#DIV/0!</v>
      </c>
      <c r="C2" s="2901" t="s">
        <v>2992</v>
      </c>
      <c r="D2" s="2901" t="s">
        <v>2993</v>
      </c>
      <c r="E2" s="2902">
        <f ca="1">SUMIF(E6:E13,"&lt;&gt;#ref!",E6:E13)</f>
        <v>0</v>
      </c>
    </row>
    <row r="3" spans="1:5" ht="15.75">
      <c r="A3" s="2901" t="s">
        <v>2994</v>
      </c>
      <c r="B3" s="2902" t="e">
        <f ca="1">ROUND(B2*10000/E2,0)</f>
        <v>#DIV/0!</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t="e">
        <f ca="1">SUMIF(INDIRECT("'"&amp;A6&amp;"'"&amp;"!A:A"),"总价",INDIRECT("'"&amp;A6&amp;"'"&amp;"!B:B"))</f>
        <v>#DIV/0!</v>
      </c>
      <c r="C6" s="2901" t="s">
        <v>2992</v>
      </c>
      <c r="D6" s="2903"/>
      <c r="E6" s="2574">
        <f ca="1">SUMIF(INDIRECT("'"&amp;A6&amp;"'"&amp;"!C:C"),"建筑面积",INDIRECT("'"&amp;A6&amp;"'"&amp;"!D:D"))</f>
        <v>0</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1625</v>
      </c>
      <c r="C4" s="2970"/>
      <c r="D4" s="2970"/>
      <c r="E4" s="1960"/>
    </row>
    <row r="5" spans="1:5" ht="16.5" thickTop="1">
      <c r="A5" s="1958"/>
      <c r="B5" s="2968" t="s">
        <v>1617</v>
      </c>
      <c r="C5" s="1961" t="s">
        <v>1618</v>
      </c>
      <c r="D5" s="1040">
        <f ca="1">结果表!H101</f>
        <v>86456</v>
      </c>
      <c r="E5" s="1958"/>
    </row>
    <row r="6" spans="1:5" ht="15.75">
      <c r="A6" s="1958"/>
      <c r="B6" s="2968"/>
      <c r="C6" s="1961" t="s">
        <v>1619</v>
      </c>
      <c r="D6" s="1040" t="str">
        <f ca="1">NUMBERSTRING(INT(D5*10000),2)&amp;"元整"</f>
        <v>捌亿陆仟肆佰伍拾陆万元整</v>
      </c>
      <c r="E6" s="1958"/>
    </row>
    <row r="7" spans="1:5" ht="15.75">
      <c r="A7" s="1958"/>
      <c r="B7" s="2973"/>
      <c r="C7" s="1962" t="s">
        <v>1620</v>
      </c>
      <c r="D7" s="1041">
        <f ca="1">结果表!H102</f>
        <v>11298</v>
      </c>
      <c r="E7" s="1958"/>
    </row>
    <row r="8" spans="1:5" ht="15.75">
      <c r="A8" s="1958"/>
      <c r="B8" s="2974" t="str">
        <f>结果表!E103</f>
        <v>2.估价师知悉的法定优先受偿款</v>
      </c>
      <c r="C8" s="1963" t="s">
        <v>1621</v>
      </c>
      <c r="D8" s="1041">
        <f>结果表!H103</f>
        <v>0</v>
      </c>
      <c r="E8" s="1958"/>
    </row>
    <row r="9" spans="1:5" ht="15.75">
      <c r="A9" s="1958"/>
      <c r="B9" s="297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7" t="str">
        <f>结果表!E107</f>
        <v>3.房地产抵押价值</v>
      </c>
      <c r="C13" s="1966" t="s">
        <v>1618</v>
      </c>
      <c r="D13" s="1043">
        <f ca="1">结果表!H107</f>
        <v>86456</v>
      </c>
      <c r="E13" s="1958"/>
    </row>
    <row r="14" spans="1:5" ht="15.75">
      <c r="A14" s="1958"/>
      <c r="B14" s="2968"/>
      <c r="C14" s="1961" t="s">
        <v>1619</v>
      </c>
      <c r="D14" s="1040" t="str">
        <f ca="1">NUMBERSTRING(INT(D13*10000),2)&amp;"元整"</f>
        <v>捌亿陆仟肆佰伍拾陆万元整</v>
      </c>
      <c r="E14" s="1958"/>
    </row>
    <row r="15" spans="1:5" ht="15">
      <c r="A15" s="1958"/>
      <c r="B15" s="2973"/>
      <c r="C15" s="1962" t="s">
        <v>1629</v>
      </c>
      <c r="D15" s="1052">
        <f ca="1">结果表!H108</f>
        <v>11298</v>
      </c>
      <c r="E15" s="1958"/>
    </row>
    <row r="16" spans="1:5" ht="15">
      <c r="A16" s="1958"/>
      <c r="B16" s="2974" t="str">
        <f>结果表!E109</f>
        <v>——</v>
      </c>
      <c r="C16" s="1966" t="s">
        <v>1630</v>
      </c>
      <c r="D16" s="1967" t="str">
        <f>结果表!H109</f>
        <v>——</v>
      </c>
      <c r="E16" s="1958"/>
    </row>
    <row r="17" spans="1:5" ht="15.75">
      <c r="A17" s="1958"/>
      <c r="B17" s="2975"/>
      <c r="C17" s="1961" t="s">
        <v>1631</v>
      </c>
      <c r="D17" s="1040" t="e">
        <f>NUMBERSTRING(INT(D16*10000),2)&amp;"元整"</f>
        <v>#VALUE!</v>
      </c>
      <c r="E17" s="1958"/>
    </row>
    <row r="18" spans="1:5" ht="15">
      <c r="A18" s="1958"/>
      <c r="B18" s="2976"/>
      <c r="C18" s="1962" t="s">
        <v>1620</v>
      </c>
      <c r="D18" s="1052" t="str">
        <f>结果表!H110</f>
        <v>——</v>
      </c>
      <c r="E18" s="1958"/>
    </row>
    <row r="19" spans="1:5" ht="15.75">
      <c r="A19" s="1958"/>
      <c r="B19" s="2967" t="str">
        <f>结果表!E111</f>
        <v>——</v>
      </c>
      <c r="C19" s="1966" t="s">
        <v>1618</v>
      </c>
      <c r="D19" s="1041" t="str">
        <f>结果表!H111</f>
        <v>——</v>
      </c>
      <c r="E19" s="1958"/>
    </row>
    <row r="20" spans="1:5" ht="15.75">
      <c r="A20" s="1958"/>
      <c r="B20" s="2968"/>
      <c r="C20" s="1961" t="s">
        <v>1631</v>
      </c>
      <c r="D20" s="1040" t="e">
        <f>NUMBERSTRING(INT(D19*10000),2)&amp;"元整"</f>
        <v>#VALUE!</v>
      </c>
      <c r="E20" s="1958"/>
    </row>
    <row r="21" spans="1:5" ht="15.75" thickBot="1">
      <c r="A21" s="1958"/>
      <c r="B21" s="296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8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0" t="s">
        <v>3002</v>
      </c>
      <c r="D1" s="3291"/>
      <c r="E1" s="3291"/>
      <c r="F1" s="3291"/>
      <c r="G1" s="3291"/>
      <c r="H1" s="3291"/>
      <c r="I1" s="3291"/>
      <c r="J1" s="3291"/>
      <c r="K1" s="3291"/>
      <c r="L1" s="3291"/>
      <c r="M1" s="3291"/>
      <c r="N1" s="3291"/>
      <c r="O1" s="3291"/>
      <c r="P1" s="3291"/>
      <c r="Q1" s="3291"/>
      <c r="R1" s="3291"/>
      <c r="S1" s="329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7" t="s">
        <v>33</v>
      </c>
      <c r="D22" s="3068"/>
      <c r="E22" s="3068"/>
      <c r="F22" s="3068"/>
      <c r="G22" s="3068"/>
      <c r="H22" s="3068"/>
      <c r="I22" s="3068"/>
      <c r="J22" s="3068"/>
      <c r="K22" s="3068"/>
      <c r="L22" s="3068"/>
      <c r="M22" s="3068"/>
      <c r="N22" s="3068"/>
      <c r="O22" s="3068"/>
      <c r="P22" s="3068"/>
      <c r="Q22" s="328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102085</v>
      </c>
      <c r="C2" s="2" t="s">
        <v>133</v>
      </c>
      <c r="D2" s="243"/>
      <c r="E2" s="243"/>
      <c r="F2" s="243"/>
      <c r="G2" s="243"/>
    </row>
    <row r="3" spans="1:7" s="244" customFormat="1" ht="18" customHeight="1" thickBot="1">
      <c r="A3" s="247" t="s">
        <v>85</v>
      </c>
      <c r="B3" s="248">
        <f ca="1">ROUND(B2*10000/'数据-汇总表'!E3,0)</f>
        <v>13340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400</v>
      </c>
      <c r="F9" s="265"/>
      <c r="G9" s="270"/>
    </row>
    <row r="10" spans="1:7" s="258" customFormat="1" ht="13.5" customHeight="1">
      <c r="A10" s="950" t="s">
        <v>801</v>
      </c>
      <c r="B10" s="268" t="s">
        <v>94</v>
      </c>
      <c r="C10" s="269">
        <f>ROUND(D10*E10/10000,0)</f>
        <v>3061</v>
      </c>
      <c r="D10" s="1032">
        <f>'数据-汇总表'!E6</f>
        <v>76522.880000000005</v>
      </c>
      <c r="E10" s="269">
        <f>'数据-取费表'!B28</f>
        <v>400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1530</v>
      </c>
      <c r="D19" s="1036">
        <f>'数据-汇总表'!E3</f>
        <v>76522.880000000005</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2788</v>
      </c>
      <c r="D22" s="279">
        <f ca="1">C26</f>
        <v>1.5E-3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2560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188</v>
      </c>
      <c r="D24" s="282"/>
      <c r="E24" s="282"/>
      <c r="F24" s="283"/>
      <c r="G24" s="284" t="s">
        <v>109</v>
      </c>
    </row>
    <row r="25" spans="1:7" s="258" customFormat="1" ht="24">
      <c r="A25" s="951" t="s">
        <v>793</v>
      </c>
      <c r="B25" s="259" t="s">
        <v>1055</v>
      </c>
      <c r="C25" s="1355">
        <f ca="1">ROUND(IF('数据-取费表'!B22&lt;=1,C20*F22*'数据-取费表'!B23/2,C20*(POWER((1+F22),'数据-取费表'!B23/2)-1)),0)</f>
        <v>40</v>
      </c>
      <c r="D25" s="282"/>
      <c r="E25" s="285"/>
      <c r="F25" s="283"/>
      <c r="G25" s="286" t="s">
        <v>110</v>
      </c>
    </row>
    <row r="26" spans="1:7" s="258" customFormat="1">
      <c r="A26" s="951" t="s">
        <v>795</v>
      </c>
      <c r="B26" s="259" t="s">
        <v>1057</v>
      </c>
      <c r="C26" s="282">
        <f ca="1">ROUND(IF('数据-取费表'!B22&lt;=1,F21*F22*'数据-取费表'!B23/2,F21*(POWER((1+F22),'数据-取费表'!B23/2)-1)),4)</f>
        <v>1.5E-3</v>
      </c>
      <c r="D26" s="282"/>
      <c r="E26" s="285"/>
      <c r="F26" s="283"/>
      <c r="G26" s="287"/>
    </row>
    <row r="27" spans="1:7" s="258" customFormat="1" ht="24.75">
      <c r="A27" s="948" t="s">
        <v>787</v>
      </c>
      <c r="B27" s="288" t="s">
        <v>112</v>
      </c>
      <c r="C27" s="289">
        <f>C28</f>
        <v>6903</v>
      </c>
      <c r="D27" s="279">
        <f>C29</f>
        <v>7.4999999999999997E-3</v>
      </c>
      <c r="E27" s="280" t="s">
        <v>126</v>
      </c>
      <c r="F27" s="290">
        <f>'数据-取费表'!Q16</f>
        <v>0.3</v>
      </c>
      <c r="G27" s="291" t="s">
        <v>1066</v>
      </c>
    </row>
    <row r="28" spans="1:7" s="258" customFormat="1" ht="13.5" customHeight="1">
      <c r="A28" s="951" t="s">
        <v>794</v>
      </c>
      <c r="B28" s="292" t="s">
        <v>1059</v>
      </c>
      <c r="C28" s="293">
        <f>ROUND((C5+C19+C20)*F27*'数据-取费表'!B21/'数据-取费表'!B20,0)</f>
        <v>6903</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35830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44512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41131</v>
      </c>
      <c r="D34" s="261"/>
      <c r="E34" s="264"/>
      <c r="F34" s="301">
        <f>IF('数据-取费表'!B24=0,1,'数据-取费表'!N16)</f>
        <v>1</v>
      </c>
      <c r="G34" s="263" t="s">
        <v>116</v>
      </c>
    </row>
    <row r="35" spans="1:7" ht="13.5" customHeight="1">
      <c r="A35" s="951" t="s">
        <v>796</v>
      </c>
      <c r="B35" s="259" t="s">
        <v>60</v>
      </c>
      <c r="C35" s="264">
        <f>ROUND(C34*F35,0)</f>
        <v>1234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1530</v>
      </c>
      <c r="D37" s="261">
        <f>'数据-汇总表'!E3</f>
        <v>76522.880000000005</v>
      </c>
      <c r="E37" s="293">
        <f>'数据-取费表'!B35</f>
        <v>200</v>
      </c>
      <c r="F37" s="303"/>
      <c r="G37" s="305" t="s">
        <v>119</v>
      </c>
    </row>
    <row r="38" spans="1:7" ht="13.5" customHeight="1">
      <c r="A38" s="951" t="s">
        <v>799</v>
      </c>
      <c r="B38" s="259" t="s">
        <v>63</v>
      </c>
      <c r="C38" s="264">
        <f>ROUND(C34*F38,0)</f>
        <v>617</v>
      </c>
      <c r="D38" s="264"/>
      <c r="E38" s="264"/>
      <c r="F38" s="303">
        <f>'数据-取费表'!B36</f>
        <v>1.4999999999999999E-2</v>
      </c>
      <c r="G38" s="263" t="s">
        <v>117</v>
      </c>
    </row>
    <row r="39" spans="1:7" s="258" customFormat="1" ht="13.5" customHeight="1">
      <c r="A39" s="948" t="s">
        <v>783</v>
      </c>
      <c r="B39" s="254" t="s">
        <v>104</v>
      </c>
      <c r="C39" s="276">
        <f>ROUND(C33*F20,0)</f>
        <v>1335</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2738</v>
      </c>
      <c r="D41" s="279">
        <f ca="1">C44</f>
        <v>1.5E-3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2658</v>
      </c>
      <c r="D42" s="282"/>
      <c r="E42" s="282"/>
      <c r="F42" s="283"/>
      <c r="G42" s="3194" t="s">
        <v>121</v>
      </c>
    </row>
    <row r="43" spans="1:7" ht="13.5" customHeight="1">
      <c r="A43" s="951" t="s">
        <v>792</v>
      </c>
      <c r="B43" s="259" t="s">
        <v>1061</v>
      </c>
      <c r="C43" s="282">
        <f ca="1">ROUND(IF('数据-取费表'!B22&lt;=1,C39*F22*'数据-取费表'!B21/2,C39*(POWER((1+F22),'数据-取费表'!B21/2)-1)),0)</f>
        <v>80</v>
      </c>
      <c r="D43" s="282"/>
      <c r="E43" s="282"/>
      <c r="F43" s="283"/>
      <c r="G43" s="3195"/>
    </row>
    <row r="44" spans="1:7" ht="13.5" customHeight="1">
      <c r="A44" s="951" t="s">
        <v>793</v>
      </c>
      <c r="B44" s="259" t="s">
        <v>1063</v>
      </c>
      <c r="C44" s="282">
        <f ca="1">ROUND(IF('数据-取费表'!B22&lt;=1,C40*F22*'数据-取费表'!B21/2,C40*(POWER((1+F22),'数据-取费表'!B21/2)-1)),4)</f>
        <v>1.5E-3</v>
      </c>
      <c r="D44" s="282"/>
      <c r="E44" s="282"/>
      <c r="F44" s="283"/>
      <c r="G44" s="3196"/>
    </row>
    <row r="45" spans="1:7" s="258" customFormat="1" ht="13.5" customHeight="1">
      <c r="A45" s="948" t="s">
        <v>786</v>
      </c>
      <c r="B45" s="288" t="s">
        <v>112</v>
      </c>
      <c r="C45" s="289">
        <f>C46</f>
        <v>13754</v>
      </c>
      <c r="D45" s="279">
        <f>C47</f>
        <v>7.4999999999999997E-3</v>
      </c>
      <c r="E45" s="280" t="s">
        <v>129</v>
      </c>
      <c r="F45" s="290"/>
      <c r="G45" s="291" t="s">
        <v>1069</v>
      </c>
    </row>
    <row r="46" spans="1:7" s="258" customFormat="1" ht="13.5" customHeight="1">
      <c r="A46" s="951" t="s">
        <v>794</v>
      </c>
      <c r="B46" s="292" t="s">
        <v>1062</v>
      </c>
      <c r="C46" s="293">
        <f>ROUND((C33+C39)*F27,0)</f>
        <v>13754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68304</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66255</v>
      </c>
      <c r="D51" s="276"/>
      <c r="E51" s="276"/>
      <c r="F51" s="308"/>
      <c r="G51" s="278" t="s">
        <v>64</v>
      </c>
    </row>
    <row r="52" spans="1:7" s="252" customFormat="1" ht="16.5" thickBot="1">
      <c r="A52" s="309" t="s">
        <v>65</v>
      </c>
      <c r="B52" s="310"/>
      <c r="C52" s="311">
        <f ca="1">C31+C51</f>
        <v>102085</v>
      </c>
      <c r="D52" s="310"/>
      <c r="E52" s="310"/>
      <c r="F52" s="310"/>
      <c r="G52" s="312"/>
    </row>
    <row r="55" spans="1:7" ht="15">
      <c r="B55" s="314" t="s">
        <v>66</v>
      </c>
      <c r="C55" s="315"/>
    </row>
    <row r="56" spans="1:7">
      <c r="B56" s="317" t="s">
        <v>67</v>
      </c>
      <c r="C56" s="318">
        <f ca="1">ROUND(C51/C52,3)</f>
        <v>0.64900000000000002</v>
      </c>
    </row>
    <row r="57" spans="1:7">
      <c r="B57" s="317" t="s">
        <v>68</v>
      </c>
      <c r="C57" s="319">
        <f ca="1">1-C56</f>
        <v>0.35099999999999998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43692</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1633</v>
      </c>
      <c r="E3" s="1044" t="s">
        <v>1639</v>
      </c>
      <c r="F3" s="1044" t="s">
        <v>1633</v>
      </c>
      <c r="G3" s="1044" t="s">
        <v>1634</v>
      </c>
      <c r="H3" s="1044" t="s">
        <v>1633</v>
      </c>
      <c r="I3" s="1044" t="s">
        <v>1634</v>
      </c>
    </row>
    <row r="4" spans="1:9" ht="45">
      <c r="A4" s="1972" t="str">
        <f>项目基本情况!S2</f>
        <v>山东省青岛市黄岛区开发区汉江路3号万达广场全幢、地下房地产</v>
      </c>
      <c r="B4" s="1044">
        <f>项目基本情况!C17</f>
        <v>76522.880000000005</v>
      </c>
      <c r="C4" s="1044">
        <f>项目基本情况!C18</f>
        <v>0</v>
      </c>
      <c r="D4" s="1044">
        <f ca="1">结果表!D118</f>
        <v>27579</v>
      </c>
      <c r="E4" s="1044">
        <f ca="1">结果表!E118</f>
        <v>3604</v>
      </c>
      <c r="F4" s="1044">
        <f ca="1">结果表!F118</f>
        <v>58877</v>
      </c>
      <c r="G4" s="1044">
        <f ca="1">结果表!G118</f>
        <v>7694</v>
      </c>
      <c r="H4" s="1044">
        <f ca="1">结果表!H118</f>
        <v>86456</v>
      </c>
      <c r="I4" s="1044">
        <f ca="1">结果表!I118</f>
        <v>11298</v>
      </c>
    </row>
    <row r="5" spans="1:9" ht="30" customHeight="1">
      <c r="A5" s="2979" t="s">
        <v>1635</v>
      </c>
      <c r="B5" s="2979"/>
      <c r="C5" s="2979"/>
      <c r="D5" s="2980" t="str">
        <f ca="1">结果表!D119</f>
        <v>贰亿柒仟伍佰柒拾玖万元整</v>
      </c>
      <c r="E5" s="2980"/>
      <c r="F5" s="2980" t="str">
        <f ca="1">结果表!F119</f>
        <v>伍亿捌仟捌佰柒拾柒万元整</v>
      </c>
      <c r="G5" s="2980"/>
      <c r="H5" s="2980" t="str">
        <f ca="1">结果表!H119</f>
        <v>捌亿陆仟肆佰伍拾陆万元整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1635</v>
      </c>
      <c r="B7" s="2979"/>
      <c r="C7" s="2979"/>
      <c r="D7" s="2982" t="str">
        <f>结果表!D121</f>
        <v>零元整</v>
      </c>
      <c r="E7" s="2983"/>
      <c r="F7" s="2983"/>
      <c r="G7" s="2983"/>
      <c r="H7" s="2983"/>
      <c r="I7" s="2984"/>
    </row>
    <row r="8" spans="1:9" ht="15.75">
      <c r="A8" s="2981" t="str">
        <f>结果表!A122</f>
        <v>房地产抵押价值</v>
      </c>
      <c r="B8" s="2981"/>
      <c r="C8" s="2981"/>
      <c r="D8" s="2981">
        <f ca="1">结果表!D122</f>
        <v>86456</v>
      </c>
      <c r="E8" s="2981"/>
      <c r="F8" s="2981"/>
      <c r="G8" s="2981"/>
      <c r="H8" s="2981"/>
      <c r="I8" s="2981"/>
    </row>
    <row r="9" spans="1:9" ht="15">
      <c r="A9" s="2979" t="s">
        <v>1635</v>
      </c>
      <c r="B9" s="2979"/>
      <c r="C9" s="2979"/>
      <c r="D9" s="2980" t="str">
        <f ca="1">结果表!D123</f>
        <v>捌亿陆仟肆佰伍拾陆万元整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1635</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1635</v>
      </c>
      <c r="B13" s="2985"/>
      <c r="C13" s="2985"/>
      <c r="D13" s="2986" t="e">
        <f>结果表!D127</f>
        <v>#VALUE!</v>
      </c>
      <c r="E13" s="2986"/>
      <c r="F13" s="2986"/>
      <c r="G13" s="2986"/>
      <c r="H13" s="2986"/>
      <c r="I13" s="2986"/>
    </row>
    <row r="14" spans="1:9" ht="15" thickTop="1">
      <c r="A14" s="2987" t="s">
        <v>1640</v>
      </c>
      <c r="B14" s="2987"/>
      <c r="C14" s="2987"/>
      <c r="D14" s="2987"/>
      <c r="E14" s="2987"/>
      <c r="F14" s="2987"/>
      <c r="G14" s="2987"/>
      <c r="H14" s="2987"/>
      <c r="I14" s="298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8" t="s">
        <v>1657</v>
      </c>
      <c r="B1" s="2988"/>
      <c r="C1" s="2988"/>
      <c r="D1" s="2988"/>
    </row>
    <row r="2" spans="1:4" ht="18">
      <c r="A2" s="2989" t="s">
        <v>1641</v>
      </c>
      <c r="B2" s="2989"/>
      <c r="C2" s="2989"/>
      <c r="D2" s="2989"/>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王鹏</v>
      </c>
      <c r="B5" s="1978">
        <f ca="1">项目基本情况!E4</f>
        <v>1120050019</v>
      </c>
      <c r="C5" s="1981"/>
      <c r="D5" s="1980" t="s">
        <v>1646</v>
      </c>
    </row>
    <row r="6" spans="1:4" ht="18">
      <c r="A6" s="2989" t="s">
        <v>1647</v>
      </c>
      <c r="B6" s="2989"/>
      <c r="C6" s="2989"/>
      <c r="D6" s="298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0"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1651</v>
      </c>
      <c r="B16" s="2994"/>
      <c r="C16" s="2994"/>
      <c r="D16" s="2994"/>
    </row>
    <row r="17" spans="1:4" ht="144" customHeight="1">
      <c r="A17" s="2994" t="s">
        <v>1652</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1653</v>
      </c>
      <c r="B22" s="2996"/>
      <c r="C22" s="2996"/>
      <c r="D22" s="299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2" t="s">
        <v>1664</v>
      </c>
      <c r="B15" s="2997" t="s">
        <v>136</v>
      </c>
      <c r="C15" s="2998"/>
    </row>
    <row r="16" spans="1:7" ht="13.5">
      <c r="A16" s="3003"/>
      <c r="B16" s="2997" t="s">
        <v>69</v>
      </c>
      <c r="C16" s="2998"/>
    </row>
    <row r="17" spans="1:3" ht="13.5">
      <c r="A17" s="3003"/>
      <c r="B17" s="3000" t="s">
        <v>1665</v>
      </c>
      <c r="C17" s="1999" t="s">
        <v>1664</v>
      </c>
    </row>
    <row r="18" spans="1:3" ht="13.5">
      <c r="A18" s="3003"/>
      <c r="B18" s="3000"/>
      <c r="C18" s="1999" t="s">
        <v>1666</v>
      </c>
    </row>
    <row r="19" spans="1:3" ht="13.5">
      <c r="A19" s="3003"/>
      <c r="B19" s="3000"/>
      <c r="C19" s="1999" t="s">
        <v>1667</v>
      </c>
    </row>
    <row r="20" spans="1:3" ht="13.5">
      <c r="A20" s="3004"/>
      <c r="B20" s="2999" t="s">
        <v>1668</v>
      </c>
      <c r="C20" s="2998"/>
    </row>
    <row r="21" spans="1:3" ht="13.5">
      <c r="A21" s="2000" t="s">
        <v>1669</v>
      </c>
      <c r="B21" s="2001"/>
      <c r="C21" s="2002"/>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1999" t="s">
        <v>1675</v>
      </c>
    </row>
    <row r="26" spans="1:3" ht="13.5">
      <c r="A26" s="3001"/>
      <c r="B26" s="3000"/>
      <c r="C26" s="1999" t="s">
        <v>1676</v>
      </c>
    </row>
    <row r="27" spans="1:3" ht="13.5">
      <c r="A27" s="3001"/>
      <c r="B27" s="3000"/>
      <c r="C27" s="1999" t="s">
        <v>1677</v>
      </c>
    </row>
    <row r="28" spans="1:3" ht="13.5">
      <c r="A28" s="3001"/>
      <c r="B28" s="3000"/>
      <c r="C28" s="1999" t="s">
        <v>1678</v>
      </c>
    </row>
    <row r="29" spans="1:3" ht="13.5">
      <c r="A29" s="3001"/>
      <c r="B29" s="3000"/>
      <c r="C29" s="1999" t="s">
        <v>1679</v>
      </c>
    </row>
    <row r="30" spans="1:3" ht="13.5">
      <c r="A30" s="3001"/>
      <c r="B30" s="3000"/>
      <c r="C30" s="1999" t="s">
        <v>1680</v>
      </c>
    </row>
    <row r="31" spans="1:3" ht="13.5">
      <c r="A31" s="3001"/>
      <c r="B31" s="3000"/>
      <c r="C31" s="1999" t="s">
        <v>1681</v>
      </c>
    </row>
    <row r="32" spans="1:3" ht="13.5">
      <c r="A32" s="3001"/>
      <c r="B32" s="3000"/>
      <c r="C32" s="1999" t="s">
        <v>1682</v>
      </c>
    </row>
    <row r="33" spans="1:3" ht="13.5">
      <c r="A33" s="3001"/>
      <c r="B33" s="300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7">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7">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2019-09-18T13:21:48Z</dcterms:modified>
</cp:coreProperties>
</file>