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北京抵押物\"/>
    </mc:Choice>
  </mc:AlternateContent>
  <bookViews>
    <workbookView xWindow="480" yWindow="210" windowWidth="12120" windowHeight="762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比较法-办公" sheetId="34" state="hidden" r:id="rId24"/>
    <sheet name="比较法-住宅" sheetId="21" r:id="rId25"/>
    <sheet name="收益法 (元)" sheetId="67" r:id="rId26"/>
    <sheet name="收益法（汇总）" sheetId="70" state="hidden" r:id="rId27"/>
    <sheet name="酒店收入计算" sheetId="66"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(元)'!$A$1:$F$43</definedName>
    <definedName name="_xlnm.Print_Area" localSheetId="14">'数据-汇总表'!$A$1:$I$32</definedName>
    <definedName name="_xlnm.Print_Area" localSheetId="12">'数据-基础表'!$A$1:$O$14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29" i="43" l="1"/>
  <c r="G71" i="43"/>
  <c r="G72" i="43"/>
  <c r="G73" i="43"/>
  <c r="G74" i="43"/>
  <c r="G75" i="43"/>
  <c r="G76" i="43"/>
  <c r="G77" i="43"/>
  <c r="G78" i="43"/>
  <c r="G70" i="43"/>
  <c r="D30" i="77"/>
  <c r="D31" i="77"/>
  <c r="D32" i="77"/>
  <c r="D29" i="77"/>
  <c r="D59" i="21"/>
  <c r="C33" i="21"/>
  <c r="I13" i="3"/>
  <c r="C34" i="34" l="1"/>
  <c r="I7" i="34"/>
  <c r="G7" i="34"/>
  <c r="E7" i="34"/>
  <c r="H46" i="15"/>
  <c r="G25" i="77" l="1"/>
  <c r="Y6" i="1" l="1"/>
  <c r="C37" i="34" s="1"/>
  <c r="G37" i="34" l="1"/>
  <c r="I37" i="34"/>
  <c r="E37" i="34"/>
  <c r="F19" i="6"/>
  <c r="D3" i="4"/>
  <c r="G24" i="77"/>
  <c r="G23" i="77"/>
  <c r="G22" i="77"/>
  <c r="G21" i="77"/>
  <c r="G20" i="77"/>
  <c r="D11" i="77" l="1"/>
  <c r="F15" i="77"/>
  <c r="E15" i="77"/>
  <c r="F13" i="77"/>
  <c r="E13" i="77"/>
  <c r="D17" i="77"/>
  <c r="D10" i="77"/>
  <c r="D9" i="77"/>
  <c r="D7" i="77"/>
  <c r="D8" i="77"/>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59" i="72"/>
  <c r="B67" i="72"/>
  <c r="B12"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Y21" i="71" s="1"/>
  <c r="Z21" i="71" s="1"/>
  <c r="N21" i="71"/>
  <c r="Q20" i="71"/>
  <c r="AB20" i="71" s="1"/>
  <c r="P20" i="71"/>
  <c r="AA18" i="71" s="1"/>
  <c r="O20" i="71"/>
  <c r="Y20" i="71"/>
  <c r="Z20" i="71" s="1"/>
  <c r="N20" i="71"/>
  <c r="Q19" i="71"/>
  <c r="AB19" i="71"/>
  <c r="P19" i="71"/>
  <c r="O19" i="71"/>
  <c r="Y19" i="71" s="1"/>
  <c r="Z19" i="71"/>
  <c r="N19" i="71"/>
  <c r="Q18" i="71"/>
  <c r="F19" i="71" s="1"/>
  <c r="F20" i="71" s="1"/>
  <c r="F21" i="71" s="1"/>
  <c r="V21"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0" i="71" s="1"/>
  <c r="Z10"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AA20" i="71"/>
  <c r="X21" i="71"/>
  <c r="AA21" i="71"/>
  <c r="Y22" i="71"/>
  <c r="Z22" i="71" s="1"/>
  <c r="AB22" i="71"/>
  <c r="X23" i="71"/>
  <c r="AA23" i="71"/>
  <c r="F36" i="71"/>
  <c r="F37" i="71"/>
  <c r="V37" i="71" s="1"/>
  <c r="C13" i="71"/>
  <c r="C12" i="71" s="1"/>
  <c r="Y11" i="71"/>
  <c r="Z11" i="71" s="1"/>
  <c r="Y12" i="71"/>
  <c r="Z12" i="71" s="1"/>
  <c r="Y13" i="71"/>
  <c r="Z13" i="71" s="1"/>
  <c r="B13" i="71"/>
  <c r="B12" i="71" s="1"/>
  <c r="B11" i="71"/>
  <c r="X11" i="71"/>
  <c r="X13" i="71"/>
  <c r="C24" i="71"/>
  <c r="C28" i="71"/>
  <c r="D27" i="71"/>
  <c r="C32" i="71"/>
  <c r="D32" i="71"/>
  <c r="D31" i="71"/>
  <c r="C36" i="71"/>
  <c r="D35" i="71"/>
  <c r="P13" i="71"/>
  <c r="AA3" i="71" s="1"/>
  <c r="E40" i="71"/>
  <c r="E41" i="71"/>
  <c r="U41" i="71" s="1"/>
  <c r="E44" i="71"/>
  <c r="E45" i="71" s="1"/>
  <c r="U45" i="71" s="1"/>
  <c r="E48" i="71"/>
  <c r="E49" i="71"/>
  <c r="U49" i="71" s="1"/>
  <c r="U53" i="71"/>
  <c r="E52" i="71"/>
  <c r="E51" i="71" s="1"/>
  <c r="Q13" i="71"/>
  <c r="C40" i="71"/>
  <c r="D40" i="71" s="1"/>
  <c r="D39" i="71"/>
  <c r="C44" i="71"/>
  <c r="D44" i="71" s="1"/>
  <c r="D43" i="71"/>
  <c r="C48" i="71"/>
  <c r="C49" i="71" s="1"/>
  <c r="D47" i="71"/>
  <c r="N52" i="71"/>
  <c r="B51"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T13" i="71"/>
  <c r="S13" i="71"/>
  <c r="F13" i="71"/>
  <c r="F12" i="71"/>
  <c r="F11" i="71" s="1"/>
  <c r="AB10" i="71"/>
  <c r="AB11" i="71"/>
  <c r="AB12" i="71"/>
  <c r="AB13" i="71"/>
  <c r="E13" i="71"/>
  <c r="E12" i="71" s="1"/>
  <c r="E11" i="71" s="1"/>
  <c r="AA10" i="71"/>
  <c r="AA12" i="71"/>
  <c r="D13" i="71"/>
  <c r="U13" i="71" s="1"/>
  <c r="C51" i="71"/>
  <c r="D51" i="71" s="1"/>
  <c r="D52" i="71"/>
  <c r="D48" i="71"/>
  <c r="C67" i="71"/>
  <c r="D67" i="71" s="1"/>
  <c r="D60" i="71"/>
  <c r="N50" i="71"/>
  <c r="N51" i="71"/>
  <c r="D72" i="71"/>
  <c r="C71" i="71"/>
  <c r="D71" i="71" s="1"/>
  <c r="D64" i="71"/>
  <c r="C55" i="71"/>
  <c r="D55" i="71" s="1"/>
  <c r="C45" i="71"/>
  <c r="T45" i="71" s="1"/>
  <c r="C41" i="71"/>
  <c r="T41" i="71" s="1"/>
  <c r="P52" i="71"/>
  <c r="C37" i="71"/>
  <c r="T37" i="71" s="1"/>
  <c r="D36" i="71"/>
  <c r="C29" i="71"/>
  <c r="T29" i="71" s="1"/>
  <c r="D28" i="71"/>
  <c r="C25" i="71"/>
  <c r="T25" i="71" s="1"/>
  <c r="D24" i="71"/>
  <c r="C17" i="71"/>
  <c r="T17" i="71" s="1"/>
  <c r="D16" i="71"/>
  <c r="O51" i="71"/>
  <c r="O50" i="71"/>
  <c r="D17" i="71"/>
  <c r="D25" i="71"/>
  <c r="D29"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F1" i="15" s="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E7" i="1" s="1"/>
  <c r="A8" i="1"/>
  <c r="B8" i="1" s="1"/>
  <c r="E8" i="1" s="1"/>
  <c r="A9" i="1"/>
  <c r="K9" i="1" s="1"/>
  <c r="M9" i="1" s="1"/>
  <c r="O9" i="1" s="1"/>
  <c r="P9" i="1" s="1"/>
  <c r="A10" i="1"/>
  <c r="A11" i="1"/>
  <c r="B11" i="1" s="1"/>
  <c r="E11" i="1" s="1"/>
  <c r="A12" i="1"/>
  <c r="A13" i="1"/>
  <c r="A6"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F9" i="1" s="1"/>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5" i="3" s="1"/>
  <c r="G28" i="6" s="1"/>
  <c r="G30" i="6"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E24" i="6"/>
  <c r="E25" i="6"/>
  <c r="E26" i="6"/>
  <c r="BB13" i="3"/>
  <c r="BC13" i="3"/>
  <c r="BD13" i="3"/>
  <c r="BE13" i="3"/>
  <c r="BF13" i="3"/>
  <c r="BG13" i="3"/>
  <c r="BG5" i="3" s="1"/>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J12" i="21"/>
  <c r="AC12" i="21"/>
  <c r="H12" i="21"/>
  <c r="AB12" i="21"/>
  <c r="J26" i="21"/>
  <c r="W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AB37"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c r="F11" i="39"/>
  <c r="AA11" i="39"/>
  <c r="A12" i="52"/>
  <c r="B56" i="72"/>
  <c r="S11" i="39"/>
  <c r="G4" i="4"/>
  <c r="I4" i="4"/>
  <c r="K5" i="4"/>
  <c r="B47" i="48" s="1"/>
  <c r="A2" i="9"/>
  <c r="N2" i="43"/>
  <c r="F59" i="43"/>
  <c r="H66"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AZ343" i="3"/>
  <c r="BK5" i="3"/>
  <c r="BC5" i="3"/>
  <c r="G17" i="3"/>
  <c r="BA17" i="3"/>
  <c r="AZ350" i="3"/>
  <c r="AZ352" i="3"/>
  <c r="AZ356" i="3"/>
  <c r="AZ364" i="3"/>
  <c r="AZ368" i="3"/>
  <c r="BA15" i="3"/>
  <c r="AZ15" i="3" s="1"/>
  <c r="BB5" i="3"/>
  <c r="BR5" i="3"/>
  <c r="AZ384" i="3"/>
  <c r="AZ388" i="3"/>
  <c r="AZ392" i="3"/>
  <c r="AZ396" i="3"/>
  <c r="AZ394" i="3"/>
  <c r="AZ499" i="3"/>
  <c r="AZ509" i="3"/>
  <c r="G509" i="3"/>
  <c r="BL493" i="3"/>
  <c r="AZ493" i="3" s="1"/>
  <c r="AZ491" i="3"/>
  <c r="AZ376" i="3"/>
  <c r="AZ382" i="3"/>
  <c r="U36" i="40"/>
  <c r="N4" i="43"/>
  <c r="F81" i="43"/>
  <c r="H83" i="43" s="1"/>
  <c r="F48" i="43"/>
  <c r="H52" i="43" s="1"/>
  <c r="F70" i="43"/>
  <c r="H73" i="43" s="1"/>
  <c r="M11" i="43"/>
  <c r="F39" i="43"/>
  <c r="F6" i="1"/>
  <c r="G6" i="1" s="1"/>
  <c r="U17" i="39"/>
  <c r="S14" i="35"/>
  <c r="U43" i="21"/>
  <c r="U35" i="21"/>
  <c r="AC35" i="21"/>
  <c r="U10" i="2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7" i="43"/>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c r="D1" i="66"/>
  <c r="E10" i="66"/>
  <c r="AZ80" i="3"/>
  <c r="AZ84" i="3"/>
  <c r="AZ88" i="3"/>
  <c r="AZ107" i="3"/>
  <c r="AZ111" i="3"/>
  <c r="K12" i="1"/>
  <c r="M12" i="1" s="1"/>
  <c r="S13" i="1"/>
  <c r="T13" i="1" s="1"/>
  <c r="R13" i="1"/>
  <c r="S11" i="1"/>
  <c r="AQ11" i="1" s="1"/>
  <c r="R11" i="1"/>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8" i="43"/>
  <c r="N9" i="43"/>
  <c r="D120" i="9"/>
  <c r="F34" i="67"/>
  <c r="F62" i="67" s="1"/>
  <c r="F34" i="15"/>
  <c r="F62" i="15" s="1"/>
  <c r="BL17" i="3"/>
  <c r="AZ17" i="3"/>
  <c r="J56" i="9"/>
  <c r="J57" i="9"/>
  <c r="A24" i="51"/>
  <c r="B18" i="72" s="1"/>
  <c r="U29" i="34"/>
  <c r="E5" i="6"/>
  <c r="D9" i="11" s="1"/>
  <c r="C9" i="11" s="1"/>
  <c r="E32" i="6"/>
  <c r="L19" i="6"/>
  <c r="K1" i="12"/>
  <c r="E19" i="69"/>
  <c r="E19" i="68"/>
  <c r="E19" i="11"/>
  <c r="E1" i="73"/>
  <c r="G41" i="69"/>
  <c r="G22" i="69"/>
  <c r="G41" i="68"/>
  <c r="G22" i="68"/>
  <c r="G27" i="12"/>
  <c r="G26" i="12"/>
  <c r="G41" i="11"/>
  <c r="G22" i="11"/>
  <c r="G25" i="12"/>
  <c r="C100" i="43"/>
  <c r="C7" i="43"/>
  <c r="E81" i="43"/>
  <c r="B79" i="43"/>
  <c r="E48" i="43"/>
  <c r="B46" i="43" s="1"/>
  <c r="F100" i="43"/>
  <c r="H81" i="43"/>
  <c r="H54" i="43"/>
  <c r="C17" i="43"/>
  <c r="M7" i="43"/>
  <c r="M2" i="43"/>
  <c r="M10" i="43"/>
  <c r="N11" i="43"/>
  <c r="F37" i="43"/>
  <c r="N12" i="43"/>
  <c r="M5"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T35" i="4"/>
  <c r="A19" i="51"/>
  <c r="B14" i="72" s="1"/>
  <c r="C46" i="36"/>
  <c r="D46" i="36" s="1"/>
  <c r="E46" i="36" s="1"/>
  <c r="C59" i="34"/>
  <c r="D59" i="34" s="1"/>
  <c r="E59" i="34" s="1"/>
  <c r="F59" i="34" s="1"/>
  <c r="C52" i="37"/>
  <c r="D52" i="37" s="1"/>
  <c r="E52" i="37" s="1"/>
  <c r="F52" i="37" s="1"/>
  <c r="A4" i="51"/>
  <c r="B6" i="72" s="1"/>
  <c r="C48" i="35"/>
  <c r="D48" i="35" s="1"/>
  <c r="E48" i="35" s="1"/>
  <c r="F48" i="35" s="1"/>
  <c r="G48" i="35" s="1"/>
  <c r="D58" i="21"/>
  <c r="C4" i="12"/>
  <c r="H62" i="43"/>
  <c r="H61" i="43"/>
  <c r="H60" i="43"/>
  <c r="H59" i="43"/>
  <c r="H67" i="43"/>
  <c r="H55" i="43"/>
  <c r="H56" i="43"/>
  <c r="L20" i="6"/>
  <c r="K11" i="1"/>
  <c r="M11" i="1" s="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c r="M101" i="21" s="1"/>
  <c r="F33" i="21"/>
  <c r="S33" i="21" s="1"/>
  <c r="J33" i="21"/>
  <c r="W33" i="21" s="1"/>
  <c r="H33" i="21"/>
  <c r="F37" i="21"/>
  <c r="AA37" i="21" s="1"/>
  <c r="AB14" i="21"/>
  <c r="AB46" i="21"/>
  <c r="U40" i="21"/>
  <c r="AB31" i="21"/>
  <c r="AC15" i="21"/>
  <c r="U13" i="21"/>
  <c r="AB13" i="21"/>
  <c r="W8" i="21"/>
  <c r="S35"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AB25" i="21"/>
  <c r="AB44" i="21"/>
  <c r="AA30" i="21"/>
  <c r="W13" i="21"/>
  <c r="W42" i="21"/>
  <c r="AC45" i="21"/>
  <c r="F10" i="21"/>
  <c r="K145" i="21"/>
  <c r="W25" i="21"/>
  <c r="AA29" i="21"/>
  <c r="W31"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F30" i="11"/>
  <c r="C48" i="11" s="1"/>
  <c r="F31" i="12"/>
  <c r="F30" i="69"/>
  <c r="C48" i="69" s="1"/>
  <c r="D68" i="39"/>
  <c r="D70" i="39" s="1"/>
  <c r="E7" i="70"/>
  <c r="AA39" i="40"/>
  <c r="S39" i="40"/>
  <c r="S12" i="33"/>
  <c r="AA12" i="33"/>
  <c r="D68"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s="1"/>
  <c r="I70" i="34" s="1"/>
  <c r="J70" i="34" s="1"/>
  <c r="K70" i="34" s="1"/>
  <c r="L70" i="34" s="1"/>
  <c r="M70" i="34" s="1"/>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AA23" i="21"/>
  <c r="AB15" i="21"/>
  <c r="J23" i="21"/>
  <c r="F85" i="21"/>
  <c r="G85" i="21" s="1"/>
  <c r="H23" i="21"/>
  <c r="S13" i="21"/>
  <c r="D6" i="52"/>
  <c r="D121" i="9"/>
  <c r="D7" i="52"/>
  <c r="K120" i="9"/>
  <c r="J59" i="9"/>
  <c r="J61" i="9" s="1"/>
  <c r="R22" i="31"/>
  <c r="B21" i="31"/>
  <c r="F46" i="36"/>
  <c r="G46" i="36" s="1"/>
  <c r="H46" i="36" s="1"/>
  <c r="E58" i="21"/>
  <c r="F58" i="21" s="1"/>
  <c r="G58" i="21" s="1"/>
  <c r="H58" i="21" s="1"/>
  <c r="I58" i="21" s="1"/>
  <c r="D63" i="40"/>
  <c r="E63" i="40" s="1"/>
  <c r="B5" i="62"/>
  <c r="B73" i="72" s="1"/>
  <c r="AP7" i="1"/>
  <c r="AB45" i="21"/>
  <c r="AC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C10" i="34"/>
  <c r="W10" i="34"/>
  <c r="J11" i="34"/>
  <c r="AC11" i="34" s="1"/>
  <c r="AC36" i="33"/>
  <c r="W36" i="33"/>
  <c r="U36" i="33"/>
  <c r="AB36" i="33"/>
  <c r="W27" i="33"/>
  <c r="AC27" i="33"/>
  <c r="W25" i="33"/>
  <c r="AC25" i="33"/>
  <c r="AA23" i="33"/>
  <c r="S23" i="33"/>
  <c r="AB19" i="33"/>
  <c r="U19" i="33"/>
  <c r="AA17" i="33"/>
  <c r="S17" i="33"/>
  <c r="U17" i="33"/>
  <c r="AB17" i="33"/>
  <c r="U23" i="21"/>
  <c r="AB23" i="21"/>
  <c r="AC23" i="21"/>
  <c r="W23" i="21"/>
  <c r="D65" i="40"/>
  <c r="E68" i="39"/>
  <c r="F68" i="39"/>
  <c r="G68" i="39" s="1"/>
  <c r="AC11" i="37"/>
  <c r="W11" i="37"/>
  <c r="W11" i="34"/>
  <c r="E70" i="39"/>
  <c r="AE7" i="1"/>
  <c r="AE8" i="1"/>
  <c r="AG6" i="1"/>
  <c r="H109" i="9"/>
  <c r="M49" i="9" s="1"/>
  <c r="H110" i="9"/>
  <c r="D18" i="53" s="1"/>
  <c r="B35" i="72" s="1"/>
  <c r="D16" i="53"/>
  <c r="B34" i="72" s="1"/>
  <c r="J7" i="33"/>
  <c r="W7" i="33"/>
  <c r="F7" i="33"/>
  <c r="S7" i="33"/>
  <c r="H7" i="33"/>
  <c r="AB7" i="33"/>
  <c r="T48" i="33" s="1"/>
  <c r="G48" i="33" s="1"/>
  <c r="AA7" i="33"/>
  <c r="R48" i="33"/>
  <c r="R49" i="33" s="1"/>
  <c r="U7" i="33"/>
  <c r="AC7" i="33"/>
  <c r="V48" i="33" s="1"/>
  <c r="I48" i="33" s="1"/>
  <c r="H112" i="9"/>
  <c r="D21" i="53" s="1"/>
  <c r="B39" i="72" s="1"/>
  <c r="H111" i="9"/>
  <c r="D126" i="9"/>
  <c r="I14" i="74" s="1"/>
  <c r="B8" i="74" s="1"/>
  <c r="D19" i="53"/>
  <c r="D59" i="9"/>
  <c r="M55" i="9" s="1"/>
  <c r="B38" i="72"/>
  <c r="D20" i="53"/>
  <c r="B40" i="72"/>
  <c r="AD3" i="71"/>
  <c r="B4" i="62"/>
  <c r="B71" i="72"/>
  <c r="F31" i="15"/>
  <c r="D2" i="35"/>
  <c r="B12" i="76"/>
  <c r="B13" i="76"/>
  <c r="AO8" i="1"/>
  <c r="B8" i="76"/>
  <c r="B11" i="76"/>
  <c r="E9" i="76"/>
  <c r="AO12" i="1"/>
  <c r="F4" i="73"/>
  <c r="AO10" i="1"/>
  <c r="F7" i="73"/>
  <c r="AO11" i="1"/>
  <c r="E2" i="68"/>
  <c r="E12" i="76"/>
  <c r="E10" i="76"/>
  <c r="AO9" i="1"/>
  <c r="AO7" i="1"/>
  <c r="D2" i="21"/>
  <c r="B9" i="76"/>
  <c r="D2" i="33"/>
  <c r="AO13" i="1"/>
  <c r="F3" i="73"/>
  <c r="D2" i="36"/>
  <c r="D35" i="9"/>
  <c r="E13" i="76"/>
  <c r="D34" i="9"/>
  <c r="B10" i="76"/>
  <c r="F20" i="31"/>
  <c r="E7" i="76"/>
  <c r="F5" i="73"/>
  <c r="E11" i="76"/>
  <c r="E8" i="76"/>
  <c r="D2" i="37"/>
  <c r="B7" i="76"/>
  <c r="E2" i="69"/>
  <c r="F6" i="73"/>
  <c r="D2" i="34"/>
  <c r="E70" i="43" l="1"/>
  <c r="B68" i="43" s="1"/>
  <c r="C24" i="43" s="1"/>
  <c r="C12" i="43"/>
  <c r="E11" i="43"/>
  <c r="E9" i="43"/>
  <c r="E10" i="43"/>
  <c r="E8" i="43"/>
  <c r="H72" i="43"/>
  <c r="H63" i="43"/>
  <c r="H64" i="43"/>
  <c r="H65" i="43"/>
  <c r="G17" i="43"/>
  <c r="H70" i="43"/>
  <c r="H88" i="43"/>
  <c r="H17" i="43"/>
  <c r="H86" i="43"/>
  <c r="F35" i="43"/>
  <c r="H77" i="43"/>
  <c r="H76" i="43"/>
  <c r="H51" i="43"/>
  <c r="M12" i="43"/>
  <c r="N5" i="43"/>
  <c r="M9" i="43"/>
  <c r="F38" i="43"/>
  <c r="N3" i="43"/>
  <c r="C6" i="43"/>
  <c r="N6" i="43"/>
  <c r="F34" i="43"/>
  <c r="F33" i="43"/>
  <c r="H71" i="43"/>
  <c r="H78" i="43"/>
  <c r="H53" i="43"/>
  <c r="H84" i="43"/>
  <c r="H85" i="43"/>
  <c r="N8" i="43"/>
  <c r="M1" i="43"/>
  <c r="M3" i="43"/>
  <c r="H82" i="43"/>
  <c r="H74" i="43"/>
  <c r="J17" i="43"/>
  <c r="I17" i="43"/>
  <c r="C16" i="43" s="1"/>
  <c r="D5" i="43" s="1"/>
  <c r="E17" i="43"/>
  <c r="M6" i="43"/>
  <c r="N7" i="43"/>
  <c r="H113" i="43"/>
  <c r="F36" i="43"/>
  <c r="H48" i="43"/>
  <c r="H50" i="43"/>
  <c r="H75" i="43"/>
  <c r="H89" i="21"/>
  <c r="I89" i="21" s="1"/>
  <c r="J89" i="21" s="1"/>
  <c r="K89" i="21" s="1"/>
  <c r="L89" i="21" s="1"/>
  <c r="M89" i="21" s="1"/>
  <c r="H26" i="21"/>
  <c r="AB26" i="21" s="1"/>
  <c r="F26" i="21"/>
  <c r="S26" i="21" s="1"/>
  <c r="S27" i="21"/>
  <c r="AC27" i="21"/>
  <c r="U27" i="21"/>
  <c r="AA26" i="21"/>
  <c r="U26" i="21"/>
  <c r="AC26" i="21"/>
  <c r="AA25" i="21"/>
  <c r="S37" i="21"/>
  <c r="AB37" i="21"/>
  <c r="AA33" i="21"/>
  <c r="C18" i="9"/>
  <c r="D18" i="9" s="1"/>
  <c r="G11" i="1"/>
  <c r="W37" i="34"/>
  <c r="A4" i="52"/>
  <c r="B41" i="72" s="1"/>
  <c r="P74" i="67"/>
  <c r="K8" i="1"/>
  <c r="M8" i="1" s="1"/>
  <c r="F3" i="35"/>
  <c r="Q52" i="15"/>
  <c r="BE5" i="3"/>
  <c r="E8" i="6" s="1"/>
  <c r="M20" i="67"/>
  <c r="C94" i="9"/>
  <c r="C92" i="9"/>
  <c r="C30" i="11"/>
  <c r="M18" i="15"/>
  <c r="M18" i="67"/>
  <c r="F28" i="67"/>
  <c r="C28" i="67" s="1"/>
  <c r="F30" i="68"/>
  <c r="C30" i="68" s="1"/>
  <c r="F54" i="9"/>
  <c r="F28" i="15"/>
  <c r="C28" i="15" s="1"/>
  <c r="F32" i="15"/>
  <c r="F60" i="15" s="1"/>
  <c r="F32" i="67"/>
  <c r="F60" i="67" s="1"/>
  <c r="F52" i="9"/>
  <c r="C31" i="12"/>
  <c r="C24" i="12"/>
  <c r="C30" i="69"/>
  <c r="C40" i="69"/>
  <c r="G31" i="6"/>
  <c r="L27" i="6"/>
  <c r="G1" i="67"/>
  <c r="G1" i="15"/>
  <c r="B6" i="1"/>
  <c r="E6" i="1" s="1"/>
  <c r="G1" i="68"/>
  <c r="K6" i="1"/>
  <c r="D9" i="68"/>
  <c r="C9" i="68" s="1"/>
  <c r="D19" i="12"/>
  <c r="C19" i="12" s="1"/>
  <c r="AR12" i="1"/>
  <c r="T12" i="1"/>
  <c r="AQ12" i="1"/>
  <c r="I4" i="6"/>
  <c r="G3" i="43" s="1"/>
  <c r="G101" i="43" s="1"/>
  <c r="H5" i="3"/>
  <c r="G13" i="3"/>
  <c r="E12" i="6"/>
  <c r="E57" i="40" s="1"/>
  <c r="H16" i="1"/>
  <c r="AR13" i="1"/>
  <c r="AQ13" i="1"/>
  <c r="AQ10" i="1"/>
  <c r="AR10" i="1"/>
  <c r="F28" i="6"/>
  <c r="E28" i="6" s="1"/>
  <c r="BA13" i="3"/>
  <c r="AR11" i="1"/>
  <c r="T11" i="1"/>
  <c r="T10" i="1"/>
  <c r="E10" i="6"/>
  <c r="E15" i="6"/>
  <c r="E11" i="6"/>
  <c r="O10" i="1"/>
  <c r="P10" i="1" s="1"/>
  <c r="BL13" i="3"/>
  <c r="BL5" i="3" s="1"/>
  <c r="G8" i="1"/>
  <c r="G9" i="1"/>
  <c r="G12" i="1"/>
  <c r="G10" i="1"/>
  <c r="G7" i="1"/>
  <c r="G13" i="1"/>
  <c r="E65" i="40"/>
  <c r="F63" i="40"/>
  <c r="E48" i="33"/>
  <c r="E53" i="33" s="1"/>
  <c r="F53" i="33" s="1"/>
  <c r="J1" i="73"/>
  <c r="I52" i="33"/>
  <c r="J52" i="33" s="1"/>
  <c r="I53" i="33"/>
  <c r="J53" i="33" s="1"/>
  <c r="C48" i="33"/>
  <c r="C49" i="33"/>
  <c r="G52" i="33"/>
  <c r="H52" i="33" s="1"/>
  <c r="G53" i="33"/>
  <c r="H53" i="33" s="1"/>
  <c r="L68" i="9"/>
  <c r="M68" i="9" s="1"/>
  <c r="L65" i="9"/>
  <c r="M65" i="9" s="1"/>
  <c r="L66" i="9"/>
  <c r="M66" i="9" s="1"/>
  <c r="L64" i="9"/>
  <c r="M64" i="9" s="1"/>
  <c r="L63" i="9"/>
  <c r="M63" i="9" s="1"/>
  <c r="M69" i="9" s="1"/>
  <c r="N69" i="9" s="1"/>
  <c r="L67" i="9"/>
  <c r="M67" i="9" s="1"/>
  <c r="H68" i="39"/>
  <c r="G70" i="39"/>
  <c r="J58" i="21"/>
  <c r="K58" i="21" s="1"/>
  <c r="L58" i="21" s="1"/>
  <c r="M58" i="21" s="1"/>
  <c r="N58" i="21" s="1"/>
  <c r="O58" i="21" s="1"/>
  <c r="G59" i="34"/>
  <c r="H59" i="34" s="1"/>
  <c r="I59" i="34" s="1"/>
  <c r="J59" i="34" s="1"/>
  <c r="K59" i="34" s="1"/>
  <c r="L59" i="34" s="1"/>
  <c r="M59" i="34" s="1"/>
  <c r="N59" i="34" s="1"/>
  <c r="O59" i="34" s="1"/>
  <c r="H7" i="34"/>
  <c r="H48" i="35"/>
  <c r="I48" i="35" s="1"/>
  <c r="J48" i="35" s="1"/>
  <c r="K48" i="35" s="1"/>
  <c r="L48" i="35" s="1"/>
  <c r="M48" i="35" s="1"/>
  <c r="N48" i="35" s="1"/>
  <c r="O48" i="35" s="1"/>
  <c r="F7" i="35"/>
  <c r="I46" i="36"/>
  <c r="J46" i="36" s="1"/>
  <c r="K46" i="36" s="1"/>
  <c r="L46" i="36" s="1"/>
  <c r="M46" i="36" s="1"/>
  <c r="N46" i="36" s="1"/>
  <c r="O46" i="36" s="1"/>
  <c r="J7" i="36"/>
  <c r="G52" i="37"/>
  <c r="H52" i="37" s="1"/>
  <c r="I52" i="37" s="1"/>
  <c r="J52" i="37" s="1"/>
  <c r="K52" i="37" s="1"/>
  <c r="L52" i="37" s="1"/>
  <c r="M52" i="37" s="1"/>
  <c r="N52" i="37" s="1"/>
  <c r="O52" i="37" s="1"/>
  <c r="F7" i="37"/>
  <c r="F70" i="39"/>
  <c r="H7" i="21"/>
  <c r="AC17" i="21"/>
  <c r="W17" i="21"/>
  <c r="O12" i="1"/>
  <c r="P12" i="1" s="1"/>
  <c r="F30" i="6"/>
  <c r="E29" i="6"/>
  <c r="D12" i="52"/>
  <c r="D127" i="9"/>
  <c r="D13" i="52" s="1"/>
  <c r="E52" i="33"/>
  <c r="F52" i="33" s="1"/>
  <c r="D17" i="53"/>
  <c r="B36" i="72" s="1"/>
  <c r="D124" i="9"/>
  <c r="AB33" i="21"/>
  <c r="U33" i="21"/>
  <c r="O11" i="1"/>
  <c r="P11" i="1" s="1"/>
  <c r="D9" i="53"/>
  <c r="B25" i="72" s="1"/>
  <c r="B24" i="72"/>
  <c r="AZ557" i="3"/>
  <c r="H23" i="35"/>
  <c r="J23" i="35"/>
  <c r="AZ399" i="3"/>
  <c r="AZ404" i="3"/>
  <c r="AZ411" i="3"/>
  <c r="AZ414" i="3"/>
  <c r="AZ421" i="3"/>
  <c r="AZ423" i="3"/>
  <c r="AZ430" i="3"/>
  <c r="AZ440" i="3"/>
  <c r="AZ449" i="3"/>
  <c r="AZ453" i="3"/>
  <c r="AZ455" i="3"/>
  <c r="AZ460" i="3"/>
  <c r="AZ471" i="3"/>
  <c r="AZ492" i="3"/>
  <c r="J12" i="36"/>
  <c r="H12" i="36"/>
  <c r="J24" i="36"/>
  <c r="H24" i="36"/>
  <c r="O8" i="1"/>
  <c r="AZ409" i="3"/>
  <c r="AZ425" i="3"/>
  <c r="AZ432" i="3"/>
  <c r="AZ464" i="3"/>
  <c r="AZ467" i="3"/>
  <c r="AZ474" i="3"/>
  <c r="AZ480" i="3"/>
  <c r="AZ482" i="3"/>
  <c r="AZ486" i="3"/>
  <c r="AZ488" i="3"/>
  <c r="H38" i="40"/>
  <c r="J38" i="40"/>
  <c r="H39" i="40"/>
  <c r="AZ395" i="3"/>
  <c r="AZ208" i="3"/>
  <c r="AZ211" i="3"/>
  <c r="AZ219" i="3"/>
  <c r="AZ236" i="3"/>
  <c r="AZ252" i="3"/>
  <c r="AZ272" i="3"/>
  <c r="AZ276" i="3"/>
  <c r="AZ301" i="3"/>
  <c r="AZ153" i="3"/>
  <c r="AZ169" i="3"/>
  <c r="AZ185" i="3"/>
  <c r="AZ201" i="3"/>
  <c r="AZ207" i="3"/>
  <c r="AZ25" i="3"/>
  <c r="AZ30" i="3"/>
  <c r="AZ36" i="3"/>
  <c r="AZ40" i="3"/>
  <c r="AZ46" i="3"/>
  <c r="AZ49" i="3"/>
  <c r="AZ62" i="3"/>
  <c r="AZ65" i="3"/>
  <c r="AZ76" i="3"/>
  <c r="AZ81" i="3"/>
  <c r="AZ90" i="3"/>
  <c r="AZ96" i="3"/>
  <c r="AZ99" i="3"/>
  <c r="AZ106" i="3"/>
  <c r="AZ112" i="3"/>
  <c r="AZ285" i="3"/>
  <c r="AZ293" i="3"/>
  <c r="D49" i="71"/>
  <c r="T49" i="71"/>
  <c r="P50" i="71"/>
  <c r="P51" i="71"/>
  <c r="C11" i="71"/>
  <c r="D11" i="71" s="1"/>
  <c r="D12" i="71"/>
  <c r="C20" i="71"/>
  <c r="D19" i="71"/>
  <c r="M100" i="43"/>
  <c r="I100" i="43"/>
  <c r="E100" i="43"/>
  <c r="D100" i="43"/>
  <c r="D23" i="67"/>
  <c r="C29" i="39"/>
  <c r="B66" i="43"/>
  <c r="V13" i="71"/>
  <c r="AA13" i="71"/>
  <c r="AA11" i="71"/>
  <c r="D15" i="71"/>
  <c r="AB18" i="71"/>
  <c r="Y15" i="71"/>
  <c r="Z15" i="71" s="1"/>
  <c r="AB15" i="71"/>
  <c r="AB16" i="71"/>
  <c r="X18" i="71"/>
  <c r="X19" i="71"/>
  <c r="X20" i="71"/>
  <c r="X10" i="71"/>
  <c r="X12" i="71"/>
  <c r="Y14" i="71"/>
  <c r="Z14" i="71" s="1"/>
  <c r="Y3" i="71"/>
  <c r="Z3" i="71" s="1"/>
  <c r="F15" i="71"/>
  <c r="F16" i="71" s="1"/>
  <c r="F17" i="71" s="1"/>
  <c r="V17" i="71" s="1"/>
  <c r="AA15" i="71"/>
  <c r="AA16" i="71"/>
  <c r="AA17" i="71"/>
  <c r="AA22" i="71"/>
  <c r="AF10" i="43"/>
  <c r="AC12" i="43"/>
  <c r="AC10" i="43"/>
  <c r="AG12" i="43"/>
  <c r="AG10" i="43"/>
  <c r="AA9" i="71"/>
  <c r="C8" i="71"/>
  <c r="T9" i="71"/>
  <c r="D9" i="71"/>
  <c r="U9" i="71" s="1"/>
  <c r="Y7" i="71"/>
  <c r="Z7" i="71" s="1"/>
  <c r="AB7" i="71"/>
  <c r="V53" i="71"/>
  <c r="F52" i="71"/>
  <c r="Z12" i="43"/>
  <c r="Z10" i="43"/>
  <c r="AD12" i="43"/>
  <c r="AD10" i="43"/>
  <c r="AH12" i="43"/>
  <c r="AH10" i="43"/>
  <c r="AB9" i="71"/>
  <c r="X8" i="71"/>
  <c r="AA8" i="71"/>
  <c r="X6" i="71"/>
  <c r="AA6"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B10" i="70"/>
  <c r="B13" i="70"/>
  <c r="B8" i="70"/>
  <c r="B20" i="31"/>
  <c r="B7" i="70"/>
  <c r="B11" i="70"/>
  <c r="I1" i="73"/>
  <c r="B39" i="1" s="1"/>
  <c r="B12" i="70"/>
  <c r="B9" i="70"/>
  <c r="F31" i="67"/>
  <c r="F59" i="67"/>
  <c r="M17" i="67"/>
  <c r="F59" i="15"/>
  <c r="M17" i="15"/>
  <c r="D9" i="69"/>
  <c r="D7" i="73"/>
  <c r="F6" i="15"/>
  <c r="M6" i="67"/>
  <c r="F8" i="15"/>
  <c r="M22" i="67"/>
  <c r="F40" i="67"/>
  <c r="F13" i="67"/>
  <c r="M24" i="67"/>
  <c r="M9" i="67"/>
  <c r="M22" i="15"/>
  <c r="L48" i="67"/>
  <c r="F42" i="15"/>
  <c r="F26" i="15"/>
  <c r="M9" i="15"/>
  <c r="F43" i="15"/>
  <c r="M29" i="15"/>
  <c r="M8" i="67"/>
  <c r="C76" i="15"/>
  <c r="M23" i="67"/>
  <c r="F7" i="15"/>
  <c r="M26" i="15"/>
  <c r="L48" i="15"/>
  <c r="F7" i="67"/>
  <c r="F37" i="67"/>
  <c r="D6" i="73"/>
  <c r="M6" i="15"/>
  <c r="L47" i="67"/>
  <c r="M24" i="15"/>
  <c r="F8" i="67"/>
  <c r="C76" i="67"/>
  <c r="C36" i="69"/>
  <c r="F40" i="15"/>
  <c r="F16" i="67"/>
  <c r="F16" i="15"/>
  <c r="M23" i="15"/>
  <c r="F38" i="15"/>
  <c r="D3" i="73"/>
  <c r="F13" i="15"/>
  <c r="F41" i="15"/>
  <c r="M27" i="67"/>
  <c r="M26" i="67"/>
  <c r="F38" i="67"/>
  <c r="F26" i="67"/>
  <c r="M28" i="15"/>
  <c r="F36" i="15"/>
  <c r="M28" i="67"/>
  <c r="F43" i="67"/>
  <c r="M27" i="15"/>
  <c r="F42" i="67"/>
  <c r="F36" i="67"/>
  <c r="F9" i="67"/>
  <c r="J15" i="67"/>
  <c r="D5" i="73"/>
  <c r="D4" i="73"/>
  <c r="M8" i="15"/>
  <c r="F37" i="15"/>
  <c r="J15" i="15"/>
  <c r="L47" i="15"/>
  <c r="M29" i="67"/>
  <c r="F6" i="67"/>
  <c r="F9" i="15"/>
  <c r="C9" i="69" l="1"/>
  <c r="C5" i="43"/>
  <c r="M6" i="1"/>
  <c r="O6" i="1" s="1"/>
  <c r="J53" i="67"/>
  <c r="E56" i="39"/>
  <c r="F27" i="6"/>
  <c r="F31" i="6" s="1"/>
  <c r="E14" i="6"/>
  <c r="E59" i="40" s="1"/>
  <c r="E13" i="6"/>
  <c r="E63" i="39" s="1"/>
  <c r="K101" i="43"/>
  <c r="K107" i="43" s="1"/>
  <c r="C48" i="68"/>
  <c r="Y11" i="43"/>
  <c r="Y13" i="43" s="1"/>
  <c r="E22" i="43"/>
  <c r="H22" i="43"/>
  <c r="AE11" i="43"/>
  <c r="AE13" i="43" s="1"/>
  <c r="J22" i="43"/>
  <c r="Z11" i="43"/>
  <c r="F66" i="67"/>
  <c r="I54" i="67"/>
  <c r="L56" i="67"/>
  <c r="J57" i="67"/>
  <c r="J55" i="67" s="1"/>
  <c r="J58" i="67" s="1"/>
  <c r="Q50" i="67" s="1"/>
  <c r="M59" i="67"/>
  <c r="L58" i="67"/>
  <c r="Q73" i="67" s="1"/>
  <c r="L59" i="67"/>
  <c r="Q74" i="67" s="1"/>
  <c r="N59" i="67"/>
  <c r="F51" i="67"/>
  <c r="Q71" i="67"/>
  <c r="F64" i="67"/>
  <c r="C27" i="67"/>
  <c r="F70" i="67"/>
  <c r="C6" i="67"/>
  <c r="F65" i="67"/>
  <c r="F68" i="67"/>
  <c r="F71" i="67"/>
  <c r="F50" i="67"/>
  <c r="M7" i="67"/>
  <c r="J6" i="67" s="1"/>
  <c r="C27" i="15"/>
  <c r="N59" i="15"/>
  <c r="M59" i="15"/>
  <c r="L59" i="15"/>
  <c r="Q74" i="15" s="1"/>
  <c r="L58" i="15"/>
  <c r="Q73" i="15" s="1"/>
  <c r="F71" i="15"/>
  <c r="F68" i="15"/>
  <c r="C6" i="15"/>
  <c r="F65" i="15"/>
  <c r="F50" i="15"/>
  <c r="M7" i="15"/>
  <c r="J6" i="15" s="1"/>
  <c r="F69" i="15"/>
  <c r="I54" i="15"/>
  <c r="J57" i="15"/>
  <c r="J55" i="15" s="1"/>
  <c r="J58" i="15" s="1"/>
  <c r="Q50" i="15" s="1"/>
  <c r="L56" i="15"/>
  <c r="F51" i="15"/>
  <c r="C49" i="15" s="1"/>
  <c r="F64" i="15"/>
  <c r="F66" i="15"/>
  <c r="Q71" i="15"/>
  <c r="P6" i="1"/>
  <c r="C13" i="12" s="1"/>
  <c r="G16" i="1"/>
  <c r="H10" i="40" s="1"/>
  <c r="AB10" i="40" s="1"/>
  <c r="Q16" i="1"/>
  <c r="G22" i="43"/>
  <c r="AF11" i="43"/>
  <c r="AF13" i="43" s="1"/>
  <c r="AG11" i="43"/>
  <c r="AG13" i="43" s="1"/>
  <c r="M101" i="43"/>
  <c r="M109" i="43" s="1"/>
  <c r="E51" i="40"/>
  <c r="AH11" i="43"/>
  <c r="AH13" i="43" s="1"/>
  <c r="J101" i="43"/>
  <c r="J105" i="43" s="1"/>
  <c r="E62" i="39"/>
  <c r="D101" i="43"/>
  <c r="D105" i="43" s="1"/>
  <c r="Z7" i="43"/>
  <c r="AC11" i="43"/>
  <c r="AC13" i="43" s="1"/>
  <c r="AD11" i="43"/>
  <c r="L101" i="43"/>
  <c r="L107" i="43" s="1"/>
  <c r="AD13" i="43"/>
  <c r="F101" i="43"/>
  <c r="I101" i="43"/>
  <c r="AJ11" i="43"/>
  <c r="AJ13" i="43" s="1"/>
  <c r="AI11" i="43"/>
  <c r="AI13" i="43" s="1"/>
  <c r="F22" i="43"/>
  <c r="AB11" i="43"/>
  <c r="AB13" i="43" s="1"/>
  <c r="AA11" i="43"/>
  <c r="AA13" i="43" s="1"/>
  <c r="E101" i="43"/>
  <c r="E104" i="43" s="1"/>
  <c r="H101" i="43"/>
  <c r="H106" i="43" s="1"/>
  <c r="N104" i="46"/>
  <c r="C101" i="43"/>
  <c r="C104" i="43" s="1"/>
  <c r="N101" i="43"/>
  <c r="N102" i="43" s="1"/>
  <c r="B113" i="43"/>
  <c r="I118" i="43" s="1"/>
  <c r="J118" i="43" s="1"/>
  <c r="K118" i="43" s="1"/>
  <c r="L118" i="43" s="1"/>
  <c r="M118" i="43" s="1"/>
  <c r="G5" i="3"/>
  <c r="B3" i="3" s="1"/>
  <c r="C105" i="43"/>
  <c r="E56" i="40"/>
  <c r="E61" i="39"/>
  <c r="E60" i="40"/>
  <c r="E65" i="39"/>
  <c r="Z13" i="43"/>
  <c r="D106" i="43"/>
  <c r="BA5" i="3"/>
  <c r="E27" i="6" s="1"/>
  <c r="K20" i="6" s="1"/>
  <c r="AZ13" i="3"/>
  <c r="AZ5" i="3" s="1"/>
  <c r="G103" i="43"/>
  <c r="G106" i="43"/>
  <c r="G104" i="43"/>
  <c r="G109" i="43"/>
  <c r="G102" i="43"/>
  <c r="G105" i="43"/>
  <c r="G107" i="43"/>
  <c r="K14" i="1"/>
  <c r="E20" i="43"/>
  <c r="M17" i="43" s="1"/>
  <c r="K1" i="73"/>
  <c r="F65" i="40"/>
  <c r="G63" i="40"/>
  <c r="H7" i="35"/>
  <c r="J7" i="21"/>
  <c r="W7" i="21" s="1"/>
  <c r="J7" i="35"/>
  <c r="F7" i="34"/>
  <c r="AA7" i="34" s="1"/>
  <c r="R49" i="34" s="1"/>
  <c r="J7" i="34"/>
  <c r="AC7" i="34" s="1"/>
  <c r="V49" i="34" s="1"/>
  <c r="I49" i="34" s="1"/>
  <c r="F7" i="21"/>
  <c r="AA7" i="21" s="1"/>
  <c r="R48" i="21" s="1"/>
  <c r="B8" i="71"/>
  <c r="B7" i="71" s="1"/>
  <c r="B6" i="71" s="1"/>
  <c r="B5" i="71" s="1"/>
  <c r="S9" i="71"/>
  <c r="C21" i="71"/>
  <c r="D20" i="71"/>
  <c r="AC38" i="40"/>
  <c r="W38" i="40"/>
  <c r="P8" i="1"/>
  <c r="AB24" i="36"/>
  <c r="U24" i="36"/>
  <c r="U12" i="36"/>
  <c r="AB12" i="36"/>
  <c r="AC23" i="35"/>
  <c r="W23" i="35"/>
  <c r="E30" i="6"/>
  <c r="K15" i="1"/>
  <c r="AB7" i="21"/>
  <c r="T48" i="21" s="1"/>
  <c r="G48" i="21" s="1"/>
  <c r="U7" i="21"/>
  <c r="J7" i="37"/>
  <c r="H7" i="37"/>
  <c r="H7" i="36"/>
  <c r="F7" i="36"/>
  <c r="AA7" i="35"/>
  <c r="R38" i="35" s="1"/>
  <c r="S7" i="35"/>
  <c r="U7" i="34"/>
  <c r="AB7" i="34"/>
  <c r="T49" i="34" s="1"/>
  <c r="G49" i="34" s="1"/>
  <c r="H70" i="39"/>
  <c r="I68" i="39"/>
  <c r="F51" i="71"/>
  <c r="Q52" i="71"/>
  <c r="C7" i="71"/>
  <c r="D8" i="71"/>
  <c r="U39" i="40"/>
  <c r="AB39" i="40"/>
  <c r="AB38" i="40"/>
  <c r="U38" i="40"/>
  <c r="AC24" i="36"/>
  <c r="W24" i="36"/>
  <c r="AC12" i="36"/>
  <c r="W12" i="36"/>
  <c r="U23" i="35"/>
  <c r="AB23" i="35"/>
  <c r="D10" i="52"/>
  <c r="D125" i="9"/>
  <c r="D11" i="52" s="1"/>
  <c r="H14" i="74"/>
  <c r="B7" i="74" s="1"/>
  <c r="U7" i="35"/>
  <c r="AB7" i="35"/>
  <c r="T38" i="35" s="1"/>
  <c r="G38" i="35" s="1"/>
  <c r="AA7" i="37"/>
  <c r="R42" i="37" s="1"/>
  <c r="S7" i="37"/>
  <c r="AC7" i="36"/>
  <c r="V36" i="36" s="1"/>
  <c r="I36" i="36" s="1"/>
  <c r="W7" i="36"/>
  <c r="W7" i="35"/>
  <c r="AC7" i="35"/>
  <c r="V38" i="35" s="1"/>
  <c r="I38" i="35" s="1"/>
  <c r="S7" i="34"/>
  <c r="W7" i="34"/>
  <c r="S7" i="21"/>
  <c r="P25" i="43"/>
  <c r="M11" i="15"/>
  <c r="F11" i="67"/>
  <c r="F11" i="15"/>
  <c r="M11" i="67"/>
  <c r="J10" i="67" s="1"/>
  <c r="G1" i="73"/>
  <c r="C16" i="67"/>
  <c r="C16" i="15"/>
  <c r="K109" i="43" l="1"/>
  <c r="K103" i="43"/>
  <c r="AC7" i="21"/>
  <c r="V48" i="21" s="1"/>
  <c r="I48" i="21" s="1"/>
  <c r="K106" i="43"/>
  <c r="K104" i="43"/>
  <c r="E64" i="39"/>
  <c r="Q52" i="67"/>
  <c r="F1" i="67"/>
  <c r="M102" i="43"/>
  <c r="E58" i="40"/>
  <c r="K102" i="43"/>
  <c r="K105" i="43"/>
  <c r="M104" i="43"/>
  <c r="E16" i="6"/>
  <c r="Q60" i="67"/>
  <c r="Q61" i="15"/>
  <c r="C49" i="67"/>
  <c r="Q61" i="67"/>
  <c r="Q60" i="15"/>
  <c r="L105" i="43"/>
  <c r="D118" i="43"/>
  <c r="E118" i="43" s="1"/>
  <c r="F118" i="43" s="1"/>
  <c r="M105" i="43"/>
  <c r="U10" i="40"/>
  <c r="J102" i="43"/>
  <c r="H107" i="43"/>
  <c r="D117" i="43"/>
  <c r="E117" i="43" s="1"/>
  <c r="F117" i="43" s="1"/>
  <c r="G117" i="43" s="1"/>
  <c r="H117" i="43" s="1"/>
  <c r="J10" i="15"/>
  <c r="J5" i="15" s="1"/>
  <c r="J18" i="15" s="1"/>
  <c r="F10" i="39"/>
  <c r="S10" i="39" s="1"/>
  <c r="H10" i="39"/>
  <c r="AB10" i="39" s="1"/>
  <c r="J107" i="43"/>
  <c r="J103" i="43"/>
  <c r="H102" i="43"/>
  <c r="B117" i="43"/>
  <c r="C117" i="43" s="1"/>
  <c r="B118" i="43"/>
  <c r="C118" i="43" s="1"/>
  <c r="C109" i="43"/>
  <c r="J5" i="67"/>
  <c r="J24" i="67" s="1"/>
  <c r="M103" i="43"/>
  <c r="M106" i="43"/>
  <c r="M107" i="43"/>
  <c r="E107" i="43"/>
  <c r="D22" i="43"/>
  <c r="F10" i="40"/>
  <c r="S10" i="40" s="1"/>
  <c r="J10" i="40"/>
  <c r="W10" i="40" s="1"/>
  <c r="J10" i="39"/>
  <c r="W10" i="39" s="1"/>
  <c r="J106" i="43"/>
  <c r="J104" i="43"/>
  <c r="J109" i="43"/>
  <c r="L106" i="43"/>
  <c r="D104" i="43"/>
  <c r="H103" i="43"/>
  <c r="H105" i="43"/>
  <c r="D116" i="43"/>
  <c r="E116" i="43" s="1"/>
  <c r="F116" i="43" s="1"/>
  <c r="G116" i="43" s="1"/>
  <c r="H116" i="43" s="1"/>
  <c r="B115" i="43"/>
  <c r="C115" i="43" s="1"/>
  <c r="G118" i="43"/>
  <c r="H118" i="43" s="1"/>
  <c r="C102" i="43"/>
  <c r="C106" i="43"/>
  <c r="M20" i="6"/>
  <c r="I20" i="6" s="1"/>
  <c r="S20" i="6" s="1"/>
  <c r="S7" i="1"/>
  <c r="U10" i="39"/>
  <c r="F28" i="12"/>
  <c r="C29" i="12" s="1"/>
  <c r="D28" i="12" s="1"/>
  <c r="F27" i="68"/>
  <c r="F27" i="11"/>
  <c r="L104" i="43"/>
  <c r="L103" i="43"/>
  <c r="D103" i="43"/>
  <c r="D109" i="43"/>
  <c r="L102" i="43"/>
  <c r="L109" i="43"/>
  <c r="D107" i="43"/>
  <c r="D102" i="43"/>
  <c r="E109" i="43"/>
  <c r="E102" i="43"/>
  <c r="E106" i="43"/>
  <c r="E103" i="43"/>
  <c r="E105" i="43"/>
  <c r="N104" i="43"/>
  <c r="N105" i="43"/>
  <c r="N103" i="43"/>
  <c r="H104" i="43"/>
  <c r="H109" i="43"/>
  <c r="D115" i="43"/>
  <c r="E115" i="43" s="1"/>
  <c r="F115" i="43" s="1"/>
  <c r="G115" i="43" s="1"/>
  <c r="H115" i="43" s="1"/>
  <c r="I116" i="43"/>
  <c r="J116" i="43" s="1"/>
  <c r="K116" i="43" s="1"/>
  <c r="L116" i="43" s="1"/>
  <c r="M116" i="43" s="1"/>
  <c r="I115" i="43"/>
  <c r="J115" i="43" s="1"/>
  <c r="K115" i="43" s="1"/>
  <c r="L115" i="43" s="1"/>
  <c r="M115" i="43" s="1"/>
  <c r="I117" i="43"/>
  <c r="J117" i="43" s="1"/>
  <c r="K117" i="43" s="1"/>
  <c r="L117" i="43" s="1"/>
  <c r="M117" i="43" s="1"/>
  <c r="B116" i="43"/>
  <c r="C116" i="43" s="1"/>
  <c r="C103" i="43"/>
  <c r="C107" i="43"/>
  <c r="E31" i="6"/>
  <c r="K19" i="6"/>
  <c r="M19" i="6" s="1"/>
  <c r="E69" i="3"/>
  <c r="E114" i="3"/>
  <c r="E278" i="3"/>
  <c r="E415" i="3"/>
  <c r="E563" i="3"/>
  <c r="E395" i="3"/>
  <c r="E172" i="3"/>
  <c r="E260" i="3"/>
  <c r="E445" i="3"/>
  <c r="E550" i="3"/>
  <c r="E535" i="3"/>
  <c r="E239" i="3"/>
  <c r="E509"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304" i="3"/>
  <c r="E565" i="3"/>
  <c r="E213" i="3"/>
  <c r="E17" i="3"/>
  <c r="E302" i="3"/>
  <c r="E388"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61" i="3"/>
  <c r="E183" i="3"/>
  <c r="E503" i="3"/>
  <c r="O6" i="3"/>
  <c r="X6" i="3"/>
  <c r="E336" i="3"/>
  <c r="E246" i="3"/>
  <c r="E293" i="3"/>
  <c r="E311" i="3"/>
  <c r="E514" i="3"/>
  <c r="E570" i="3"/>
  <c r="M6" i="3"/>
  <c r="AB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8" i="3"/>
  <c r="E361" i="3"/>
  <c r="AA6" i="3"/>
  <c r="E399" i="3"/>
  <c r="E280" i="3"/>
  <c r="E124"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I6" i="3"/>
  <c r="E125" i="3"/>
  <c r="E217" i="3"/>
  <c r="E366" i="3"/>
  <c r="E526" i="3"/>
  <c r="E553" i="3"/>
  <c r="E268" i="3"/>
  <c r="E282" i="3"/>
  <c r="E322" i="3"/>
  <c r="N6" i="3"/>
  <c r="AJ6" i="3"/>
  <c r="E329" i="3"/>
  <c r="E539" i="3"/>
  <c r="E53" i="3"/>
  <c r="E175" i="3"/>
  <c r="E319" i="3"/>
  <c r="E530" i="3"/>
  <c r="E501" i="3"/>
  <c r="E343" i="3"/>
  <c r="E153" i="3"/>
  <c r="E305" i="3"/>
  <c r="E426" i="3"/>
  <c r="E508" i="3"/>
  <c r="E328" i="3"/>
  <c r="E347" i="3"/>
  <c r="E583" i="3"/>
  <c r="I109" i="43"/>
  <c r="I102" i="43"/>
  <c r="I103" i="43"/>
  <c r="I106" i="43"/>
  <c r="I107" i="43"/>
  <c r="I105" i="43"/>
  <c r="I104" i="43"/>
  <c r="N107" i="43"/>
  <c r="N109" i="43"/>
  <c r="N106" i="43"/>
  <c r="E13" i="3"/>
  <c r="F102" i="43"/>
  <c r="F104" i="43"/>
  <c r="F106" i="43"/>
  <c r="F109" i="43"/>
  <c r="F103" i="43"/>
  <c r="F107" i="43"/>
  <c r="F105" i="43"/>
  <c r="P17" i="43"/>
  <c r="K24" i="6"/>
  <c r="M24" i="6" s="1"/>
  <c r="I24" i="6" s="1"/>
  <c r="S24" i="6" s="1"/>
  <c r="K26" i="6"/>
  <c r="M26" i="6" s="1"/>
  <c r="I26" i="6" s="1"/>
  <c r="S26" i="6" s="1"/>
  <c r="M14" i="1"/>
  <c r="K16" i="1"/>
  <c r="K25" i="6"/>
  <c r="M25" i="6" s="1"/>
  <c r="I25" i="6" s="1"/>
  <c r="S25" i="6" s="1"/>
  <c r="K21" i="6"/>
  <c r="K23" i="6"/>
  <c r="M23" i="6" s="1"/>
  <c r="I23" i="6" s="1"/>
  <c r="S23" i="6" s="1"/>
  <c r="K22" i="6"/>
  <c r="E66" i="39"/>
  <c r="N17" i="43"/>
  <c r="O17" i="43"/>
  <c r="G20" i="43" s="1"/>
  <c r="B40" i="1"/>
  <c r="F22" i="68" s="1"/>
  <c r="G65" i="40"/>
  <c r="H63" i="40"/>
  <c r="I40" i="36"/>
  <c r="J40" i="36" s="1"/>
  <c r="R43" i="37"/>
  <c r="E42" i="37"/>
  <c r="R49" i="21"/>
  <c r="E48" i="21"/>
  <c r="I53" i="34"/>
  <c r="J53" i="34" s="1"/>
  <c r="E49" i="34"/>
  <c r="I54" i="34" s="1"/>
  <c r="J54" i="34" s="1"/>
  <c r="R50" i="34"/>
  <c r="I42" i="35"/>
  <c r="J42" i="35" s="1"/>
  <c r="I52" i="21"/>
  <c r="J52" i="21" s="1"/>
  <c r="J68" i="39"/>
  <c r="I70" i="39"/>
  <c r="G53" i="34"/>
  <c r="H53" i="34" s="1"/>
  <c r="G54" i="34"/>
  <c r="H54" i="34" s="1"/>
  <c r="S7" i="36"/>
  <c r="AA7" i="36"/>
  <c r="R36" i="36" s="1"/>
  <c r="AB7" i="37"/>
  <c r="T42" i="37" s="1"/>
  <c r="G42" i="37" s="1"/>
  <c r="U7" i="37"/>
  <c r="G42" i="35"/>
  <c r="H42" i="35" s="1"/>
  <c r="G43" i="35"/>
  <c r="H43" i="35" s="1"/>
  <c r="AY6" i="3"/>
  <c r="E3" i="6"/>
  <c r="D7" i="71"/>
  <c r="C6" i="71"/>
  <c r="Q51" i="71"/>
  <c r="Q50" i="71"/>
  <c r="R39" i="35"/>
  <c r="E38" i="35"/>
  <c r="I43" i="35" s="1"/>
  <c r="J43" i="35" s="1"/>
  <c r="U7" i="36"/>
  <c r="AB7" i="36"/>
  <c r="T36" i="36" s="1"/>
  <c r="G36" i="36" s="1"/>
  <c r="W7" i="37"/>
  <c r="AC7" i="37"/>
  <c r="V42" i="37" s="1"/>
  <c r="I42" i="37" s="1"/>
  <c r="G52" i="21"/>
  <c r="H52" i="21" s="1"/>
  <c r="G53" i="21"/>
  <c r="H53" i="21" s="1"/>
  <c r="D21" i="71"/>
  <c r="T21" i="71"/>
  <c r="C53" i="67"/>
  <c r="C10" i="67"/>
  <c r="C5" i="67" s="1"/>
  <c r="C53" i="15"/>
  <c r="C48" i="15" s="1"/>
  <c r="C10" i="15"/>
  <c r="C5" i="15" s="1"/>
  <c r="C34" i="69"/>
  <c r="C17" i="15"/>
  <c r="F27" i="69"/>
  <c r="AE6" i="1"/>
  <c r="E41" i="43" l="1"/>
  <c r="C41" i="43" s="1"/>
  <c r="C39" i="43" s="1"/>
  <c r="C20" i="43"/>
  <c r="T13" i="43" s="1"/>
  <c r="V13" i="43" s="1"/>
  <c r="I53" i="21"/>
  <c r="J53" i="21" s="1"/>
  <c r="J24" i="15"/>
  <c r="C48" i="67"/>
  <c r="C66" i="67" s="1"/>
  <c r="AA10" i="39"/>
  <c r="J26" i="67"/>
  <c r="M22" i="6"/>
  <c r="I22" i="6" s="1"/>
  <c r="S22" i="6" s="1"/>
  <c r="S9" i="1"/>
  <c r="J26" i="15"/>
  <c r="J29" i="15" s="1"/>
  <c r="F24" i="67"/>
  <c r="C24" i="67" s="1"/>
  <c r="J18" i="67"/>
  <c r="AA10" i="40"/>
  <c r="AC10" i="39"/>
  <c r="D113" i="43"/>
  <c r="AC10" i="40"/>
  <c r="K27" i="6"/>
  <c r="S6" i="1"/>
  <c r="S4" i="43"/>
  <c r="M21" i="6"/>
  <c r="I21" i="6" s="1"/>
  <c r="S21" i="6" s="1"/>
  <c r="S8" i="1"/>
  <c r="S7" i="43"/>
  <c r="AQ7" i="1"/>
  <c r="AR7" i="1"/>
  <c r="T7" i="1"/>
  <c r="C29" i="11"/>
  <c r="D27" i="11" s="1"/>
  <c r="C47" i="11"/>
  <c r="D45" i="11" s="1"/>
  <c r="C29" i="68"/>
  <c r="D27" i="68" s="1"/>
  <c r="C47" i="68"/>
  <c r="D45" i="68" s="1"/>
  <c r="C47" i="69"/>
  <c r="D45" i="69" s="1"/>
  <c r="C29" i="69"/>
  <c r="D27" i="69" s="1"/>
  <c r="S5" i="43"/>
  <c r="S6" i="43"/>
  <c r="C23" i="43"/>
  <c r="C21" i="43" s="1"/>
  <c r="S2" i="43"/>
  <c r="S3" i="43"/>
  <c r="H6" i="3"/>
  <c r="AC6" i="3"/>
  <c r="F25" i="12"/>
  <c r="C26" i="12" s="1"/>
  <c r="D25" i="12" s="1"/>
  <c r="C38" i="69"/>
  <c r="C35" i="69"/>
  <c r="O14" i="1"/>
  <c r="M16" i="1"/>
  <c r="M27" i="6"/>
  <c r="I19" i="6"/>
  <c r="F22" i="11"/>
  <c r="C23" i="11" s="1"/>
  <c r="F24" i="15"/>
  <c r="C24" i="15" s="1"/>
  <c r="F22" i="69"/>
  <c r="C44" i="69" s="1"/>
  <c r="D41" i="69" s="1"/>
  <c r="H65" i="40"/>
  <c r="I63" i="40"/>
  <c r="I47" i="37"/>
  <c r="J47" i="37" s="1"/>
  <c r="I46" i="37"/>
  <c r="J46" i="37" s="1"/>
  <c r="C49" i="34"/>
  <c r="C50" i="34"/>
  <c r="E52" i="21"/>
  <c r="F52" i="21" s="1"/>
  <c r="E53" i="21"/>
  <c r="F53" i="21" s="1"/>
  <c r="E47" i="37"/>
  <c r="F47" i="37" s="1"/>
  <c r="E46" i="37"/>
  <c r="F46" i="37" s="1"/>
  <c r="G40" i="36"/>
  <c r="H40" i="36" s="1"/>
  <c r="G41" i="36"/>
  <c r="H41" i="36" s="1"/>
  <c r="E43" i="35"/>
  <c r="F43" i="35" s="1"/>
  <c r="E42" i="35"/>
  <c r="F42" i="35" s="1"/>
  <c r="D6" i="71"/>
  <c r="C5" i="71"/>
  <c r="D5" i="71" s="1"/>
  <c r="M20" i="43" s="1"/>
  <c r="C19" i="43" s="1"/>
  <c r="T14" i="43" s="1"/>
  <c r="V14" i="43" s="1"/>
  <c r="D3" i="34"/>
  <c r="D3" i="33"/>
  <c r="B2" i="33" s="1"/>
  <c r="B3" i="33" s="1"/>
  <c r="E6" i="6"/>
  <c r="C17" i="4"/>
  <c r="B4" i="52" s="1"/>
  <c r="B43" i="72" s="1"/>
  <c r="L18" i="9"/>
  <c r="D3" i="37"/>
  <c r="D3" i="21"/>
  <c r="D19" i="11"/>
  <c r="C19" i="11" s="1"/>
  <c r="C24" i="11" s="1"/>
  <c r="D37" i="11"/>
  <c r="D14" i="12"/>
  <c r="M18" i="9"/>
  <c r="B118" i="9" s="1"/>
  <c r="B14" i="74" s="1"/>
  <c r="B1" i="74" s="1"/>
  <c r="R37" i="36"/>
  <c r="E36" i="36"/>
  <c r="C39" i="35"/>
  <c r="B2" i="35" s="1"/>
  <c r="B3" i="35" s="1"/>
  <c r="C38"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47" i="37"/>
  <c r="H47" i="37" s="1"/>
  <c r="G46" i="37"/>
  <c r="H46" i="37" s="1"/>
  <c r="J70" i="39"/>
  <c r="K68" i="39"/>
  <c r="E54" i="34"/>
  <c r="F54" i="34" s="1"/>
  <c r="E53" i="34"/>
  <c r="F53" i="34" s="1"/>
  <c r="C48" i="21"/>
  <c r="C49" i="21"/>
  <c r="B2" i="21" s="1"/>
  <c r="B3" i="21" s="1"/>
  <c r="C43" i="37"/>
  <c r="B2" i="37" s="1"/>
  <c r="B3" i="37" s="1"/>
  <c r="C42" i="37"/>
  <c r="C37" i="43"/>
  <c r="C38" i="43"/>
  <c r="C23" i="68"/>
  <c r="C26" i="68"/>
  <c r="D22" i="68" s="1"/>
  <c r="C44" i="68"/>
  <c r="D41" i="68" s="1"/>
  <c r="C38" i="15"/>
  <c r="C32" i="15"/>
  <c r="C66" i="15"/>
  <c r="C60" i="15"/>
  <c r="C38" i="67"/>
  <c r="C32" i="67"/>
  <c r="C14" i="67"/>
  <c r="F41" i="67"/>
  <c r="C17" i="67"/>
  <c r="C14" i="15"/>
  <c r="C36" i="43" l="1"/>
  <c r="E36" i="43" s="1"/>
  <c r="C35" i="43"/>
  <c r="E35" i="43" s="1"/>
  <c r="T15" i="43"/>
  <c r="V15" i="43" s="1"/>
  <c r="T12" i="43"/>
  <c r="V12" i="43" s="1"/>
  <c r="T8" i="43"/>
  <c r="V8" i="43" s="1"/>
  <c r="T3" i="43"/>
  <c r="V3" i="43" s="1"/>
  <c r="C29" i="43"/>
  <c r="C30" i="43" s="1"/>
  <c r="E30" i="43" s="1"/>
  <c r="T5" i="43"/>
  <c r="V5" i="43" s="1"/>
  <c r="T7" i="43"/>
  <c r="V7" i="43" s="1"/>
  <c r="T16" i="43"/>
  <c r="V16" i="43" s="1"/>
  <c r="C33" i="43"/>
  <c r="E33" i="43" s="1"/>
  <c r="T9" i="43"/>
  <c r="V9" i="43" s="1"/>
  <c r="T10" i="43"/>
  <c r="V10" i="43" s="1"/>
  <c r="T11" i="43"/>
  <c r="V11" i="43" s="1"/>
  <c r="C34" i="43"/>
  <c r="E34" i="43" s="1"/>
  <c r="T4" i="43"/>
  <c r="V4" i="43" s="1"/>
  <c r="T2" i="43"/>
  <c r="V2" i="43" s="1"/>
  <c r="T6" i="43"/>
  <c r="V6" i="43" s="1"/>
  <c r="C15" i="67"/>
  <c r="C18" i="67"/>
  <c r="E6" i="70"/>
  <c r="E2" i="70" s="1"/>
  <c r="C60" i="67"/>
  <c r="F69" i="67"/>
  <c r="J29" i="67"/>
  <c r="C15" i="15"/>
  <c r="C18" i="15"/>
  <c r="E6" i="3"/>
  <c r="AR9" i="1"/>
  <c r="T9" i="1"/>
  <c r="AQ9" i="1"/>
  <c r="AQ6" i="1"/>
  <c r="T6" i="1"/>
  <c r="AR6" i="1"/>
  <c r="S16" i="1"/>
  <c r="AQ8" i="1"/>
  <c r="AR8" i="1"/>
  <c r="T8" i="1"/>
  <c r="C26" i="11"/>
  <c r="D22" i="11" s="1"/>
  <c r="C44" i="11"/>
  <c r="D41" i="11" s="1"/>
  <c r="C26" i="69"/>
  <c r="D22" i="69" s="1"/>
  <c r="I27" i="6"/>
  <c r="S19" i="6"/>
  <c r="S27" i="6" s="1"/>
  <c r="N16" i="1"/>
  <c r="L16" i="1"/>
  <c r="P14" i="1"/>
  <c r="P16" i="1" s="1"/>
  <c r="C11" i="12" s="1"/>
  <c r="O16" i="1"/>
  <c r="I65" i="40"/>
  <c r="J63" i="40"/>
  <c r="L68" i="39"/>
  <c r="K70" i="3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C37" i="36"/>
  <c r="B2" i="36" s="1"/>
  <c r="B3" i="36" s="1"/>
  <c r="C36" i="36"/>
  <c r="C8" i="74"/>
  <c r="C7" i="74"/>
  <c r="D10" i="11"/>
  <c r="C10" i="11" s="1"/>
  <c r="D20" i="12"/>
  <c r="C20" i="12" s="1"/>
  <c r="C18" i="12" s="1"/>
  <c r="D10" i="68"/>
  <c r="B2" i="34"/>
  <c r="E40" i="36"/>
  <c r="F40" i="36" s="1"/>
  <c r="E41" i="36"/>
  <c r="F41" i="36" s="1"/>
  <c r="I41" i="36"/>
  <c r="J41" i="36" s="1"/>
  <c r="D17" i="12"/>
  <c r="C17" i="12" s="1"/>
  <c r="C20" i="11"/>
  <c r="C25" i="11" s="1"/>
  <c r="C22" i="11" s="1"/>
  <c r="G39" i="43"/>
  <c r="I39" i="43" s="1"/>
  <c r="E39" i="43"/>
  <c r="E38" i="43"/>
  <c r="G38" i="43"/>
  <c r="I38" i="43" s="1"/>
  <c r="G37" i="43"/>
  <c r="I37" i="43" s="1"/>
  <c r="E37" i="43"/>
  <c r="D10" i="69"/>
  <c r="C19" i="9"/>
  <c r="G33" i="43" l="1"/>
  <c r="I33" i="43" s="1"/>
  <c r="G36" i="43"/>
  <c r="I36" i="43" s="1"/>
  <c r="G35" i="43"/>
  <c r="I35" i="43" s="1"/>
  <c r="E29" i="43"/>
  <c r="C26" i="43" s="1"/>
  <c r="B2" i="43" s="1"/>
  <c r="C6" i="69" s="1"/>
  <c r="G34" i="43"/>
  <c r="I34" i="43" s="1"/>
  <c r="C19" i="67"/>
  <c r="C20" i="67" s="1"/>
  <c r="C26" i="67" s="1"/>
  <c r="C102" i="9"/>
  <c r="B3" i="34"/>
  <c r="C19" i="15"/>
  <c r="C20" i="15" s="1"/>
  <c r="C26" i="15" s="1"/>
  <c r="F11" i="12"/>
  <c r="F34" i="11"/>
  <c r="F34" i="68"/>
  <c r="H27" i="6"/>
  <c r="T16" i="1"/>
  <c r="D30" i="6"/>
  <c r="C28" i="11"/>
  <c r="C27" i="11" s="1"/>
  <c r="C31" i="11" s="1"/>
  <c r="D16" i="6"/>
  <c r="R20" i="6"/>
  <c r="R7" i="1" s="1"/>
  <c r="F50" i="69"/>
  <c r="F50" i="68"/>
  <c r="F50" i="11"/>
  <c r="C15" i="12"/>
  <c r="C12" i="12"/>
  <c r="J59" i="15"/>
  <c r="J60" i="15" s="1"/>
  <c r="Q48" i="15" s="1"/>
  <c r="K63" i="40"/>
  <c r="J65" i="40"/>
  <c r="C10" i="69"/>
  <c r="C8" i="69" s="1"/>
  <c r="D19" i="69"/>
  <c r="C10" i="68"/>
  <c r="D19" i="68"/>
  <c r="R23" i="6"/>
  <c r="A7" i="51"/>
  <c r="B7" i="72" s="1"/>
  <c r="C4" i="52"/>
  <c r="B45" i="72" s="1"/>
  <c r="A10" i="51"/>
  <c r="B9" i="72" s="1"/>
  <c r="D27" i="6"/>
  <c r="R19" i="6"/>
  <c r="R24" i="6"/>
  <c r="R22" i="6"/>
  <c r="R9" i="1" s="1"/>
  <c r="R25" i="6"/>
  <c r="L70" i="39"/>
  <c r="M68" i="39"/>
  <c r="R26" i="6"/>
  <c r="D8" i="74"/>
  <c r="D7" i="74"/>
  <c r="C21" i="9"/>
  <c r="R21" i="6"/>
  <c r="R8" i="1" s="1"/>
  <c r="C20" i="9"/>
  <c r="F35" i="15"/>
  <c r="M21" i="15"/>
  <c r="B6" i="76"/>
  <c r="C7" i="69" l="1"/>
  <c r="C5" i="69" s="1"/>
  <c r="C23" i="69" s="1"/>
  <c r="C27" i="43"/>
  <c r="C23" i="67"/>
  <c r="C29" i="67" s="1"/>
  <c r="Q49" i="67" s="1"/>
  <c r="C103" i="9"/>
  <c r="C13" i="67"/>
  <c r="C37" i="67" s="1"/>
  <c r="J59" i="67"/>
  <c r="J60" i="67" s="1"/>
  <c r="Q48" i="67" s="1"/>
  <c r="C33" i="67"/>
  <c r="C23" i="15"/>
  <c r="C29" i="15" s="1"/>
  <c r="J19" i="15" s="1"/>
  <c r="J20" i="15"/>
  <c r="C34" i="15"/>
  <c r="F63" i="15"/>
  <c r="C62" i="15" s="1"/>
  <c r="C36" i="11"/>
  <c r="C37" i="11"/>
  <c r="C34" i="11"/>
  <c r="C36" i="68"/>
  <c r="C34" i="68"/>
  <c r="C23" i="12"/>
  <c r="C14" i="12"/>
  <c r="C16" i="12" s="1"/>
  <c r="C21" i="12" s="1"/>
  <c r="C22" i="12" s="1"/>
  <c r="R27" i="6"/>
  <c r="R6" i="1"/>
  <c r="D31" i="6"/>
  <c r="I6" i="6" s="1"/>
  <c r="L63" i="40"/>
  <c r="K65" i="40"/>
  <c r="N68" i="39"/>
  <c r="M70" i="39"/>
  <c r="C19" i="68"/>
  <c r="D37" i="68"/>
  <c r="C37" i="68" s="1"/>
  <c r="C19" i="69"/>
  <c r="C24" i="69" s="1"/>
  <c r="D37" i="69"/>
  <c r="C37" i="69" s="1"/>
  <c r="C33" i="69" s="1"/>
  <c r="B2" i="76"/>
  <c r="B3" i="43"/>
  <c r="M21" i="67"/>
  <c r="E6" i="76"/>
  <c r="F35" i="67"/>
  <c r="E2" i="76" l="1"/>
  <c r="J14" i="67"/>
  <c r="J22" i="67" s="1"/>
  <c r="C57" i="67"/>
  <c r="C64" i="67" s="1"/>
  <c r="J14" i="15"/>
  <c r="J22" i="15" s="1"/>
  <c r="C36" i="67"/>
  <c r="J19" i="67"/>
  <c r="F63" i="67"/>
  <c r="C62" i="67" s="1"/>
  <c r="C34" i="67"/>
  <c r="C31" i="67" s="1"/>
  <c r="J20" i="67"/>
  <c r="R16" i="1"/>
  <c r="C75" i="67"/>
  <c r="J13" i="15"/>
  <c r="J23" i="15" s="1"/>
  <c r="C56" i="67"/>
  <c r="C65" i="67" s="1"/>
  <c r="Q70" i="67"/>
  <c r="C33" i="15"/>
  <c r="C31" i="15" s="1"/>
  <c r="J17" i="15"/>
  <c r="Q49" i="15"/>
  <c r="C57" i="15"/>
  <c r="C36" i="15"/>
  <c r="C13" i="15"/>
  <c r="C30" i="12"/>
  <c r="C28" i="12" s="1"/>
  <c r="C35" i="68"/>
  <c r="C38" i="68"/>
  <c r="C35" i="11"/>
  <c r="C38" i="11"/>
  <c r="I5" i="6"/>
  <c r="M63" i="40"/>
  <c r="L65" i="40"/>
  <c r="C20" i="69"/>
  <c r="C25" i="69" s="1"/>
  <c r="C22" i="69" s="1"/>
  <c r="C27" i="12"/>
  <c r="C25" i="12" s="1"/>
  <c r="C39" i="69"/>
  <c r="C42" i="69"/>
  <c r="C20" i="68"/>
  <c r="C24" i="68"/>
  <c r="N70" i="39"/>
  <c r="O68" i="39"/>
  <c r="O70" i="39" s="1"/>
  <c r="J7" i="39" s="1"/>
  <c r="B3" i="76"/>
  <c r="J16" i="15" l="1"/>
  <c r="J25" i="15" s="1"/>
  <c r="J13" i="67"/>
  <c r="J23" i="67" s="1"/>
  <c r="C61" i="67"/>
  <c r="C59" i="67" s="1"/>
  <c r="C58" i="67" s="1"/>
  <c r="C67" i="67" s="1"/>
  <c r="C68" i="67" s="1"/>
  <c r="C71" i="67" s="1"/>
  <c r="C30" i="67"/>
  <c r="C39" i="67" s="1"/>
  <c r="Q69" i="67" s="1"/>
  <c r="J17" i="67"/>
  <c r="Q68" i="67"/>
  <c r="L57" i="67"/>
  <c r="L60" i="67" s="1"/>
  <c r="L46" i="67" s="1"/>
  <c r="C32" i="12"/>
  <c r="B2" i="12" s="1"/>
  <c r="B3" i="12" s="1"/>
  <c r="Q70" i="15"/>
  <c r="C75" i="15"/>
  <c r="C56" i="15"/>
  <c r="C65" i="15" s="1"/>
  <c r="C37" i="15"/>
  <c r="C30" i="15" s="1"/>
  <c r="C39" i="15" s="1"/>
  <c r="C61" i="15"/>
  <c r="C59" i="15" s="1"/>
  <c r="C64" i="15"/>
  <c r="L57" i="15"/>
  <c r="L60" i="15" s="1"/>
  <c r="C33" i="11"/>
  <c r="C33" i="68"/>
  <c r="C39" i="68" s="1"/>
  <c r="M65" i="40"/>
  <c r="N63" i="40"/>
  <c r="C28" i="69"/>
  <c r="C27" i="69" s="1"/>
  <c r="C31" i="69" s="1"/>
  <c r="AC7" i="39"/>
  <c r="V47" i="39" s="1"/>
  <c r="I47" i="39" s="1"/>
  <c r="W7" i="39"/>
  <c r="H7" i="39"/>
  <c r="C28" i="68"/>
  <c r="C27" i="68" s="1"/>
  <c r="C25" i="68"/>
  <c r="C22" i="68" s="1"/>
  <c r="C46" i="69"/>
  <c r="C45" i="69" s="1"/>
  <c r="C43" i="69"/>
  <c r="C41" i="69" s="1"/>
  <c r="F7" i="39"/>
  <c r="L51" i="15"/>
  <c r="L51" i="67"/>
  <c r="C40" i="67" l="1"/>
  <c r="C43" i="67" s="1"/>
  <c r="C80" i="67"/>
  <c r="C79" i="67" s="1"/>
  <c r="J16" i="67"/>
  <c r="J25" i="67" s="1"/>
  <c r="Q67" i="67"/>
  <c r="Q66" i="67"/>
  <c r="Q57" i="67"/>
  <c r="Q67" i="15"/>
  <c r="Q69" i="15"/>
  <c r="Q68" i="15" s="1"/>
  <c r="C40" i="15"/>
  <c r="C80" i="15"/>
  <c r="C79" i="15" s="1"/>
  <c r="C58" i="15"/>
  <c r="C67" i="15" s="1"/>
  <c r="C68" i="15" s="1"/>
  <c r="Q57" i="15"/>
  <c r="L46" i="15"/>
  <c r="B2" i="15" s="1"/>
  <c r="Q66" i="15"/>
  <c r="C42" i="68"/>
  <c r="C43" i="68"/>
  <c r="C46" i="68"/>
  <c r="C45" i="68" s="1"/>
  <c r="C42" i="11"/>
  <c r="C39" i="11"/>
  <c r="O63" i="40"/>
  <c r="O65" i="40" s="1"/>
  <c r="N65" i="40"/>
  <c r="J7" i="40" s="1"/>
  <c r="C49" i="69"/>
  <c r="C51" i="69" s="1"/>
  <c r="C52" i="69" s="1"/>
  <c r="B2" i="69" s="1"/>
  <c r="AB7" i="39"/>
  <c r="T47" i="39" s="1"/>
  <c r="G47" i="39" s="1"/>
  <c r="U7" i="39"/>
  <c r="C31" i="68"/>
  <c r="I51" i="39"/>
  <c r="J51" i="39" s="1"/>
  <c r="S7" i="39"/>
  <c r="AA7" i="39"/>
  <c r="R47" i="39" s="1"/>
  <c r="B3" i="69"/>
  <c r="Q47" i="67" l="1"/>
  <c r="Q53" i="67" s="1"/>
  <c r="C45" i="67"/>
  <c r="C46" i="67" s="1"/>
  <c r="Q65" i="67"/>
  <c r="Q75" i="67" s="1"/>
  <c r="C83" i="67"/>
  <c r="C82" i="67" s="1"/>
  <c r="D2" i="67"/>
  <c r="B3" i="67" s="1"/>
  <c r="Q56" i="67"/>
  <c r="Q62" i="67" s="1"/>
  <c r="B3" i="15"/>
  <c r="C71" i="15"/>
  <c r="C46" i="15"/>
  <c r="Q65" i="15"/>
  <c r="Q75" i="15" s="1"/>
  <c r="Q47" i="15"/>
  <c r="Q53" i="15" s="1"/>
  <c r="C83" i="15"/>
  <c r="C82" i="15" s="1"/>
  <c r="C43" i="15"/>
  <c r="Q56" i="15"/>
  <c r="Q62" i="15" s="1"/>
  <c r="C41" i="68"/>
  <c r="C49" i="68" s="1"/>
  <c r="C51" i="68" s="1"/>
  <c r="C52" i="68" s="1"/>
  <c r="B2" i="68" s="1"/>
  <c r="B3" i="68" s="1"/>
  <c r="C43" i="11"/>
  <c r="C41" i="11" s="1"/>
  <c r="C46" i="11"/>
  <c r="C45" i="11" s="1"/>
  <c r="AC7" i="40"/>
  <c r="V42" i="40" s="1"/>
  <c r="I42" i="40" s="1"/>
  <c r="W7" i="40"/>
  <c r="H7" i="40"/>
  <c r="F7" i="40"/>
  <c r="E47" i="39"/>
  <c r="R48" i="39"/>
  <c r="G52" i="39"/>
  <c r="H52" i="39" s="1"/>
  <c r="G51" i="39"/>
  <c r="H51" i="39" s="1"/>
  <c r="C57" i="69"/>
  <c r="C56" i="69" s="1"/>
  <c r="D20" i="9"/>
  <c r="B2" i="67" l="1"/>
  <c r="D103" i="9"/>
  <c r="G20" i="9"/>
  <c r="C57" i="68"/>
  <c r="C56" i="68" s="1"/>
  <c r="C49" i="11"/>
  <c r="C51" i="11" s="1"/>
  <c r="C52" i="11" s="1"/>
  <c r="B2" i="11" s="1"/>
  <c r="B3" i="11" s="1"/>
  <c r="AA7" i="40"/>
  <c r="R42" i="40" s="1"/>
  <c r="S7" i="40"/>
  <c r="U7" i="40"/>
  <c r="AB7" i="40"/>
  <c r="T42" i="40" s="1"/>
  <c r="G42" i="40" s="1"/>
  <c r="I46" i="40"/>
  <c r="J46" i="40" s="1"/>
  <c r="C48" i="39"/>
  <c r="C47" i="39"/>
  <c r="E52" i="39"/>
  <c r="F52" i="39" s="1"/>
  <c r="E51" i="39"/>
  <c r="F51" i="39" s="1"/>
  <c r="I52" i="39"/>
  <c r="J52" i="39" s="1"/>
  <c r="D19" i="9"/>
  <c r="D21" i="9" l="1"/>
  <c r="D102" i="9"/>
  <c r="D22" i="9"/>
  <c r="G19" i="9"/>
  <c r="C32" i="9" s="1"/>
  <c r="C35" i="9" s="1"/>
  <c r="F118" i="9" s="1"/>
  <c r="C56" i="11"/>
  <c r="C57" i="11" s="1"/>
  <c r="G46" i="40"/>
  <c r="H46" i="40" s="1"/>
  <c r="G47" i="40"/>
  <c r="H47" i="40" s="1"/>
  <c r="E42" i="40"/>
  <c r="R43"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H118" i="9" l="1"/>
  <c r="H119" i="9" s="1"/>
  <c r="H5" i="52" s="1"/>
  <c r="G21" i="9"/>
  <c r="F119" i="9"/>
  <c r="F5" i="52" s="1"/>
  <c r="B53" i="72" s="1"/>
  <c r="F4" i="52"/>
  <c r="B51" i="72" s="1"/>
  <c r="G118" i="9"/>
  <c r="G4" i="52" s="1"/>
  <c r="B52" i="72" s="1"/>
  <c r="C34" i="9"/>
  <c r="D118" i="9" s="1"/>
  <c r="C43" i="40"/>
  <c r="C42" i="40"/>
  <c r="E47" i="40"/>
  <c r="F47" i="40" s="1"/>
  <c r="E46" i="40"/>
  <c r="F46" i="40" s="1"/>
  <c r="I47" i="40"/>
  <c r="J47" i="40" s="1"/>
  <c r="D14" i="74" l="1"/>
  <c r="E14" i="74" s="1"/>
  <c r="H4" i="52"/>
  <c r="C104" i="9"/>
  <c r="I118" i="9"/>
  <c r="H102" i="9" s="1"/>
  <c r="D7" i="53" s="1"/>
  <c r="B21" i="72" s="1"/>
  <c r="H101" i="9"/>
  <c r="D45" i="9" s="1"/>
  <c r="D119" i="9"/>
  <c r="D5" i="52" s="1"/>
  <c r="B49" i="72" s="1"/>
  <c r="D4" i="52"/>
  <c r="B47"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O6" i="1"/>
  <c r="B5" i="74" l="1"/>
  <c r="C5" i="74" s="1"/>
  <c r="F14" i="74"/>
  <c r="M48" i="9"/>
  <c r="C105" i="9"/>
  <c r="D5" i="53"/>
  <c r="D6" i="53" s="1"/>
  <c r="B22" i="72" s="1"/>
  <c r="I4" i="52"/>
  <c r="H107" i="9"/>
  <c r="D122" i="9" s="1"/>
  <c r="E118" i="9"/>
  <c r="E4" i="52" s="1"/>
  <c r="B48" i="72" s="1"/>
  <c r="D5" i="74"/>
  <c r="C64" i="9"/>
  <c r="C63" i="9" s="1"/>
  <c r="C67" i="9" s="1"/>
  <c r="C68" i="9" s="1"/>
  <c r="D54" i="9" s="1"/>
  <c r="D52" i="9"/>
  <c r="C85" i="9"/>
  <c r="C72" i="9"/>
  <c r="D55" i="9"/>
  <c r="M53" i="9" s="1"/>
  <c r="C93" i="9"/>
  <c r="C86" i="9" s="1"/>
  <c r="C78" i="9"/>
  <c r="C73" i="9" s="1"/>
  <c r="D53" i="9"/>
  <c r="B6" i="70"/>
  <c r="B2" i="70" s="1"/>
  <c r="B3" i="70" s="1"/>
  <c r="B20" i="72" l="1"/>
  <c r="H108" i="9"/>
  <c r="D15" i="53" s="1"/>
  <c r="B31" i="72" s="1"/>
  <c r="D13" i="53"/>
  <c r="B30" i="72" s="1"/>
  <c r="C95" i="9"/>
  <c r="C96" i="9" s="1"/>
  <c r="E96" i="9" s="1"/>
  <c r="E97" i="9" s="1"/>
  <c r="G14" i="74"/>
  <c r="B6" i="74" s="1"/>
  <c r="D8" i="52"/>
  <c r="D123" i="9"/>
  <c r="D9" i="52" s="1"/>
  <c r="C79" i="9"/>
  <c r="D14" i="53"/>
  <c r="B32" i="72" s="1"/>
  <c r="C97" i="9" l="1"/>
  <c r="D58" i="9" s="1"/>
  <c r="D56" i="9" s="1"/>
  <c r="M54" i="9" s="1"/>
  <c r="N57" i="9" s="1"/>
  <c r="N58" i="9" s="1"/>
  <c r="C80" i="9"/>
  <c r="E80" i="9" s="1"/>
  <c r="E81" i="9" s="1"/>
  <c r="C6" i="74"/>
  <c r="D6" i="74"/>
  <c r="C81" i="9" l="1"/>
  <c r="P57"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<sst xmlns="http://schemas.openxmlformats.org/spreadsheetml/2006/main" count="7383" uniqueCount="3143">
  <si>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</si>
  <si>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</si>
  <si>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</si>
  <si>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</si>
  <si>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</si>
  <si>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</si>
  <si>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</si>
  <si>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</si>
  <si>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</si>
  <si>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</si>
  <si>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</si>
  <si>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</si>
  <si>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</si>
  <si>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</si>
  <si>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</si>
  <si>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</si>
  <si>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</si>
  <si>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</si>
  <si>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</si>
  <si>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</si>
  <si>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</si>
  <si>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</si>
  <si>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</si>
  <si>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</si>
  <si>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</si>
  <si>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</si>
  <si>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</si>
  <si>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</si>
  <si>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</si>
  <si>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</si>
  <si>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</si>
  <si>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</si>
  <si>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</si>
  <si>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</si>
  <si>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</si>
  <si>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</si>
  <si>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</si>
  <si>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</si>
  <si>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</si>
  <si>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</si>
  <si>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</si>
  <si>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</si>
  <si>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</si>
  <si>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</si>
  <si>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</si>
  <si>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</si>
  <si>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</si>
  <si>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</si>
  <si>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</si>
  <si>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</si>
  <si>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</si>
  <si>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</si>
  <si>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</si>
  <si>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</si>
  <si>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</si>
  <si>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</si>
  <si>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</si>
  <si>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</si>
  <si>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</si>
  <si>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</si>
  <si>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</si>
  <si>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</si>
  <si>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</si>
  <si>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</si>
  <si>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</si>
  <si>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</si>
  <si>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</si>
  <si>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</si>
  <si>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</si>
  <si>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</si>
  <si>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</si>
  <si>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</si>
  <si>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</si>
  <si>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</si>
  <si>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</si>
  <si>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</si>
  <si>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</si>
  <si>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</si>
  <si>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</si>
  <si>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</si>
  <si>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</si>
  <si>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</si>
  <si>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</si>
  <si>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</si>
  <si>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</si>
  <si>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</si>
  <si>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</si>
  <si>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</si>
  <si>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</si>
  <si>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</si>
  <si>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</si>
  <si>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</si>
  <si>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</si>
  <si>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</si>
  <si>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</si>
  <si>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</si>
  <si>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</si>
  <si>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</si>
  <si>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</si>
  <si>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</si>
  <si>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</si>
  <si>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</si>
  <si>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</si>
  <si>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</si>
  <si>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</si>
  <si>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</si>
  <si>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</si>
  <si>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</si>
  <si>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</si>
  <si>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</si>
  <si>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</si>
  <si>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</si>
  <si>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</si>
  <si>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</si>
  <si>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</si>
  <si>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</si>
  <si>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</si>
  <si>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</si>
  <si>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</si>
  <si>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</si>
  <si>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</si>
  <si>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</si>
  <si>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</si>
  <si>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</si>
  <si>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</si>
  <si>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</si>
  <si>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</si>
  <si>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</si>
  <si>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</si>
  <si>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</si>
  <si>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</si>
  <si>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</si>
  <si>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</si>
  <si>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</si>
  <si>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</si>
  <si>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</si>
  <si>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</si>
  <si>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</si>
  <si>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</si>
  <si>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</si>
  <si>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</si>
  <si>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</si>
  <si>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</si>
  <si>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</si>
  <si>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</si>
  <si>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</si>
  <si>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</si>
  <si>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</si>
  <si>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</si>
  <si>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</si>
  <si>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</si>
  <si>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</si>
  <si>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</si>
  <si>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</si>
  <si>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</si>
  <si>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</si>
  <si>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</si>
  <si>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</si>
  <si>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</si>
  <si>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</si>
  <si>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</si>
  <si>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</si>
  <si>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</si>
  <si>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</si>
  <si>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</si>
  <si>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</si>
  <si>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</si>
  <si>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</si>
  <si>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</si>
  <si>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</si>
  <si>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</si>
  <si>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</si>
  <si>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</si>
  <si>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</si>
  <si>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</si>
  <si>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</si>
  <si>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</si>
  <si>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</si>
  <si>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</si>
  <si>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</si>
  <si>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</si>
  <si>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</si>
  <si>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</si>
  <si>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</si>
  <si>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</si>
  <si>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</si>
  <si>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</si>
  <si>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</si>
  <si>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</si>
  <si>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</si>
  <si>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</si>
  <si>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</si>
  <si>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</si>
  <si>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</si>
  <si>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</si>
  <si>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</si>
  <si>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</si>
  <si>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</si>
  <si>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</si>
  <si>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</si>
  <si>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</si>
  <si>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</si>
  <si>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</si>
  <si>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</si>
  <si>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</si>
  <si>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</si>
  <si>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</si>
  <si>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</si>
  <si>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</si>
  <si>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</si>
  <si>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</si>
  <si>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</si>
  <si>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</si>
  <si>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</si>
  <si>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</si>
  <si>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</si>
  <si>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</si>
  <si>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</si>
  <si>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</si>
  <si>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</si>
  <si>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</si>
  <si>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</si>
  <si>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</si>
  <si>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</si>
  <si>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</si>
  <si>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</si>
  <si>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</si>
  <si>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</si>
  <si>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</si>
  <si>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</si>
  <si>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</si>
  <si>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</si>
  <si>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</si>
  <si>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</si>
  <si>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</si>
  <si>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</si>
  <si>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</si>
  <si>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</si>
  <si>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</si>
  <si>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</si>
  <si>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</si>
  <si>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</si>
  <si>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</si>
  <si>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</si>
  <si>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</si>
  <si>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</si>
  <si>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</si>
  <si>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</si>
  <si>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</si>
  <si>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</si>
  <si>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</si>
  <si>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</si>
  <si>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</si>
  <si>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</si>
  <si>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</si>
  <si>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</si>
  <si>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</si>
  <si>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</si>
  <si>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</si>
  <si>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</si>
  <si>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</si>
  <si>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</si>
  <si>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</si>
  <si>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</si>
  <si>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</si>
  <si>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</si>
  <si>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</si>
  <si>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</si>
  <si>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</si>
  <si>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</si>
  <si>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</si>
  <si>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</si>
  <si>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</si>
  <si>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</si>
  <si>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</si>
  <si>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</si>
  <si>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</si>
  <si>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</si>
  <si>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</si>
  <si>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</si>
  <si>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</si>
  <si>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</si>
  <si>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</si>
  <si>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</si>
  <si>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</si>
  <si>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</si>
  <si>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</si>
  <si>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</si>
  <si>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</si>
  <si>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</si>
  <si>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</si>
  <si>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</si>
  <si>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</si>
  <si>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</si>
  <si>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</si>
  <si>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</si>
  <si>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</si>
  <si>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</si>
  <si>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</si>
  <si>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</si>
  <si>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</si>
  <si>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</si>
  <si>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</si>
  <si>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</si>
  <si>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</si>
  <si>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</si>
  <si>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</si>
  <si>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</si>
  <si>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</si>
  <si>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</si>
  <si>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</si>
  <si>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</si>
  <si>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</si>
  <si>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</si>
  <si>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</si>
  <si>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</si>
  <si>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</si>
  <si>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</si>
  <si>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</si>
  <si>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</si>
  <si>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</si>
  <si>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</si>
  <si>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</si>
  <si>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</si>
  <si>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</si>
  <si>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</si>
  <si>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</si>
  <si>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</si>
  <si>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</si>
  <si>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</si>
  <si>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</si>
  <si>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</si>
  <si>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</si>
  <si>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</si>
  <si>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</si>
  <si>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</si>
  <si>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</si>
  <si>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</si>
  <si>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</si>
  <si>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</si>
  <si>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</si>
  <si>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</si>
  <si>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</si>
  <si>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</si>
  <si>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</si>
  <si>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</si>
  <si>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</si>
  <si>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</si>
  <si>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</si>
  <si>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</si>
  <si>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</si>
  <si>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</si>
  <si>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</si>
  <si>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</si>
  <si>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</si>
  <si>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</si>
  <si>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</si>
  <si>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</si>
  <si>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</si>
  <si>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</si>
  <si>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</si>
  <si>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</si>
  <si>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</si>
  <si>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</si>
  <si>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</si>
  <si>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</si>
  <si>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</si>
  <si>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</si>
  <si>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</si>
  <si>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</si>
  <si>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</si>
  <si>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</si>
  <si>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</si>
  <si>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</si>
  <si>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</si>
  <si>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</si>
  <si>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</si>
  <si>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</si>
  <si>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</si>
  <si>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</si>
  <si>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</si>
  <si>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</si>
  <si>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</si>
  <si>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</si>
  <si>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</si>
  <si>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</si>
  <si>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</si>
  <si>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</si>
  <si>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</si>
  <si>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</si>
  <si>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</si>
  <si>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</si>
  <si>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</si>
  <si>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</si>
  <si>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</si>
  <si>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</si>
  <si>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</si>
  <si>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</si>
  <si>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</si>
  <si>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</si>
  <si>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</si>
  <si>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</si>
  <si>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</si>
  <si>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</si>
  <si>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</si>
  <si>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</si>
  <si>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</si>
  <si>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</si>
  <si>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</si>
  <si>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</si>
  <si>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</si>
  <si>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</si>
  <si>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</si>
  <si>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</si>
  <si>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</si>
  <si>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</si>
  <si>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</si>
  <si>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</si>
  <si>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</si>
  <si>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</si>
  <si>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</si>
  <si>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</si>
  <si>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</si>
  <si>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</si>
  <si>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</si>
  <si>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</si>
  <si>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</si>
  <si>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</si>
  <si>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</si>
  <si>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</si>
  <si>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</si>
  <si>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</si>
  <si>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</si>
  <si>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</si>
  <si>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</si>
  <si>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</si>
  <si>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</si>
  <si>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</si>
  <si>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</si>
  <si>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</si>
  <si>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</si>
  <si>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</si>
  <si>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</si>
  <si>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</si>
  <si>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</si>
  <si>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</si>
  <si>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</si>
  <si>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</si>
  <si>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</si>
  <si>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</si>
  <si>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</si>
  <si>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</si>
  <si>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</si>
  <si>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</si>
  <si>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</si>
  <si>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</si>
  <si>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</si>
  <si>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</si>
  <si>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</si>
  <si>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</si>
  <si>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</si>
  <si>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</si>
  <si>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</si>
  <si>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</si>
  <si>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</si>
  <si>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</si>
  <si>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</si>
  <si>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</si>
  <si>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</si>
  <si>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</si>
  <si>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</si>
  <si>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</si>
  <si>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</si>
  <si>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</si>
  <si>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</si>
  <si>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</si>
  <si>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</si>
  <si>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</si>
  <si>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</si>
  <si>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</si>
  <si>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</si>
  <si>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</si>
  <si>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</si>
  <si>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</si>
  <si>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</si>
  <si>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</si>
  <si>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</si>
  <si>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</si>
  <si>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</si>
  <si>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</si>
  <si>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</si>
  <si>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</si>
  <si>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</si>
  <si>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</si>
  <si>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</si>
  <si>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</si>
  <si>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</si>
  <si>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</si>
  <si>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</si>
  <si>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</si>
  <si>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</si>
  <si>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</si>
  <si>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</si>
  <si>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</si>
  <si>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</si>
  <si>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</si>
  <si>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</si>
  <si>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</si>
  <si>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</si>
  <si>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</si>
  <si>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</si>
  <si>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</si>
  <si>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</si>
  <si>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</si>
  <si>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</si>
  <si>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</si>
  <si>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</si>
  <si>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</si>
  <si>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</si>
  <si>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</si>
  <si>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</si>
  <si>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</si>
  <si>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</si>
  <si>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</si>
  <si>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</si>
  <si>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</si>
  <si>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</si>
  <si>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</si>
  <si>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</si>
  <si>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</si>
  <si>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</si>
  <si>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</si>
  <si>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</si>
  <si>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</si>
  <si>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</si>
  <si>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</si>
  <si>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</si>
  <si>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</si>
  <si>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</si>
  <si>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</si>
  <si>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</si>
  <si>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</si>
  <si>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</si>
  <si>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</si>
  <si>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</si>
  <si>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</si>
  <si>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</si>
  <si>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</si>
  <si>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</si>
  <si>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</si>
  <si>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</si>
  <si>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</si>
  <si>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</si>
  <si>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</si>
  <si>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</si>
  <si>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</si>
  <si>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</si>
  <si>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</si>
  <si>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</si>
  <si>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</si>
  <si>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</si>
  <si>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</si>
  <si>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</si>
  <si>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</si>
  <si>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</si>
  <si>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</si>
  <si>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</si>
  <si>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</si>
  <si>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</si>
  <si>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</si>
  <si>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</si>
  <si>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</si>
  <si>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</si>
  <si>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</si>
  <si>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</si>
  <si>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</si>
  <si>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</si>
  <si>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</si>
  <si>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</si>
  <si>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</si>
  <si>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</si>
  <si>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</si>
  <si>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</si>
  <si>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</si>
  <si>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</si>
  <si>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</si>
  <si>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</si>
  <si>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</si>
  <si>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</si>
  <si>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</si>
  <si>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</si>
  <si>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</si>
  <si>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</si>
  <si>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</si>
  <si>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</si>
  <si>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</si>
  <si>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</si>
  <si>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</si>
  <si>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</si>
  <si>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</si>
  <si>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</si>
  <si>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</si>
  <si>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</si>
  <si>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</si>
  <si>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</si>
  <si>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</si>
  <si>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</si>
  <si>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</si>
  <si>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</si>
  <si>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</si>
  <si>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</si>
  <si>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</si>
  <si>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</si>
  <si>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</si>
  <si>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</si>
  <si>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</si>
  <si>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</si>
  <si>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</si>
  <si>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</si>
  <si>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</si>
  <si>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</si>
  <si>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</si>
  <si>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</si>
  <si>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</si>
  <si>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</si>
  <si>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</si>
  <si>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</si>
  <si>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</si>
  <si>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</si>
  <si>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</si>
  <si>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</si>
  <si>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</si>
  <si>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</si>
  <si>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</si>
  <si>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</si>
  <si>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</si>
  <si>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</si>
  <si>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</si>
  <si>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</si>
  <si>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</si>
  <si>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</si>
  <si>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</si>
  <si>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</si>
  <si>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</si>
  <si>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</si>
  <si>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</si>
  <si>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</si>
  <si>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</si>
  <si>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</si>
  <si>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</si>
  <si>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</si>
  <si>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</si>
  <si>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</si>
  <si>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</si>
  <si>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</si>
  <si>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</si>
  <si>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</si>
  <si>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</si>
  <si>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</si>
  <si>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</si>
  <si>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</si>
  <si>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</si>
  <si>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</si>
  <si>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</si>
  <si>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</si>
  <si>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</si>
  <si>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</si>
  <si>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</si>
  <si>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</si>
  <si>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</si>
  <si>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</si>
  <si>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</si>
  <si>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</si>
  <si>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</si>
  <si>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</si>
  <si>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</si>
  <si>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</si>
  <si>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</si>
  <si>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</si>
  <si>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</si>
  <si>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</si>
  <si>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</si>
  <si>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</si>
  <si>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</si>
  <si>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</si>
  <si>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</si>
  <si>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</si>
  <si>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</si>
  <si>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</si>
  <si>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</si>
  <si>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</si>
  <si>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</si>
  <si>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</si>
  <si>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</si>
  <si>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</si>
  <si>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</si>
  <si>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</si>
  <si>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</si>
  <si>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</si>
  <si>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</si>
  <si>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</si>
  <si>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</si>
  <si>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</si>
  <si>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</si>
  <si>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</si>
  <si>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</si>
  <si>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</si>
  <si>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</si>
  <si>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</si>
  <si>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</si>
  <si>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</si>
  <si>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</si>
  <si>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</si>
  <si>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</si>
  <si>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</si>
  <si>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</si>
  <si>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</si>
  <si>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</si>
  <si>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</si>
  <si>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</si>
  <si>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</si>
  <si>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</si>
  <si>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</si>
  <si>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</si>
  <si>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</si>
  <si>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</si>
  <si>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</si>
  <si>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</si>
  <si>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</si>
  <si>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</si>
  <si>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</si>
  <si>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</si>
  <si>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</si>
  <si>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</si>
  <si>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</si>
  <si>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</si>
  <si>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</si>
  <si>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</si>
  <si>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</si>
  <si>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</si>
  <si>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</si>
  <si>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</si>
  <si>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</si>
  <si>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</si>
  <si>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</si>
  <si>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</si>
  <si>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</si>
  <si>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</si>
  <si>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</si>
  <si>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</si>
  <si>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</si>
  <si>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</si>
  <si>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</si>
  <si>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</si>
  <si>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</si>
  <si>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</si>
  <si>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</si>
  <si>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</si>
  <si>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</si>
  <si>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</si>
  <si>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</si>
  <si>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</si>
  <si>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</si>
  <si>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</si>
  <si>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</si>
  <si>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</si>
  <si>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</si>
  <si>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</si>
  <si>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</si>
  <si>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</si>
  <si>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</si>
  <si>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</si>
  <si>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</si>
  <si>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</si>
  <si>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</si>
  <si>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</si>
  <si>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</si>
  <si>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</si>
  <si>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</si>
  <si>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</si>
  <si>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</si>
  <si>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</si>
  <si>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</si>
  <si>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</si>
  <si>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</si>
  <si>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</si>
  <si>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</si>
  <si>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</si>
  <si>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</si>
  <si>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</si>
  <si>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</si>
  <si>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</si>
  <si>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</si>
  <si>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</si>
  <si>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</si>
  <si>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</si>
  <si>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</si>
  <si>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</si>
  <si>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</si>
  <si>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</si>
  <si>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</si>
  <si>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</si>
  <si>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</si>
  <si>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</si>
  <si>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</si>
  <si>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</si>
  <si>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</si>
  <si>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</si>
  <si>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</si>
  <si>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</si>
  <si>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</si>
  <si>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</si>
  <si>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</si>
  <si>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</si>
  <si>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</si>
  <si>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</si>
  <si>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</si>
  <si>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</si>
  <si>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</si>
  <si>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</si>
  <si>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</si>
  <si>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</si>
  <si>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</si>
  <si>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</si>
  <si>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</si>
  <si>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</si>
  <si>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</si>
  <si>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</si>
  <si>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</si>
  <si>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</si>
  <si>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</si>
  <si>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</si>
  <si>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</si>
  <si>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</si>
  <si>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</si>
  <si>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</si>
  <si>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</si>
  <si>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</si>
  <si>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</si>
  <si>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</si>
  <si>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</si>
  <si>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</si>
  <si>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</si>
  <si>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</si>
  <si>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</si>
  <si>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</si>
  <si>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</si>
  <si>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</si>
  <si>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</si>
  <si>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</si>
  <si>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</si>
  <si>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</si>
  <si>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</si>
  <si>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</si>
  <si>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</si>
  <si>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</si>
  <si>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</si>
  <si>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</si>
  <si>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</si>
  <si>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</si>
  <si>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</si>
  <si>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</si>
  <si>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</si>
  <si>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</si>
  <si>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</si>
  <si>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</si>
  <si>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</si>
  <si>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</si>
  <si>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</si>
  <si>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</si>
  <si>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</si>
  <si>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</si>
  <si>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</si>
  <si>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</si>
  <si>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</si>
  <si>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</si>
  <si>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</si>
  <si>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</si>
  <si>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</si>
  <si>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</si>
  <si>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</si>
  <si>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</si>
  <si>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</si>
  <si>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</si>
  <si>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</si>
  <si>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</si>
  <si>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</si>
  <si>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</si>
  <si>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</si>
  <si>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</si>
  <si>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</si>
  <si>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</si>
  <si>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</si>
  <si>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</si>
  <si>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</si>
  <si>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</si>
  <si>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</si>
  <si>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</si>
  <si>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</si>
  <si>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</si>
  <si>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</si>
  <si>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</si>
  <si>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</si>
  <si>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</si>
  <si>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</si>
  <si>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</si>
  <si>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</si>
  <si>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</si>
  <si>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</si>
  <si>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</si>
  <si>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</si>
  <si>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</si>
  <si>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</si>
  <si>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</si>
  <si>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</si>
  <si>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</si>
  <si>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</si>
  <si>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</si>
  <si>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</si>
  <si>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</si>
  <si>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</si>
  <si>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</si>
  <si>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</si>
  <si>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</si>
  <si>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</si>
  <si>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</si>
  <si>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</si>
  <si>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</si>
  <si>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</si>
  <si>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</si>
  <si>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</si>
  <si>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</si>
  <si>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</si>
  <si>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</si>
  <si>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</si>
  <si>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</si>
  <si>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</si>
  <si>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</si>
  <si>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</si>
  <si>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</si>
  <si>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</si>
  <si>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</si>
  <si>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</si>
  <si>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</si>
  <si>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</si>
  <si>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</si>
  <si>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</si>
  <si>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</si>
  <si>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</si>
  <si>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</si>
  <si>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</si>
  <si>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</si>
  <si>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</si>
  <si>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</si>
  <si>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</si>
  <si>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</si>
  <si>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</si>
  <si>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</si>
  <si>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</si>
  <si>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</si>
  <si>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</si>
  <si>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</si>
  <si>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</si>
  <si>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</si>
  <si>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</si>
  <si>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</si>
  <si>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</si>
  <si>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</si>
  <si>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</si>
  <si>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</si>
  <si>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</si>
  <si>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</si>
  <si>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</si>
  <si>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</si>
  <si>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</si>
  <si>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</si>
  <si>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</si>
  <si>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</si>
  <si>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</si>
  <si>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</si>
  <si>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</si>
  <si>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</si>
  <si>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</si>
  <si>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</si>
  <si>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</si>
  <si>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</si>
  <si>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</si>
  <si>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</si>
  <si>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</si>
  <si>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</si>
  <si>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</si>
  <si>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</si>
  <si>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</si>
  <si>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</si>
  <si>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</si>
  <si>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</si>
  <si>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</si>
  <si>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</si>
  <si>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</si>
  <si>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</si>
  <si>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</si>
  <si>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</si>
  <si>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</si>
  <si>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</si>
  <si>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</si>
  <si>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</si>
  <si>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</si>
  <si>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</si>
  <si>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</si>
  <si>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</si>
  <si>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</si>
  <si>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</si>
  <si>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</si>
  <si>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</si>
  <si>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</si>
  <si>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</si>
  <si>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</si>
  <si>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</si>
  <si>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</si>
  <si>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</si>
  <si>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</si>
  <si>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</si>
  <si>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</si>
  <si>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</si>
  <si>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</si>
  <si>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</si>
  <si>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</si>
  <si>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</si>
  <si>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</si>
  <si>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</si>
  <si>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</si>
  <si>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</si>
  <si>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</si>
  <si>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</si>
  <si>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</si>
  <si>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</si>
  <si>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</si>
  <si>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</si>
  <si>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</si>
  <si>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</si>
  <si>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</si>
  <si>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</si>
  <si>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</si>
  <si>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</si>
  <si>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</si>
  <si>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</si>
  <si>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</si>
  <si>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</si>
  <si>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</si>
  <si>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</si>
  <si>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</si>
  <si>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</si>
  <si>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</si>
  <si>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</si>
  <si>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</si>
  <si>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</si>
  <si>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</si>
  <si>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</si>
  <si>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</si>
  <si>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</si>
  <si>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</si>
  <si>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</si>
  <si>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</si>
  <si>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</si>
  <si>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</si>
  <si>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</si>
  <si>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</si>
  <si>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</si>
  <si>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</si>
  <si>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</si>
  <si>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</si>
  <si>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</si>
  <si>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</si>
  <si>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</si>
  <si>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</si>
  <si>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</si>
  <si>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</si>
  <si>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</si>
  <si>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</si>
  <si>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</si>
  <si>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</si>
  <si>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</si>
  <si>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</si>
  <si>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</si>
  <si>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</si>
  <si>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</si>
  <si>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</si>
  <si>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</si>
  <si>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</si>
  <si>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</si>
  <si>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</si>
  <si>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</si>
  <si>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</si>
  <si>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</si>
  <si>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</si>
  <si>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</si>
  <si>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</si>
  <si>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</si>
  <si>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</si>
  <si>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</si>
  <si>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</si>
  <si>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</si>
  <si>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</si>
  <si>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</si>
  <si>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</si>
  <si>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</si>
  <si>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</si>
  <si>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</si>
  <si>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</si>
  <si>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</si>
  <si>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</si>
  <si>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</si>
  <si>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</si>
  <si>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</si>
  <si>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</si>
  <si>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</si>
  <si>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</si>
  <si>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</si>
  <si>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</si>
  <si>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</si>
  <si>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</si>
  <si>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</si>
  <si>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</si>
  <si>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</si>
  <si>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</si>
  <si>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</si>
  <si>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</si>
  <si>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</si>
  <si>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</si>
  <si>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</si>
  <si>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</si>
  <si>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</si>
  <si>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</si>
  <si>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</si>
  <si>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</si>
  <si>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</si>
  <si>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</si>
  <si>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</si>
  <si>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</si>
  <si>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</si>
  <si>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</si>
  <si>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</si>
  <si>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</si>
  <si>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</si>
  <si>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</si>
  <si>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</si>
  <si>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</si>
  <si>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</si>
  <si>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</si>
  <si>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</si>
  <si>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</si>
  <si>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</si>
  <si>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</si>
  <si>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</si>
  <si>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</si>
  <si>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</si>
  <si>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</si>
  <si>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</si>
  <si>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</si>
  <si>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</si>
  <si>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</si>
  <si>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</si>
  <si>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</si>
  <si>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</si>
  <si>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</si>
  <si>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</si>
  <si>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</si>
  <si>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</si>
  <si>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</si>
  <si>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</si>
  <si>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</si>
  <si>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</si>
  <si>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</si>
  <si>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</si>
  <si>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</si>
  <si>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</si>
  <si>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</si>
  <si>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</si>
  <si>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</si>
  <si>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</si>
  <si>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</si>
  <si>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</si>
  <si>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</si>
  <si>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</si>
  <si>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</si>
  <si>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</si>
  <si>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</si>
  <si>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</si>
  <si>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</si>
  <si>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</si>
  <si>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</si>
  <si>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</si>
  <si>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</si>
  <si>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</si>
  <si>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</si>
  <si>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</si>
  <si>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</si>
  <si>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</si>
  <si>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</si>
  <si>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</si>
  <si>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</si>
  <si>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</si>
  <si>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</si>
  <si>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</si>
  <si>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</si>
  <si>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</si>
  <si>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</si>
  <si>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</si>
  <si>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</si>
  <si>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</si>
  <si>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</si>
  <si>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</si>
  <si>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</si>
  <si>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</si>
  <si>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</si>
  <si>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</si>
  <si>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</si>
  <si>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</si>
  <si>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</si>
  <si>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</si>
  <si>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</si>
  <si>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</si>
  <si>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</si>
  <si>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</si>
  <si>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</si>
  <si>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</si>
  <si>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</si>
  <si>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</si>
  <si>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</si>
  <si>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</si>
  <si>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</si>
  <si>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</si>
  <si>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</si>
  <si>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</si>
  <si>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</si>
  <si>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</si>
  <si>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</si>
  <si>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</si>
  <si>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</si>
  <si>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</si>
  <si>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</si>
  <si>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</si>
  <si>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</si>
  <si>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</si>
  <si>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</si>
  <si>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</si>
  <si>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</si>
  <si>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</si>
  <si>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</si>
  <si>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</si>
  <si>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</si>
  <si>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</si>
  <si>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</si>
  <si>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</si>
  <si>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</si>
  <si>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</si>
  <si>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</si>
  <si>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</si>
  <si>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</si>
  <si>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</si>
  <si>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</si>
  <si>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</si>
  <si>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</si>
  <si>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</si>
  <si>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</si>
  <si>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</si>
  <si>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</si>
  <si>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</si>
  <si>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</si>
  <si>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</si>
  <si>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</si>
  <si>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</si>
  <si>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</si>
  <si>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</si>
  <si>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</si>
  <si>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</si>
  <si>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</si>
  <si>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</si>
  <si>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</si>
  <si>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</si>
  <si>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</si>
  <si>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</si>
  <si>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</si>
  <si>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</si>
  <si>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</si>
  <si>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</si>
  <si>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</si>
  <si>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</si>
  <si>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</si>
  <si>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</si>
  <si>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</si>
  <si>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</si>
  <si>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</si>
  <si>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</si>
  <si>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</si>
  <si>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</si>
  <si>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</si>
  <si>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</si>
  <si>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</si>
  <si>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</si>
  <si>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</si>
  <si>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</si>
  <si>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</si>
  <si>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</si>
  <si>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</si>
  <si>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</si>
  <si>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</si>
  <si>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</si>
  <si>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</si>
  <si>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</si>
  <si>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</si>
  <si>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</si>
  <si>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</si>
  <si>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</si>
  <si>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</si>
  <si>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</si>
  <si>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</si>
  <si>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</si>
  <si>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</si>
  <si>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</si>
  <si>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</si>
  <si>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</si>
  <si>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</si>
  <si>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</si>
  <si>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</si>
  <si>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</si>
  <si>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</si>
  <si>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</si>
  <si>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</si>
  <si>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</si>
  <si>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</si>
  <si>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</si>
  <si>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</si>
  <si>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</si>
  <si>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</si>
  <si>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</si>
  <si>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</si>
  <si>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</si>
  <si>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</si>
  <si>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</si>
  <si>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</si>
  <si>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</si>
  <si>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</si>
  <si>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</si>
  <si>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</si>
  <si>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</si>
  <si>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</si>
  <si>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</si>
  <si>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</si>
  <si>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</si>
  <si>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</si>
  <si>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</si>
  <si>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</si>
  <si>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</si>
  <si>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</si>
  <si>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</si>
  <si>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</si>
  <si>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</si>
  <si>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</si>
  <si>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</si>
  <si>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</si>
  <si>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</si>
  <si>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</si>
  <si>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</si>
  <si>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</si>
  <si>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</si>
  <si>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</si>
  <si>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</si>
  <si>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</si>
  <si>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</si>
  <si>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</si>
  <si>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</si>
  <si>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</si>
  <si>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</si>
  <si>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</si>
  <si>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</si>
  <si>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</si>
  <si>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</si>
  <si>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</si>
  <si>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</si>
  <si>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</si>
  <si>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</si>
  <si>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</si>
  <si>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</si>
  <si>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</si>
  <si>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</si>
  <si>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</si>
  <si>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</si>
  <si>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</si>
  <si>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</si>
  <si>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</si>
  <si>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</si>
  <si>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</si>
  <si>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</si>
  <si>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</si>
  <si>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</si>
  <si>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</si>
  <si>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</si>
  <si>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</si>
  <si>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</si>
  <si>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</si>
  <si>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</si>
  <si>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</si>
  <si>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</si>
  <si>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</si>
  <si>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</si>
  <si>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</si>
  <si>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</si>
  <si>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</si>
  <si>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</si>
  <si>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</si>
  <si>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</si>
  <si>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</si>
  <si>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</si>
  <si>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</si>
  <si>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</si>
  <si>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</si>
  <si>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</si>
  <si>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</si>
  <si>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</si>
  <si>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</si>
  <si>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</si>
  <si>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</si>
  <si>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</si>
  <si>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</si>
  <si>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</si>
  <si>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</si>
  <si>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</si>
  <si>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</si>
  <si>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</si>
  <si>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</si>
  <si>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</si>
  <si>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</si>
  <si>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</si>
  <si>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</si>
  <si>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</si>
  <si>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</si>
  <si>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</si>
  <si>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</si>
  <si>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</si>
  <si>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</si>
  <si>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</si>
  <si>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</si>
  <si>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</si>
  <si>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</si>
  <si>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</si>
  <si>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</si>
  <si>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</si>
  <si>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</si>
  <si>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</si>
  <si>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</si>
  <si>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</si>
  <si>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</si>
  <si>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</si>
  <si>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</si>
  <si>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</si>
  <si>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</si>
  <si>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</si>
  <si>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</si>
  <si>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</si>
  <si>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</si>
  <si>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</si>
  <si>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</si>
  <si>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</si>
  <si>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</si>
  <si>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</si>
  <si>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</si>
  <si>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</si>
  <si>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</si>
  <si>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</si>
  <si>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</si>
  <si>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</si>
  <si>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</si>
  <si>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</si>
  <si>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</si>
  <si>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</si>
  <si>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</si>
  <si>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</si>
  <si>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</si>
  <si>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</si>
  <si>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</si>
  <si>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</si>
  <si>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</si>
  <si>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</si>
  <si>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</si>
  <si>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</si>
  <si>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</si>
  <si>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</si>
  <si>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</si>
  <si>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</si>
  <si>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</si>
  <si>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</si>
  <si>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</si>
  <si>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</si>
  <si>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</si>
  <si>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</si>
  <si>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</si>
  <si>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</si>
  <si>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</si>
  <si>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</si>
  <si>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</si>
  <si>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</si>
  <si>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</si>
  <si>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</si>
  <si>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</si>
  <si>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</si>
  <si>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</si>
  <si>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</si>
  <si>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</si>
  <si>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</si>
  <si>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</si>
  <si>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</si>
  <si>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</si>
  <si>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</si>
  <si>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</si>
  <si>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</si>
  <si>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</si>
  <si>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</si>
  <si>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</si>
  <si>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</si>
  <si>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</si>
  <si>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</si>
  <si>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</si>
  <si>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</si>
  <si>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</si>
  <si>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</si>
  <si>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</si>
  <si>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</si>
  <si>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</si>
  <si>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</si>
  <si>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</si>
  <si>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</si>
  <si>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</si>
  <si>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</si>
  <si>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</si>
  <si>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</si>
  <si>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</si>
  <si>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</si>
  <si>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</si>
  <si>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</si>
  <si>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</si>
  <si>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</si>
  <si>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</si>
  <si>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</si>
  <si>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</si>
  <si>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</si>
  <si>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</si>
  <si>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</si>
  <si>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</si>
  <si>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</si>
  <si>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</si>
  <si>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</si>
  <si>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</si>
  <si>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</si>
  <si>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</si>
  <si>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</si>
  <si>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</si>
  <si>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</si>
  <si>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</si>
  <si>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</si>
  <si>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</si>
  <si>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</si>
  <si>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</si>
  <si>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</si>
  <si>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</si>
  <si>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</si>
  <si>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</si>
  <si>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</si>
  <si>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</si>
  <si>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</si>
  <si>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</si>
  <si>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</si>
  <si>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</si>
  <si>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</si>
  <si>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</si>
  <si>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</si>
  <si>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</si>
  <si>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</si>
  <si>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</si>
  <si>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</si>
  <si>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</si>
  <si>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</si>
  <si>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</si>
  <si>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</si>
  <si>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</si>
  <si>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</si>
  <si>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</si>
  <si>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</si>
  <si>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</si>
  <si>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</si>
  <si>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</si>
  <si>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</si>
  <si>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</si>
  <si>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</si>
  <si>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</si>
  <si>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</si>
  <si>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</si>
  <si>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</si>
  <si>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</si>
  <si>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</si>
  <si>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</si>
  <si>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</si>
  <si>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</si>
  <si>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</si>
  <si>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</si>
  <si>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</si>
  <si>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</si>
  <si>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</si>
  <si>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</si>
  <si>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</si>
  <si>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</si>
  <si>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</si>
  <si>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</si>
  <si>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</si>
  <si>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</si>
  <si>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</si>
  <si>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</si>
  <si>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</si>
  <si>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</si>
  <si>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</si>
  <si>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</si>
  <si>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</si>
  <si>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</si>
  <si>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</si>
  <si>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</si>
  <si>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</si>
  <si>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</si>
  <si>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</si>
  <si>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</si>
  <si>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</si>
  <si>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</si>
  <si>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</si>
  <si>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</si>
  <si>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</si>
  <si>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</si>
  <si>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</si>
  <si>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</si>
  <si>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</si>
  <si>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</si>
  <si>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</si>
  <si>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</si>
  <si>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</si>
  <si>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</si>
  <si>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</si>
  <si>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</si>
  <si>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</si>
  <si>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</si>
  <si>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</si>
  <si>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</si>
  <si>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</si>
  <si>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</si>
  <si>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</si>
  <si>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</si>
  <si>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</si>
  <si>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</si>
  <si>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</si>
  <si>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</si>
  <si>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</si>
  <si>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</si>
  <si>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</si>
  <si>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</si>
  <si>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</si>
  <si>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</si>
  <si>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</si>
  <si>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</si>
  <si>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</si>
  <si>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</si>
  <si>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</si>
  <si>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</si>
  <si>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</si>
  <si>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</si>
  <si>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</si>
  <si>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</si>
  <si>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</si>
  <si>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</si>
  <si>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</si>
  <si>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</si>
  <si>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</si>
  <si>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</si>
  <si>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</si>
  <si>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</si>
  <si>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</si>
  <si>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</si>
  <si>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</si>
  <si>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</si>
  <si>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</si>
  <si>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</si>
  <si>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</si>
  <si>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</si>
  <si>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</si>
  <si>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</si>
  <si>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</si>
  <si>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</si>
  <si>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</si>
  <si>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</si>
  <si>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</si>
  <si>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</si>
  <si>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</si>
  <si>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</si>
  <si>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</si>
  <si>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</si>
  <si>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</si>
  <si>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</si>
  <si>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</si>
  <si>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</si>
  <si>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</si>
  <si>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</si>
  <si>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</si>
  <si>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</si>
  <si>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</si>
  <si>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</si>
  <si>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</si>
  <si>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</si>
  <si>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</si>
  <si>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</si>
  <si>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</si>
  <si>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</si>
  <si>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</si>
  <si>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</si>
  <si>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</si>
  <si>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</si>
  <si>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</si>
  <si>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</si>
  <si>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</si>
  <si>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</si>
  <si>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</si>
  <si>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</si>
  <si>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</si>
  <si>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</si>
  <si>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</si>
  <si>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</si>
  <si>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</si>
  <si>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</si>
  <si>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</si>
  <si>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</si>
  <si>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</si>
  <si>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</si>
  <si>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</si>
  <si>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</si>
  <si>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</si>
  <si>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</si>
  <si>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</si>
  <si>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</si>
  <si>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</si>
  <si>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</si>
  <si>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</si>
  <si>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</si>
  <si>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</si>
  <si>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</si>
  <si>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</si>
  <si>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</si>
  <si>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</si>
  <si>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</si>
  <si>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</si>
  <si>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</si>
  <si>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</si>
  <si>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</si>
  <si>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</si>
  <si>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</si>
  <si>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</si>
  <si>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</si>
  <si>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</si>
  <si>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</si>
  <si>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</si>
  <si>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</si>
  <si>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</si>
  <si>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</si>
  <si>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</si>
  <si>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</si>
  <si>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</si>
  <si>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</si>
  <si>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</si>
  <si>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</si>
  <si>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</si>
  <si>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</si>
  <si>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</si>
  <si>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</si>
  <si>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</si>
  <si>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</si>
  <si>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</si>
  <si>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</si>
  <si>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</si>
  <si>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</si>
  <si>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</si>
  <si>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</si>
  <si>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</si>
  <si>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</si>
  <si>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</si>
  <si>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</si>
  <si>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</si>
  <si>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</si>
  <si>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</si>
  <si>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</si>
  <si>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</si>
  <si>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</si>
  <si>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</si>
  <si>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</si>
  <si>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</si>
  <si>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</si>
  <si>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</si>
  <si>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</si>
  <si>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</si>
  <si>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</si>
  <si>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</si>
  <si>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</si>
  <si>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</si>
  <si>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</si>
  <si>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</si>
  <si>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</si>
  <si>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</si>
  <si>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</si>
  <si>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</si>
  <si>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</si>
  <si>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</si>
  <si>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</si>
  <si>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</si>
  <si>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</si>
  <si>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</si>
  <si>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</si>
  <si>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</si>
  <si>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</si>
  <si>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</si>
  <si>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</si>
  <si>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</si>
  <si>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</si>
  <si>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</si>
  <si>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</si>
  <si>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</si>
  <si>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</si>
  <si>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</si>
  <si>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</si>
  <si>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</si>
  <si>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</si>
  <si>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</si>
  <si>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</si>
  <si>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</si>
  <si>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</si>
  <si>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</si>
  <si>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</si>
  <si>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</si>
  <si>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</si>
  <si>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</si>
  <si>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</si>
  <si>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</si>
  <si>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</si>
  <si>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</si>
  <si>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</si>
  <si>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</si>
  <si>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</si>
  <si>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</si>
  <si>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</si>
  <si>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</si>
  <si>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</si>
  <si>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</si>
  <si>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</si>
  <si>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</si>
  <si>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</si>
  <si>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</si>
  <si>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</si>
  <si>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</si>
  <si>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</si>
  <si>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</si>
  <si>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</si>
  <si>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</si>
  <si>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</si>
  <si>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</si>
  <si>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</si>
  <si>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</si>
  <si>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</si>
  <si>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</si>
  <si>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</si>
  <si>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</si>
  <si>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</si>
  <si>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</si>
  <si>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</si>
  <si>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</si>
  <si>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</si>
  <si>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</si>
  <si>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</si>
  <si>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</si>
  <si>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</si>
  <si>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</si>
  <si>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</si>
  <si>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</si>
  <si>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</si>
  <si>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</si>
  <si>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</si>
  <si>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</si>
  <si>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</si>
  <si>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</si>
  <si>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</si>
  <si>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</si>
  <si>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</si>
  <si>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</si>
  <si>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</si>
  <si>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</si>
  <si>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</si>
  <si>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</si>
  <si>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</si>
  <si>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</si>
  <si>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</si>
  <si>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</si>
  <si>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</si>
  <si>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</si>
  <si>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</si>
  <si>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</si>
  <si>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</si>
  <si>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</si>
  <si>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</si>
  <si>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</si>
  <si>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</si>
  <si>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</si>
  <si>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</si>
  <si>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</si>
  <si>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</si>
  <si>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</si>
  <si>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</si>
  <si>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</si>
  <si>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</si>
  <si>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</si>
  <si>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</si>
  <si>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</si>
  <si>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</si>
  <si>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</si>
  <si>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</si>
  <si>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</si>
  <si>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</si>
  <si>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</si>
  <si>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</si>
  <si>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</si>
  <si>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</si>
  <si>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</si>
  <si>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</si>
  <si>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</si>
  <si>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</si>
  <si>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</si>
  <si>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</si>
  <si>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</si>
  <si>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</si>
  <si>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</si>
  <si>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</si>
  <si>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</si>
  <si>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</si>
  <si>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</si>
  <si>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</si>
  <si>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</si>
  <si>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</si>
  <si>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</si>
  <si>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</si>
  <si>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</si>
  <si>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</si>
  <si>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</si>
  <si>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</si>
  <si>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</si>
  <si>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</si>
  <si>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</si>
  <si>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</si>
  <si>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</si>
  <si>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</si>
  <si>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</si>
  <si>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</si>
  <si>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</si>
  <si>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</si>
  <si>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</si>
  <si>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</si>
  <si>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</si>
  <si>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</si>
  <si>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</si>
  <si>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</si>
  <si>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</si>
  <si>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</si>
  <si>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</si>
  <si>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</si>
  <si>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</si>
  <si>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</si>
  <si>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</si>
  <si>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</si>
  <si>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</si>
  <si>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</si>
  <si>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</si>
  <si>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</si>
  <si>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</si>
  <si>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</si>
  <si>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</si>
  <si>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</si>
  <si>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</si>
  <si>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</si>
  <si>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</si>
  <si>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</si>
  <si>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</si>
  <si>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</si>
  <si>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</si>
  <si>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</si>
  <si>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</si>
  <si>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</si>
  <si>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</si>
  <si>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</si>
  <si>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</si>
  <si>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</si>
  <si>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</si>
  <si>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</si>
  <si>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</si>
  <si>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</si>
  <si>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</si>
  <si>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</si>
  <si>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</si>
  <si>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</si>
  <si>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</si>
  <si>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</si>
  <si>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</si>
  <si>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</si>
  <si>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</si>
  <si>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</si>
  <si>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</si>
  <si>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</si>
  <si>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</si>
  <si>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</si>
  <si>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</si>
  <si>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</si>
  <si>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</si>
  <si>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</si>
  <si>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</si>
  <si>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</si>
  <si>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</si>
  <si>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</si>
  <si>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</si>
  <si>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</si>
  <si>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</si>
  <si>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</si>
  <si>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</si>
  <si>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</si>
  <si>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</si>
  <si>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</si>
  <si>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</si>
  <si>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</si>
  <si>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</si>
  <si>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</si>
  <si>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</si>
  <si>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</si>
  <si>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</si>
  <si>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</si>
  <si>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</si>
  <si>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</si>
  <si>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</si>
  <si>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</si>
  <si>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</si>
  <si>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</si>
  <si>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</si>
  <si>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</si>
  <si>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</si>
  <si>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</si>
  <si>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</si>
  <si>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</si>
  <si>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</si>
  <si>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</si>
  <si>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</si>
  <si>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</si>
  <si>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</si>
  <si>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</si>
  <si>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</si>
  <si>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</si>
  <si>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</si>
  <si>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</si>
  <si>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</si>
  <si>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</si>
  <si>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</si>
  <si>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</si>
  <si>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</si>
  <si>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</si>
  <si>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</si>
  <si>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</si>
  <si>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</si>
  <si>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</si>
  <si>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</si>
  <si>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</si>
  <si>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</si>
  <si>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</si>
  <si>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</si>
  <si>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</si>
  <si>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</si>
  <si>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</si>
  <si>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</si>
  <si>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</si>
  <si>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</si>
  <si>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</si>
  <si>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</si>
  <si>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</si>
  <si>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</si>
  <si>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</si>
  <si>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</si>
  <si>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</si>
  <si>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</si>
  <si>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</si>
  <si>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</si>
  <si>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</si>
  <si>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</si>
  <si>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</si>
  <si>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</si>
  <si>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</si>
  <si>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</si>
  <si>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</si>
  <si>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</si>
  <si>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</si>
  <si>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</si>
  <si>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</si>
  <si>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</si>
  <si>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</si>
  <si>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</si>
  <si>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</si>
  <si>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</si>
  <si>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</si>
  <si>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</si>
  <si>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</si>
  <si>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</si>
  <si>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</si>
  <si>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</si>
  <si>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</si>
  <si>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</si>
  <si>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</si>
  <si>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</si>
  <si>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</si>
  <si>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</si>
  <si>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</si>
  <si>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</si>
  <si>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</si>
  <si>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</si>
  <si>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</si>
  <si>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</si>
  <si>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</si>
  <si>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</si>
  <si>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</si>
  <si>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</si>
  <si>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</si>
  <si>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</si>
  <si>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</si>
  <si>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</si>
  <si>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</si>
  <si>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</si>
  <si>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</si>
  <si>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</si>
  <si>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</si>
  <si>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</si>
  <si>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</si>
  <si>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</si>
  <si>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</si>
  <si>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</si>
  <si>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</si>
  <si>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</si>
  <si>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</si>
  <si>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</si>
  <si>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</si>
  <si>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</si>
  <si>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</si>
  <si>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</si>
  <si>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</si>
  <si>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</si>
  <si>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</si>
  <si>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</si>
  <si>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</si>
  <si>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</si>
  <si>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</si>
  <si>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</si>
  <si>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</si>
  <si>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</si>
  <si>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</si>
  <si>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</si>
  <si>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</si>
  <si>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</si>
  <si>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</si>
  <si>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</si>
  <si>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</si>
  <si>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</si>
  <si>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</si>
  <si>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</si>
  <si>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</si>
  <si>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</si>
  <si>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</si>
  <si>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</si>
  <si>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</si>
  <si>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</si>
  <si>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</si>
  <si>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</si>
  <si>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</si>
  <si>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</si>
  <si>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</si>
  <si>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</si>
  <si>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</si>
  <si>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</si>
  <si>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</si>
  <si>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</si>
  <si>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</si>
  <si>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</si>
  <si>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</si>
  <si>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</si>
  <si>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</si>
  <si>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</si>
  <si>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</si>
  <si>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</si>
  <si>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</si>
  <si>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</si>
  <si>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</si>
  <si>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</si>
  <si>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</si>
  <si>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</si>
  <si>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</si>
  <si>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</si>
  <si>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</si>
  <si>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</si>
  <si>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</si>
  <si>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</si>
  <si>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</si>
  <si>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</si>
  <si>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</si>
  <si>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</si>
  <si>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</si>
  <si>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</si>
  <si>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</si>
  <si>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</si>
  <si>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</si>
  <si>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</si>
  <si>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</si>
  <si>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</si>
  <si>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</si>
  <si>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</si>
  <si>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</si>
  <si>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</si>
  <si>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</si>
  <si>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</si>
  <si>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</si>
  <si>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</si>
  <si>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</si>
  <si>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</si>
  <si>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</si>
  <si>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</si>
  <si>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</si>
  <si>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</si>
  <si>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</si>
  <si>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</si>
  <si>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</si>
  <si>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</si>
  <si>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</si>
  <si>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</si>
  <si>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</si>
  <si>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</si>
  <si>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</si>
  <si>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</si>
  <si>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</si>
  <si>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</si>
  <si>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</si>
  <si>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</si>
  <si>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</si>
  <si>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</si>
  <si>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</si>
  <si>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</si>
  <si>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</si>
  <si>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</si>
  <si>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</si>
  <si>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</si>
  <si>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</si>
  <si>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</si>
  <si>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</si>
  <si>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</si>
  <si>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</si>
  <si>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</si>
  <si>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</si>
  <si>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</si>
  <si>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</si>
  <si>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</si>
  <si>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</si>
  <si>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</si>
  <si>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</si>
  <si>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</si>
  <si>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</si>
  <si>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</si>
  <si>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</si>
  <si>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</si>
  <si>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</si>
  <si>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</si>
  <si>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</si>
  <si>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</si>
  <si>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</si>
  <si>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</si>
  <si>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</si>
  <si>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</si>
  <si>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</si>
  <si>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</si>
  <si>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</si>
  <si>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</si>
  <si>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</si>
  <si>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</si>
  <si>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</si>
  <si>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</si>
  <si>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</si>
  <si>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</si>
  <si>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</si>
  <si>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</si>
  <si>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</si>
  <si>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</si>
  <si>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</si>
  <si>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</si>
  <si>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</si>
  <si>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</si>
  <si>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</si>
  <si>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</si>
  <si>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</si>
  <si>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</si>
  <si>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</si>
  <si>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</si>
  <si>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</si>
  <si>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</si>
  <si>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</si>
  <si>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</si>
  <si>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</si>
  <si>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</si>
  <si>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</si>
  <si>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</si>
  <si>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</si>
  <si>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</si>
  <si>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</si>
  <si>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</si>
  <si>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</si>
  <si>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</si>
  <si>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</si>
  <si>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</si>
  <si>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</si>
  <si>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</si>
  <si>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</si>
  <si>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</si>
  <si>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</si>
  <si>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</si>
  <si>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</si>
  <si>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</si>
  <si>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</si>
  <si>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</si>
  <si>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</si>
  <si>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</si>
  <si>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</si>
  <si>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</si>
  <si>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</si>
  <si>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</si>
  <si>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</si>
  <si>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</si>
  <si>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</si>
  <si>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</si>
  <si>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</si>
  <si>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</si>
  <si>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</si>
  <si>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</si>
  <si>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</si>
  <si>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</si>
  <si>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</si>
  <si>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</si>
  <si>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</si>
  <si>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</si>
  <si>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</si>
  <si>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</si>
  <si>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</si>
  <si>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</si>
  <si>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</si>
  <si>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</si>
  <si>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</si>
  <si>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</si>
  <si>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</si>
  <si>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</si>
  <si>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</si>
  <si>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</si>
  <si>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</si>
  <si>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</si>
  <si>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</si>
  <si>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</si>
  <si>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</si>
  <si>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</si>
  <si>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</si>
  <si>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</si>
  <si>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</si>
  <si>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</si>
  <si>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</si>
  <si>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</si>
  <si>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</si>
  <si>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</si>
  <si>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</si>
  <si>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</si>
  <si>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</si>
  <si>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</si>
  <si>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</si>
  <si>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</si>
  <si>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</si>
  <si>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</si>
  <si>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</si>
  <si>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</si>
  <si>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</si>
  <si>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</si>
  <si>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</si>
  <si>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</si>
  <si>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</si>
  <si>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</si>
  <si>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</si>
  <si>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</si>
  <si>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</si>
  <si>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</si>
  <si>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</si>
  <si>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</si>
  <si>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</si>
  <si>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</si>
  <si>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</si>
  <si>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</si>
  <si>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</si>
  <si>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</si>
  <si>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</si>
  <si>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</si>
  <si>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</si>
  <si>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</si>
  <si>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</si>
  <si>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</si>
  <si>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</si>
  <si>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</si>
  <si>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</si>
  <si>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</si>
  <si>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</si>
  <si>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</si>
  <si>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</si>
  <si>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</si>
  <si>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</si>
  <si>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</si>
  <si>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</si>
  <si>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</si>
  <si>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</si>
  <si>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</si>
  <si>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</si>
  <si>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</si>
  <si>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</si>
  <si>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</si>
  <si>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</si>
  <si>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</si>
  <si>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</si>
  <si>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</si>
  <si>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</si>
  <si>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</si>
  <si>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</si>
  <si>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</si>
  <si>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</si>
  <si>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</si>
  <si>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</si>
  <si>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</si>
  <si>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</si>
  <si>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</si>
  <si>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</si>
  <si>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</si>
  <si>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</si>
  <si>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</si>
  <si>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</si>
  <si>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</si>
  <si>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</si>
  <si>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</si>
  <si>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</si>
  <si>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</si>
  <si>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</si>
  <si>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</si>
  <si>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</si>
  <si>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</si>
  <si>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</si>
  <si>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</si>
  <si>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</si>
  <si>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</si>
  <si>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</si>
  <si>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</si>
  <si>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</si>
  <si>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</si>
  <si>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</si>
  <si>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</si>
  <si>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</si>
  <si>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</si>
  <si>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</si>
  <si>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</si>
  <si>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</si>
  <si>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</si>
  <si>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</si>
  <si>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</si>
  <si>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</si>
  <si>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</si>
  <si>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</si>
  <si>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</si>
  <si>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</si>
  <si>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</si>
  <si>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</si>
  <si>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</si>
  <si>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</si>
  <si>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</si>
  <si>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</si>
  <si>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</si>
  <si>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</si>
  <si>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</si>
  <si>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</si>
  <si>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</si>
  <si>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</si>
  <si>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</si>
  <si>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</si>
  <si>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</si>
  <si>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</si>
  <si>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</si>
  <si>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</si>
  <si>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</si>
  <si>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</si>
  <si>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</si>
  <si>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</si>
  <si>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</si>
  <si>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</si>
  <si>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</si>
  <si>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</si>
  <si>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</si>
  <si>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</si>
  <si>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</si>
  <si>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</si>
  <si>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</si>
  <si>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</si>
  <si>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</si>
  <si>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</si>
  <si>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</si>
  <si>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</si>
  <si>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</si>
  <si>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</si>
  <si>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</si>
  <si>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</si>
  <si>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</si>
  <si>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</si>
  <si>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</si>
  <si>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</si>
  <si>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</si>
  <si>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</si>
  <si>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</si>
  <si>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</si>
  <si>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</si>
  <si>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</si>
  <si>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</si>
  <si>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</si>
  <si>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</si>
  <si>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</si>
  <si>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</si>
  <si>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</si>
  <si>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</si>
  <si>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</si>
  <si>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</si>
  <si>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</si>
  <si>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</si>
  <si>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</si>
  <si>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</si>
  <si>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</si>
  <si>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</si>
  <si>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</si>
  <si>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</si>
  <si>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</si>
  <si>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</si>
  <si>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</si>
  <si>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</si>
  <si>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</si>
  <si>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</si>
  <si>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</si>
  <si>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</si>
  <si>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</si>
  <si>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</si>
  <si>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</si>
  <si>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</si>
  <si>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</si>
  <si>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</si>
  <si>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</si>
  <si>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</si>
  <si>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</si>
  <si>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</si>
  <si>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</si>
  <si>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</si>
  <si>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</si>
  <si>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</si>
  <si>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</si>
  <si>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</si>
  <si>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</si>
  <si>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</si>
  <si>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</si>
  <si>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</si>
  <si>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</si>
  <si>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</si>
  <si>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</si>
  <si>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</si>
  <si>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</si>
  <si>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</si>
  <si>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</si>
  <si>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</si>
  <si>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</si>
  <si>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</si>
  <si>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</si>
  <si>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</si>
  <si>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</si>
  <si>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</si>
  <si>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</si>
  <si>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</si>
  <si>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</si>
  <si>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</si>
  <si>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</si>
  <si>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</si>
  <si>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</si>
  <si>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</si>
  <si>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</si>
  <si>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</si>
  <si>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</si>
  <si>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</si>
  <si>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</si>
  <si>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</si>
  <si>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</si>
  <si>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</si>
  <si>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</si>
  <si>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</si>
  <si>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</si>
  <si>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</si>
  <si>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</si>
  <si>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</si>
  <si>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</si>
  <si>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</si>
  <si>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</si>
  <si>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</si>
  <si>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</si>
  <si>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</si>
  <si>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</si>
  <si>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</si>
  <si>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</si>
  <si>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</si>
  <si>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</si>
  <si>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</si>
  <si>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</si>
  <si>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</si>
  <si>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</si>
  <si>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</si>
  <si>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</si>
  <si>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</si>
  <si>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</si>
  <si>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</si>
  <si>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</si>
  <si>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</si>
  <si>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</si>
  <si>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</si>
  <si>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</si>
  <si>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</si>
  <si>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</si>
  <si>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</si>
  <si>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</si>
  <si>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</si>
  <si>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</si>
  <si>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</si>
  <si>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</si>
  <si>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</si>
  <si>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</si>
  <si>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</si>
  <si>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</si>
  <si>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</si>
  <si>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</si>
  <si>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</si>
  <si>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</si>
  <si>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</si>
  <si>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</si>
  <si>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</si>
  <si>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</si>
  <si>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</si>
  <si>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</si>
  <si>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</si>
  <si>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</si>
  <si>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</si>
  <si>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</si>
  <si>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</si>
  <si>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</si>
  <si>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</si>
  <si>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</si>
  <si>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</si>
  <si>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</si>
  <si>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</si>
  <si>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</si>
  <si>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</si>
  <si>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</si>
  <si>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</si>
  <si>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</si>
  <si>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</si>
  <si>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</si>
  <si>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</si>
  <si>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</si>
  <si>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</si>
  <si>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</si>
  <si>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</si>
  <si>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</si>
  <si>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</si>
  <si>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</si>
  <si>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</si>
  <si>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</si>
  <si>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</si>
  <si>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</si>
  <si>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</si>
  <si>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</si>
  <si>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</si>
  <si>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</si>
  <si>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</si>
  <si>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</si>
  <si>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</si>
  <si>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</si>
  <si>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</si>
  <si>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</si>
  <si>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</si>
  <si>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</si>
  <si>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</si>
  <si>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</si>
  <si>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</si>
  <si>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</si>
  <si>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</si>
  <si>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</si>
  <si>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</si>
  <si>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</si>
  <si>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</si>
  <si>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</si>
  <si>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</si>
  <si>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</si>
  <si>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</si>
  <si>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</si>
  <si>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</si>
  <si>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</si>
  <si>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</si>
  <si>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</si>
  <si>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</si>
  <si>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</si>
  <si>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</si>
  <si>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</si>
  <si>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</si>
  <si>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</si>
  <si>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</si>
  <si>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</si>
  <si>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</si>
  <si>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</si>
  <si>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</si>
  <si>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</si>
  <si>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</si>
  <si>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</si>
  <si>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</si>
  <si>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</si>
  <si>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</si>
  <si>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</si>
  <si>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</si>
  <si>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</si>
  <si>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</si>
  <si>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</si>
  <si>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</si>
  <si>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</si>
  <si>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</si>
  <si>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</si>
  <si>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</si>
  <si>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</si>
  <si>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</si>
  <si>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</si>
  <si>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</si>
  <si>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</si>
  <si>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</si>
  <si>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</si>
  <si>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</si>
  <si>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</si>
  <si>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</si>
  <si>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</si>
  <si>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</si>
  <si>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</si>
  <si>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</si>
  <si>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</si>
  <si>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</si>
  <si>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</si>
  <si>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</si>
  <si>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</si>
  <si>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</si>
  <si>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</si>
  <si>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</si>
  <si>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</si>
  <si>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</si>
  <si>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</si>
  <si>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</si>
  <si>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</si>
  <si>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</si>
  <si>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</si>
  <si>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</si>
  <si>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</si>
  <si>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</si>
  <si>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</si>
  <si>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</si>
  <si>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</si>
  <si>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</si>
  <si>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</si>
  <si>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</si>
  <si>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</si>
  <si>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</si>
  <si>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</si>
  <si>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</si>
  <si>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</si>
  <si>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</si>
  <si>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</si>
  <si>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</si>
  <si>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</si>
  <si>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</si>
  <si>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</si>
  <si>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</si>
  <si>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</si>
  <si>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</si>
  <si>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</si>
  <si>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</si>
  <si>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</si>
  <si>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</si>
  <si>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</si>
  <si>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</si>
  <si>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</si>
  <si>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</si>
  <si>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</si>
  <si>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</si>
  <si>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</si>
  <si>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</si>
  <si>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</si>
  <si>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</si>
  <si>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</si>
  <si>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</si>
  <si>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</si>
  <si>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</si>
  <si>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</si>
  <si>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</si>
  <si>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</si>
  <si>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</si>
  <si>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</si>
  <si>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</si>
  <si>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</si>
  <si>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</si>
  <si>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</si>
  <si>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</si>
  <si>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</si>
  <si>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</si>
  <si>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</si>
  <si>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</si>
  <si>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</si>
  <si>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</si>
  <si>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</si>
  <si>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</si>
  <si>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</si>
  <si>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</si>
  <si>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</si>
  <si>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</si>
  <si>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</si>
  <si>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</si>
  <si>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</si>
  <si>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</si>
  <si>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</si>
  <si>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</si>
  <si>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</si>
  <si>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</si>
  <si>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</si>
  <si>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</si>
  <si>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</si>
  <si>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</si>
  <si>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</si>
  <si>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</si>
  <si>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</si>
  <si>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</si>
  <si>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</si>
  <si>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</si>
  <si>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</si>
  <si>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</si>
  <si>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</si>
  <si>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</si>
  <si>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</si>
  <si>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</si>
  <si>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</si>
  <si>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</si>
  <si>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</si>
  <si>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</si>
  <si>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</si>
  <si>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</si>
  <si>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</si>
  <si>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</si>
  <si>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</si>
  <si>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</si>
  <si>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</si>
  <si>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</si>
  <si>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</si>
  <si>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</si>
  <si>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</si>
  <si>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</si>
  <si>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</si>
  <si>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</si>
  <si>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</si>
  <si>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</si>
  <si>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</si>
  <si>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</si>
  <si>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</si>
  <si>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</si>
  <si>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</si>
  <si>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</si>
  <si>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</si>
  <si>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</si>
  <si>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</si>
  <si>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</si>
  <si>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</si>
  <si>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</si>
  <si>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</si>
  <si>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</si>
  <si>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</si>
  <si>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</si>
  <si>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</si>
  <si>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</si>
  <si>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</si>
  <si>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</si>
  <si>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</si>
  <si>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</si>
  <si>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</si>
  <si>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</si>
  <si>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</si>
  <si>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</si>
  <si>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</si>
  <si>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</si>
  <si>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</si>
  <si>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</si>
  <si>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</si>
  <si>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</si>
  <si>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</si>
  <si>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</si>
  <si>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</si>
  <si>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</si>
  <si>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</si>
  <si>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</si>
  <si>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</si>
  <si>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</si>
  <si>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</si>
  <si>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</si>
  <si>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</si>
  <si>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</si>
  <si>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</si>
  <si>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</si>
  <si>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</si>
  <si>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</si>
  <si>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</si>
  <si>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</si>
  <si>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</si>
  <si>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</si>
  <si>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</si>
  <si>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</si>
  <si>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</si>
  <si>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</si>
  <si>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</si>
  <si>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</si>
  <si>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</si>
  <si>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</si>
  <si>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</si>
  <si>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</si>
  <si>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</si>
  <si>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</si>
  <si>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</si>
  <si>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</si>
  <si>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</si>
  <si>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</si>
  <si>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</si>
  <si>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</si>
  <si>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</si>
  <si>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</si>
  <si>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</si>
  <si>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</si>
  <si>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</si>
  <si>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</si>
  <si>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</si>
  <si>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</si>
  <si>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</si>
  <si>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</si>
  <si>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</si>
  <si>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</si>
  <si>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</si>
  <si>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</si>
  <si>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</si>
  <si>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</si>
  <si>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</si>
  <si>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</si>
  <si>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</si>
  <si>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</si>
  <si>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</si>
  <si>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</si>
  <si>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</si>
  <si>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</si>
  <si>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</si>
  <si>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</si>
  <si>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</si>
  <si>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</si>
  <si>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</si>
  <si>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</si>
  <si>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</si>
  <si>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</si>
  <si>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</si>
  <si>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</si>
  <si>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</si>
  <si>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</si>
  <si>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</si>
  <si>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</si>
  <si>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</si>
  <si>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</si>
  <si>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</si>
  <si>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</si>
  <si>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</si>
  <si>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</si>
  <si>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</si>
  <si>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</si>
  <si>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</si>
  <si>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</si>
  <si>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</si>
  <si>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</si>
  <si>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</si>
  <si>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</si>
  <si>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</si>
  <si>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</si>
  <si>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</si>
  <si>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</si>
  <si>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</si>
  <si>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</si>
  <si>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</si>
  <si>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</si>
  <si>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</si>
  <si>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</si>
  <si>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</si>
  <si>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</si>
  <si>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</si>
  <si>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</si>
  <si>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</si>
  <si>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</si>
  <si>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</si>
  <si>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</si>
  <si>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</si>
  <si>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</si>
  <si>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</si>
  <si>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</si>
  <si>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</si>
  <si>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</si>
  <si>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</si>
  <si>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</si>
  <si>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</si>
  <si>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</si>
  <si>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</si>
  <si>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</si>
  <si>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</si>
  <si>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</si>
  <si>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</si>
  <si>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</si>
  <si>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</si>
  <si>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</si>
  <si>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</si>
  <si>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</si>
  <si>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</si>
  <si>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</si>
  <si>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</si>
  <si>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</si>
  <si>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</si>
  <si>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</si>
  <si>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</si>
  <si>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143" type="noConversion"/>
  </si>
  <si>
    <t>房产地址</t>
    <phoneticPr fontId="143" type="noConversion"/>
  </si>
  <si>
    <t>用途</t>
    <phoneticPr fontId="143" type="noConversion"/>
  </si>
  <si>
    <r>
      <t>北京市朝阳区永安东里甲3号院</t>
    </r>
    <r>
      <rPr>
        <sz val="11"/>
        <color theme="1"/>
        <rFont val="宋体"/>
        <family val="3"/>
        <charset val="134"/>
        <scheme val="minor"/>
      </rPr>
      <t>1号楼2601号</t>
    </r>
    <phoneticPr fontId="143" type="noConversion"/>
  </si>
  <si>
    <t>办公</t>
    <phoneticPr fontId="143" type="noConversion"/>
  </si>
  <si>
    <t>建筑面积</t>
    <phoneticPr fontId="143" type="noConversion"/>
  </si>
  <si>
    <t>楼层</t>
    <phoneticPr fontId="143" type="noConversion"/>
  </si>
  <si>
    <r>
      <t>2</t>
    </r>
    <r>
      <rPr>
        <sz val="11"/>
        <color theme="1"/>
        <rFont val="宋体"/>
        <family val="3"/>
        <charset val="134"/>
        <scheme val="minor"/>
      </rPr>
      <t>2/27（-03）</t>
    </r>
    <phoneticPr fontId="143" type="noConversion"/>
  </si>
  <si>
    <t>结构</t>
    <phoneticPr fontId="143" type="noConversion"/>
  </si>
  <si>
    <t>钢</t>
    <phoneticPr fontId="143" type="noConversion"/>
  </si>
  <si>
    <t>建成年代</t>
    <phoneticPr fontId="143" type="noConversion"/>
  </si>
  <si>
    <t>西南</t>
    <phoneticPr fontId="143" type="noConversion"/>
  </si>
  <si>
    <t>朝向</t>
    <phoneticPr fontId="143" type="noConversion"/>
  </si>
  <si>
    <r>
      <t>北京市朝阳区广渠门外大街5号院</t>
    </r>
    <r>
      <rPr>
        <sz val="11"/>
        <color theme="1"/>
        <rFont val="宋体"/>
        <family val="3"/>
        <charset val="134"/>
        <scheme val="minor"/>
      </rPr>
      <t>26号楼3层D26302</t>
    </r>
    <phoneticPr fontId="143" type="noConversion"/>
  </si>
  <si>
    <t>住宅</t>
    <phoneticPr fontId="143" type="noConversion"/>
  </si>
  <si>
    <r>
      <t>3</t>
    </r>
    <r>
      <rPr>
        <sz val="11"/>
        <color theme="1"/>
        <rFont val="宋体"/>
        <family val="3"/>
        <charset val="134"/>
        <scheme val="minor"/>
      </rPr>
      <t>/14（-3）</t>
    </r>
    <phoneticPr fontId="143" type="noConversion"/>
  </si>
  <si>
    <t>钢混</t>
    <phoneticPr fontId="143" type="noConversion"/>
  </si>
  <si>
    <t>南北西</t>
    <phoneticPr fontId="143" type="noConversion"/>
  </si>
  <si>
    <t>北京市房山区月华大街19号院1号楼</t>
    <phoneticPr fontId="143" type="noConversion"/>
  </si>
  <si>
    <t>商业、办公</t>
    <phoneticPr fontId="143" type="noConversion"/>
  </si>
  <si>
    <t>6（-02）</t>
    <phoneticPr fontId="143" type="noConversion"/>
  </si>
  <si>
    <t>车位</t>
    <phoneticPr fontId="143" type="noConversion"/>
  </si>
  <si>
    <t>其他</t>
    <phoneticPr fontId="143" type="noConversion"/>
  </si>
  <si>
    <t>商业</t>
    <phoneticPr fontId="143" type="noConversion"/>
  </si>
  <si>
    <t>地下商业</t>
    <phoneticPr fontId="143" type="noConversion"/>
  </si>
  <si>
    <t>1层</t>
    <phoneticPr fontId="143" type="noConversion"/>
  </si>
  <si>
    <t>2层</t>
    <phoneticPr fontId="143" type="noConversion"/>
  </si>
  <si>
    <t>2-3层</t>
    <phoneticPr fontId="143" type="noConversion"/>
  </si>
  <si>
    <t>3-5层</t>
    <phoneticPr fontId="143" type="noConversion"/>
  </si>
  <si>
    <t>5层</t>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</si>
  <si>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</si>
  <si>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</si>
  <si>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</si>
  <si>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车位</t>
    <phoneticPr fontId="143" type="noConversion"/>
  </si>
  <si>
    <t>其他</t>
    <phoneticPr fontId="143" type="noConversion"/>
  </si>
  <si>
    <t>1层</t>
    <phoneticPr fontId="143" type="noConversion"/>
  </si>
  <si>
    <t>3层</t>
    <phoneticPr fontId="143" type="noConversion"/>
  </si>
  <si>
    <t>商务金融</t>
    <phoneticPr fontId="143" type="noConversion"/>
  </si>
  <si>
    <t>其他：</t>
  </si>
  <si>
    <t>企业</t>
  </si>
  <si>
    <t>出让</t>
  </si>
  <si>
    <t>是</t>
  </si>
  <si>
    <t>地上</t>
  </si>
  <si>
    <t>地下</t>
  </si>
  <si>
    <t>商业街</t>
  </si>
  <si>
    <t>车库</t>
  </si>
  <si>
    <t>办公楼</t>
  </si>
  <si>
    <t>成新度</t>
  </si>
  <si>
    <t>钢</t>
  </si>
  <si>
    <t>非生产用房</t>
  </si>
  <si>
    <t>收益法 (元)</t>
  </si>
  <si>
    <t>押一</t>
  </si>
  <si>
    <t>按租金收入计税</t>
  </si>
  <si>
    <t>现房</t>
  </si>
  <si>
    <t>正常</t>
  </si>
  <si>
    <t>售价</t>
  </si>
  <si>
    <t>住宅</t>
  </si>
  <si>
    <t>平层住宅</t>
  </si>
  <si>
    <t>住宅</t>
    <phoneticPr fontId="7" type="noConversion"/>
  </si>
  <si>
    <t>比较法-住宅</t>
  </si>
  <si>
    <t>高</t>
    <phoneticPr fontId="25" type="noConversion"/>
  </si>
  <si>
    <t>中</t>
    <phoneticPr fontId="25" type="noConversion"/>
  </si>
  <si>
    <t>低</t>
    <phoneticPr fontId="25" type="noConversion"/>
  </si>
  <si>
    <t>南北</t>
  </si>
  <si>
    <t>南北</t>
    <phoneticPr fontId="25" type="noConversion"/>
  </si>
  <si>
    <t>南</t>
  </si>
  <si>
    <t>南</t>
    <phoneticPr fontId="25" type="noConversion"/>
  </si>
  <si>
    <t>东</t>
    <phoneticPr fontId="25" type="noConversion"/>
  </si>
  <si>
    <t>西</t>
    <phoneticPr fontId="25" type="noConversion"/>
  </si>
  <si>
    <t>北</t>
  </si>
  <si>
    <t>北</t>
    <phoneticPr fontId="25" type="noConversion"/>
  </si>
  <si>
    <t>楼层</t>
    <phoneticPr fontId="25" type="noConversion"/>
  </si>
  <si>
    <t>低</t>
    <phoneticPr fontId="25" type="noConversion"/>
  </si>
  <si>
    <t>高</t>
    <phoneticPr fontId="25" type="noConversion"/>
  </si>
  <si>
    <t>高</t>
    <phoneticPr fontId="25" type="noConversion"/>
  </si>
  <si>
    <t>单价</t>
    <phoneticPr fontId="143" type="noConversion"/>
  </si>
  <si>
    <t>元/月</t>
    <phoneticPr fontId="143" type="noConversion"/>
  </si>
  <si>
    <t>面积</t>
    <phoneticPr fontId="143" type="noConversion"/>
  </si>
  <si>
    <t>居住用地（指二类居住用地）</t>
  </si>
  <si>
    <t>自定义容积率</t>
  </si>
  <si>
    <t>不临58条商业街</t>
  </si>
  <si>
    <t>无</t>
  </si>
  <si>
    <t>有</t>
  </si>
  <si>
    <t>500米范围内</t>
  </si>
  <si>
    <t>七通一平</t>
  </si>
  <si>
    <t>一致</t>
  </si>
  <si>
    <t>容积率修正</t>
  </si>
  <si>
    <t>好</t>
  </si>
  <si>
    <t>较好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</si>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</sst>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9" borderId="0" xfId="0" applyFill="1">
      <alignment vertical="center"/>
    </xf>
    <xf numFmtId="31" fontId="0" fillId="0" borderId="0" xfId="0" applyNumberFormat="1">
      <alignment vertical="center"/>
    </xf>
    <xf numFmtId="2" fontId="0" fillId="0" borderId="0" xfId="0" applyNumberFormat="1">
      <alignment vertical="center"/>
    </xf>
    <xf numFmtId="0" fontId="0" fillId="0" borderId="0" xfId="0" applyAlignment="1">
      <alignment horizontal="center" vertical="center"/>
    </xf>
    <xf numFmtId="179" fontId="0" fillId="0" borderId="0" xfId="0" applyNumberFormat="1" applyAlignment="1">
      <alignment horizontal="center" vertical="center"/>
    </xf>
    <xf numFmtId="49" fontId="0" fillId="0" borderId="0" xfId="0" applyNumberFormat="1">
      <alignment vertical="center"/>
    </xf>
    <xf numFmtId="49" fontId="99" fillId="0" borderId="1" xfId="0" applyNumberFormat="1"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估价对象为房地产，为所有。根据，估价对象（分摊）出让国有建设用地使用权面积为0平方米，建筑面积为263.1平方米。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估价对象为房地产,属开发建设的，该项目尚在开发建设中。根据，估价对象（分摊）出让国有建设用地使用权面积为0平方米，规划建筑面积为263.1平方米。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2019年1月18日（评估专业人员实地查勘之日）</v>
      </c>
    </row>
    <row r="13" spans="1:2" s="1596" customFormat="1">
      <c r="A13" s="1594" t="s">
        <v>1223</v>
      </c>
      <c r="B13" s="1595" t="str">
        <f>'预评函-1'!A18</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2385</v>
      </c>
    </row>
    <row r="21" spans="1:2" s="1596" customFormat="1">
      <c r="A21" s="1594" t="s">
        <v>1231</v>
      </c>
      <c r="B21" s="1595">
        <f ca="1">'预评函-2'!D7</f>
        <v>90650</v>
      </c>
    </row>
    <row r="22" spans="1:2" s="1596" customFormat="1">
      <c r="A22" s="1594" t="s">
        <v>1232</v>
      </c>
      <c r="B22" s="1595" t="str">
        <f ca="1">'预评函-2'!D6</f>
        <v>贰仟叁佰捌拾伍万元整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2385</v>
      </c>
    </row>
    <row r="31" spans="1:2" s="1596" customFormat="1">
      <c r="A31" s="1594" t="s">
        <v>1270</v>
      </c>
      <c r="B31" s="1595">
        <f ca="1">'预评函-2'!D15</f>
        <v>90650</v>
      </c>
    </row>
    <row r="32" spans="1:2" s="1596" customFormat="1">
      <c r="A32" s="1594" t="s">
        <v>1237</v>
      </c>
      <c r="B32" s="1595" t="str">
        <f ca="1">'预评函-2'!D14</f>
        <v>贰仟叁佰捌拾伍万元整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263.10000000000002</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G41" sqref="G4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43483</v>
      </c>
      <c r="C3" s="2040" t="s">
        <v>1775</v>
      </c>
      <c r="D3" s="2039">
        <f>B3</f>
        <v>43483</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c r="C8" s="2059"/>
      <c r="D8" s="3020"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21"/>
      <c r="E9" s="2062"/>
      <c r="F9" s="2064"/>
      <c r="G9" s="2065"/>
      <c r="H9" s="2065"/>
      <c r="I9" s="2065"/>
      <c r="J9" s="2045"/>
      <c r="K9" s="2057"/>
      <c r="L9" s="2031"/>
      <c r="M9" s="2031"/>
      <c r="N9" s="2032"/>
      <c r="O9" s="2033"/>
      <c r="P9" s="2032"/>
      <c r="Q9" s="2032"/>
      <c r="R9" s="2032"/>
    </row>
    <row r="10" spans="1:19" ht="18" customHeight="1" thickTop="1">
      <c r="A10" s="2066" t="s">
        <v>1783</v>
      </c>
      <c r="B10" s="2067" t="s">
        <v>3089</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3090</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3091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v>64291</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57</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7"/>
      <c r="C16" s="3028"/>
      <c r="D16" s="3029"/>
      <c r="E16" s="2089" t="s">
        <v>1798</v>
      </c>
      <c r="F16" s="3030"/>
      <c r="G16" s="3031"/>
      <c r="H16" s="3031"/>
      <c r="I16" s="3032"/>
      <c r="J16" s="2032"/>
      <c r="K16" s="2086"/>
      <c r="L16" s="2087"/>
      <c r="M16" s="2087"/>
      <c r="N16" s="2088"/>
      <c r="O16" s="2087"/>
      <c r="P16" s="2088"/>
      <c r="Q16" s="2032"/>
      <c r="R16" s="2032"/>
    </row>
    <row r="17" spans="1:22" ht="18" customHeight="1">
      <c r="A17" s="2090" t="s">
        <v>1799</v>
      </c>
      <c r="B17" s="2038" t="s">
        <v>1800</v>
      </c>
      <c r="C17" s="1057">
        <f>'数据-汇总表'!E3</f>
        <v>263.10000000000002</v>
      </c>
      <c r="D17" s="2091" t="s">
        <v>1801</v>
      </c>
      <c r="E17" s="3033"/>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0</v>
      </c>
      <c r="D18" s="2094" t="s">
        <v>1801</v>
      </c>
      <c r="E18" s="3036"/>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1804</v>
      </c>
      <c r="B19" s="352" t="s">
        <v>1805</v>
      </c>
      <c r="C19" s="2095"/>
      <c r="D19" s="2096" t="s">
        <v>1806</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1807</v>
      </c>
      <c r="B20" s="3023" t="s">
        <v>1808</v>
      </c>
      <c r="C20" s="3024"/>
      <c r="D20" s="3025" t="s">
        <v>1809</v>
      </c>
      <c r="E20" s="3026"/>
      <c r="F20" s="2101" t="s">
        <v>1810</v>
      </c>
      <c r="G20" s="2045"/>
      <c r="H20" s="2045"/>
      <c r="I20" s="2045"/>
      <c r="J20" s="2045"/>
      <c r="K20" s="302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1812</v>
      </c>
      <c r="C21" s="2103" t="s">
        <v>1813</v>
      </c>
      <c r="D21" s="2104"/>
      <c r="E21" s="2105" t="s">
        <v>1813</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1814</v>
      </c>
      <c r="C22" s="2103" t="s">
        <v>1815</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1816</v>
      </c>
      <c r="B23" s="183" t="s">
        <v>1817</v>
      </c>
      <c r="C23" s="2110"/>
      <c r="D23" s="2111" t="s">
        <v>1817</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1818</v>
      </c>
      <c r="C24" s="2115"/>
      <c r="D24" s="2109" t="s">
        <v>1818</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1819</v>
      </c>
      <c r="C25" s="2115"/>
      <c r="D25" s="2109" t="s">
        <v>1819</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1820</v>
      </c>
      <c r="C26" s="2119"/>
      <c r="D26" s="2120" t="s">
        <v>1821</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0" t="s">
        <v>1822</v>
      </c>
      <c r="B27" s="2066" t="s">
        <v>1823</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0"/>
      <c r="B28" s="2038" t="s">
        <v>1824</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0"/>
      <c r="B29" s="2038" t="s">
        <v>1825</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1"/>
      <c r="B30" s="2038" t="s">
        <v>1826</v>
      </c>
      <c r="C30" s="3012"/>
      <c r="D30" s="301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4" t="s">
        <v>1827</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1828</v>
      </c>
      <c r="B34" s="2137"/>
      <c r="C34" s="2137"/>
      <c r="D34" s="2137"/>
      <c r="E34" s="2137"/>
      <c r="F34" s="2137"/>
      <c r="G34" s="2137"/>
      <c r="H34" s="2137"/>
      <c r="I34" s="2045"/>
      <c r="J34" s="2045"/>
      <c r="K34" s="1798">
        <f>COUNTIF(B34:H34,"——")</f>
        <v>0</v>
      </c>
      <c r="L34" s="2078" t="s">
        <v>1829</v>
      </c>
      <c r="M34" s="2078" t="s">
        <v>1830</v>
      </c>
      <c r="N34" s="2078" t="s">
        <v>1831</v>
      </c>
      <c r="O34" s="2078" t="s">
        <v>1832</v>
      </c>
      <c r="P34" s="2078" t="s">
        <v>1833</v>
      </c>
      <c r="Q34" s="2078" t="s">
        <v>1834</v>
      </c>
      <c r="R34" s="2078" t="s">
        <v>1835</v>
      </c>
      <c r="S34" s="3009" t="s">
        <v>1836</v>
      </c>
      <c r="T34" s="2138" t="str">
        <f>NUMBERSTRING(7-K34,1)&amp;"通"</f>
        <v>七通</v>
      </c>
      <c r="U34" s="2032"/>
      <c r="V34" s="2032"/>
    </row>
    <row r="35" spans="1:22" ht="18" customHeight="1">
      <c r="A35" s="2139"/>
      <c r="B35" s="3016" t="s">
        <v>1837</v>
      </c>
      <c r="C35" s="3016"/>
      <c r="D35" s="3016"/>
      <c r="E35" s="301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2"/>
      <c r="V35" s="2032"/>
    </row>
    <row r="36" spans="1:22" ht="18" customHeight="1">
      <c r="A36" s="2141"/>
      <c r="B36" s="2140" t="s">
        <v>1838</v>
      </c>
      <c r="C36" s="2140" t="s">
        <v>1839</v>
      </c>
      <c r="D36" s="2140" t="s">
        <v>1840</v>
      </c>
      <c r="E36" s="2140" t="s">
        <v>1841</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1842</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1843</v>
      </c>
      <c r="B38" s="2146"/>
      <c r="C38" s="2146"/>
      <c r="D38" s="2146" t="s">
        <v>311</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1844</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1845</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1846</v>
      </c>
      <c r="B42" s="1798" t="s">
        <v>1847</v>
      </c>
      <c r="C42" s="1798" t="s">
        <v>1848</v>
      </c>
      <c r="D42" s="1798" t="s">
        <v>1849</v>
      </c>
      <c r="E42" s="1798" t="s">
        <v>1850</v>
      </c>
      <c r="F42" s="1798" t="s">
        <v>1851</v>
      </c>
      <c r="G42" s="1798" t="s">
        <v>1852</v>
      </c>
      <c r="H42" s="1798" t="s">
        <v>1853</v>
      </c>
      <c r="I42" s="1798" t="s">
        <v>1854</v>
      </c>
      <c r="J42" s="2156" t="s">
        <v>1855</v>
      </c>
      <c r="K42" s="2079" t="s">
        <v>1856</v>
      </c>
      <c r="L42" s="2079" t="s">
        <v>1857</v>
      </c>
      <c r="M42" s="2079" t="s">
        <v>1858</v>
      </c>
      <c r="N42" s="1798" t="s">
        <v>1859</v>
      </c>
      <c r="O42" s="1798" t="s">
        <v>1860</v>
      </c>
      <c r="P42" s="1798" t="s">
        <v>1861</v>
      </c>
      <c r="Q42" s="2078" t="s">
        <v>1862</v>
      </c>
      <c r="R42" s="2078" t="s">
        <v>1863</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topLeftCell="A19" workbookViewId="0">
      <selection activeCell="B29" sqref="B29"/>
    </sheetView>
  </sheetViews>
  <sheetFormatPr defaultRowHeight="13.5"/>
  <cols>
    <col min="6" max="7" width="9.5" bestFit="1" customWidth="1"/>
    <col min="9" max="9" width="14.625" bestFit="1" customWidth="1"/>
  </cols>
  <sheetData>
    <row r="2" spans="1:9">
      <c r="A2" s="2946" t="s">
        <v>3051</v>
      </c>
      <c r="B2" s="2946" t="s">
        <v>3052</v>
      </c>
      <c r="C2" s="2946" t="s">
        <v>3053</v>
      </c>
      <c r="D2" s="2946" t="s">
        <v>3056</v>
      </c>
      <c r="E2" s="2946" t="s">
        <v>3057</v>
      </c>
      <c r="F2" s="2946" t="s">
        <v>3059</v>
      </c>
      <c r="G2" s="2946" t="s">
        <v>3061</v>
      </c>
      <c r="H2" s="2946" t="s">
        <v>3063</v>
      </c>
    </row>
    <row r="3" spans="1:9">
      <c r="A3">
        <v>1</v>
      </c>
      <c r="B3" s="2946" t="s">
        <v>3054</v>
      </c>
      <c r="C3" s="2946" t="s">
        <v>3055</v>
      </c>
      <c r="D3">
        <v>364.7</v>
      </c>
      <c r="E3" s="2946" t="s">
        <v>3058</v>
      </c>
      <c r="F3" s="2946" t="s">
        <v>3060</v>
      </c>
      <c r="G3">
        <v>2005</v>
      </c>
      <c r="H3" s="2946" t="s">
        <v>3062</v>
      </c>
    </row>
    <row r="4" spans="1:9">
      <c r="A4">
        <v>2</v>
      </c>
      <c r="B4" s="2946" t="s">
        <v>3064</v>
      </c>
      <c r="C4" s="2946" t="s">
        <v>3065</v>
      </c>
      <c r="D4">
        <v>263.10000000000002</v>
      </c>
      <c r="E4" s="2946" t="s">
        <v>3066</v>
      </c>
      <c r="F4" s="2946" t="s">
        <v>3067</v>
      </c>
      <c r="G4" s="2947">
        <v>2006</v>
      </c>
      <c r="H4" s="2946" t="s">
        <v>3068</v>
      </c>
    </row>
    <row r="5" spans="1:9">
      <c r="A5">
        <v>3</v>
      </c>
      <c r="B5" s="2946" t="s">
        <v>3069</v>
      </c>
      <c r="C5" s="2946" t="s">
        <v>3070</v>
      </c>
      <c r="D5">
        <v>33527.800000000003</v>
      </c>
      <c r="E5" s="2946" t="s">
        <v>3071</v>
      </c>
      <c r="F5" s="2946" t="s">
        <v>3067</v>
      </c>
      <c r="I5" s="2948">
        <v>59791</v>
      </c>
    </row>
    <row r="6" spans="1:9">
      <c r="I6" s="2948">
        <v>56139</v>
      </c>
    </row>
    <row r="7" spans="1:9">
      <c r="B7">
        <v>190</v>
      </c>
      <c r="C7" s="2946" t="s">
        <v>3072</v>
      </c>
      <c r="D7">
        <f>1049.5+1107.25+1106.06+1025.49+1066.72+1064.45+762.17-46.91-30.19</f>
        <v>7104.5400000000009</v>
      </c>
    </row>
    <row r="8" spans="1:9">
      <c r="B8">
        <v>2</v>
      </c>
      <c r="C8" s="2946" t="s">
        <v>3073</v>
      </c>
      <c r="D8">
        <f>46.91+30.19</f>
        <v>77.099999999999994</v>
      </c>
    </row>
    <row r="9" spans="1:9">
      <c r="B9">
        <v>41</v>
      </c>
      <c r="C9" s="2946" t="s">
        <v>3075</v>
      </c>
      <c r="D9">
        <f>2254.46-762.17+9461.75-276.44</f>
        <v>10677.6</v>
      </c>
    </row>
    <row r="10" spans="1:9">
      <c r="C10" s="2946" t="s">
        <v>3076</v>
      </c>
      <c r="D10">
        <f>73.8+66.65+79.79+56.2+1549.6+38.3+370.32+49.84+46.65+46.29+46.29+53.12+33.87</f>
        <v>2510.7199999999998</v>
      </c>
    </row>
    <row r="11" spans="1:9">
      <c r="C11" s="2946" t="s">
        <v>3077</v>
      </c>
      <c r="D11">
        <f>633.2</f>
        <v>633.20000000000005</v>
      </c>
    </row>
    <row r="12" spans="1:9">
      <c r="C12" s="2946" t="s">
        <v>3077</v>
      </c>
      <c r="D12">
        <v>1492.65</v>
      </c>
    </row>
    <row r="13" spans="1:9">
      <c r="C13" s="2946" t="s">
        <v>3078</v>
      </c>
      <c r="D13">
        <v>2237.2800000000002</v>
      </c>
      <c r="E13">
        <f>46.7+46.7+46.7+57.85+57.85+46.7+46.7+46.7+46.7+60.43+21.24+38.81+32.87</f>
        <v>595.94999999999993</v>
      </c>
      <c r="F13" s="2950">
        <f>D13-E13</f>
        <v>1641.3300000000004</v>
      </c>
    </row>
    <row r="14" spans="1:9">
      <c r="C14">
        <v>3</v>
      </c>
      <c r="D14">
        <v>3246.05</v>
      </c>
      <c r="F14" s="2950"/>
    </row>
    <row r="15" spans="1:9">
      <c r="C15" s="2946" t="s">
        <v>3079</v>
      </c>
      <c r="D15">
        <v>3152.38</v>
      </c>
      <c r="E15" s="2949">
        <f>104.4+75.55+150.69</f>
        <v>330.64</v>
      </c>
      <c r="F15" s="2951">
        <f>D15-E15</f>
        <v>2821.7400000000002</v>
      </c>
    </row>
    <row r="16" spans="1:9">
      <c r="C16" s="2946" t="s">
        <v>3080</v>
      </c>
      <c r="D16">
        <v>2396.2800000000002</v>
      </c>
    </row>
    <row r="17" spans="2:8">
      <c r="D17">
        <f>SUM(D7:D16)</f>
        <v>33527.800000000003</v>
      </c>
    </row>
    <row r="18" spans="2:8">
      <c r="F18" s="2953" t="s">
        <v>3081</v>
      </c>
      <c r="G18" s="2954">
        <v>7104.54</v>
      </c>
      <c r="H18" s="2955" t="s">
        <v>3084</v>
      </c>
    </row>
    <row r="19" spans="2:8">
      <c r="F19" s="2953" t="s">
        <v>3082</v>
      </c>
      <c r="G19" s="2954">
        <v>77.099999999999994</v>
      </c>
      <c r="H19" s="2955" t="s">
        <v>3085</v>
      </c>
    </row>
    <row r="20" spans="2:8">
      <c r="F20" s="2953" t="s">
        <v>3083</v>
      </c>
      <c r="G20" s="2954">
        <f>D9</f>
        <v>10677.6</v>
      </c>
      <c r="H20" s="2955" t="s">
        <v>3074</v>
      </c>
    </row>
    <row r="21" spans="2:8">
      <c r="F21" s="2953" t="s">
        <v>3086</v>
      </c>
      <c r="G21" s="2954">
        <f>D10</f>
        <v>2510.7199999999998</v>
      </c>
      <c r="H21" s="2955" t="s">
        <v>3074</v>
      </c>
    </row>
    <row r="22" spans="2:8">
      <c r="F22" s="2953" t="s">
        <v>3077</v>
      </c>
      <c r="G22" s="2954">
        <f>D11+D12+E13</f>
        <v>2721.8</v>
      </c>
      <c r="H22" s="2955" t="s">
        <v>3088</v>
      </c>
    </row>
    <row r="23" spans="2:8">
      <c r="F23" s="2953" t="s">
        <v>3087</v>
      </c>
      <c r="G23" s="2956">
        <f>F13+D14+E15</f>
        <v>5218.0200000000013</v>
      </c>
      <c r="H23" s="2955" t="s">
        <v>3088</v>
      </c>
    </row>
    <row r="24" spans="2:8">
      <c r="F24" s="2953" t="s">
        <v>3080</v>
      </c>
      <c r="G24" s="2956">
        <f>D16+F15</f>
        <v>5218.0200000000004</v>
      </c>
      <c r="H24" s="2955" t="s">
        <v>3088</v>
      </c>
    </row>
    <row r="25" spans="2:8">
      <c r="F25" s="2952"/>
      <c r="G25">
        <f>SUM(G18:G24)</f>
        <v>33527.800000000003</v>
      </c>
    </row>
    <row r="26" spans="2:8">
      <c r="F26" s="2952"/>
    </row>
    <row r="27" spans="2:8">
      <c r="F27" s="2952"/>
    </row>
    <row r="28" spans="2:8">
      <c r="B28" s="2946" t="s">
        <v>3128</v>
      </c>
      <c r="C28" s="2946" t="s">
        <v>3127</v>
      </c>
      <c r="D28" s="2946" t="s">
        <v>3126</v>
      </c>
      <c r="F28" s="2952"/>
    </row>
    <row r="29" spans="2:8">
      <c r="B29">
        <v>111</v>
      </c>
      <c r="C29">
        <v>16000</v>
      </c>
      <c r="D29">
        <f>C29/30/B29</f>
        <v>4.8048048048048049</v>
      </c>
      <c r="F29" s="2952"/>
    </row>
    <row r="30" spans="2:8">
      <c r="B30">
        <v>104</v>
      </c>
      <c r="C30">
        <v>15500</v>
      </c>
      <c r="D30">
        <f t="shared" ref="D30:D32" si="0">C30/30/B30</f>
        <v>4.9679487179487172</v>
      </c>
      <c r="F30" s="2952"/>
    </row>
    <row r="31" spans="2:8">
      <c r="B31">
        <v>108</v>
      </c>
      <c r="C31">
        <v>14700</v>
      </c>
      <c r="D31">
        <f t="shared" si="0"/>
        <v>4.5370370370370372</v>
      </c>
      <c r="F31" s="2952"/>
    </row>
    <row r="32" spans="2:8">
      <c r="B32">
        <v>141</v>
      </c>
      <c r="C32">
        <v>18000</v>
      </c>
      <c r="D32">
        <f t="shared" si="0"/>
        <v>4.2553191489361701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1866</v>
      </c>
      <c r="B2" s="11" t="s">
        <v>1867</v>
      </c>
      <c r="C2" s="11" t="s">
        <v>1868</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1869</v>
      </c>
      <c r="AZ2" s="1273" t="s">
        <v>1870</v>
      </c>
      <c r="BA2" s="11" t="s">
        <v>1871</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263.10000000000002</v>
      </c>
      <c r="C3" s="2172" t="s">
        <v>1872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1873</v>
      </c>
      <c r="B5" s="1806"/>
      <c r="C5" s="1806"/>
      <c r="D5" s="1809"/>
      <c r="E5" s="16" t="s">
        <v>1</v>
      </c>
      <c r="F5" s="16">
        <f>SUM(F13:F587)</f>
        <v>0</v>
      </c>
      <c r="G5" s="16">
        <f>SUM(G13:G587)</f>
        <v>263.10000000000002</v>
      </c>
      <c r="H5" s="16">
        <f t="shared" ref="H5:AT5" si="0">SUM(H13:H656)</f>
        <v>263.10000000000002</v>
      </c>
      <c r="I5" s="16">
        <f t="shared" si="0"/>
        <v>263.10000000000002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263.10000000000002</v>
      </c>
      <c r="BA5" s="18">
        <f t="shared" si="1"/>
        <v>263.10000000000002</v>
      </c>
      <c r="BB5" s="18">
        <f t="shared" si="1"/>
        <v>263.10000000000002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1874</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1874</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1875</v>
      </c>
      <c r="B7" s="2113" t="s">
        <v>1876</v>
      </c>
      <c r="C7" s="2113" t="s">
        <v>1877</v>
      </c>
      <c r="D7" s="2113" t="s">
        <v>1878</v>
      </c>
      <c r="E7" s="2113" t="s">
        <v>1879</v>
      </c>
      <c r="F7" s="2113" t="s">
        <v>1880</v>
      </c>
      <c r="G7" s="2182" t="s">
        <v>1881</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1882</v>
      </c>
      <c r="AV7" s="23" t="s">
        <v>1883</v>
      </c>
      <c r="AW7" s="2170" t="s">
        <v>1884</v>
      </c>
      <c r="AX7" s="23" t="s">
        <v>1877</v>
      </c>
      <c r="AY7" s="1806" t="s">
        <v>1885</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1886</v>
      </c>
      <c r="H8" s="2188" t="s">
        <v>1887</v>
      </c>
      <c r="I8" s="2189"/>
      <c r="J8" s="1821"/>
      <c r="K8" s="1821"/>
      <c r="L8" s="1821"/>
      <c r="M8" s="1821"/>
      <c r="N8" s="1821"/>
      <c r="O8" s="1821"/>
      <c r="P8" s="1821"/>
      <c r="Q8" s="1821"/>
      <c r="R8" s="1821"/>
      <c r="S8" s="1821"/>
      <c r="T8" s="1821"/>
      <c r="U8" s="1821"/>
      <c r="V8" s="2190"/>
      <c r="W8" s="1821"/>
      <c r="X8" s="1821"/>
      <c r="Y8" s="1821"/>
      <c r="Z8" s="1821"/>
      <c r="AA8" s="2190"/>
      <c r="AB8" s="2191"/>
      <c r="AC8" s="984" t="s">
        <v>1888</v>
      </c>
      <c r="AD8" s="2192"/>
      <c r="AE8" s="2184"/>
      <c r="AF8" s="1821"/>
      <c r="AG8" s="1821"/>
      <c r="AH8" s="1821"/>
      <c r="AI8" s="1821"/>
      <c r="AJ8" s="1821"/>
      <c r="AK8" s="1821"/>
      <c r="AL8" s="1821"/>
      <c r="AM8" s="1821"/>
      <c r="AN8" s="1821"/>
      <c r="AO8" s="1821"/>
      <c r="AP8" s="1821"/>
      <c r="AQ8" s="1821"/>
      <c r="AR8" s="1821"/>
      <c r="AS8" s="1821"/>
      <c r="AT8" s="1295" t="s">
        <v>1889</v>
      </c>
      <c r="AU8" s="2186" t="s">
        <v>1890</v>
      </c>
      <c r="AV8" s="1295"/>
      <c r="AW8" s="2169"/>
      <c r="AX8" s="1295"/>
      <c r="AY8" s="2170"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1893</v>
      </c>
      <c r="I9" s="2195" t="s">
        <v>3093</v>
      </c>
      <c r="J9" s="984"/>
      <c r="K9" s="2195" t="s">
        <v>3094</v>
      </c>
      <c r="L9" s="984"/>
      <c r="M9" s="2195" t="s">
        <v>3094</v>
      </c>
      <c r="N9" s="984"/>
      <c r="O9" s="2195" t="s">
        <v>3093</v>
      </c>
      <c r="P9" s="984"/>
      <c r="Q9" s="2195"/>
      <c r="R9" s="984"/>
      <c r="S9" s="2195"/>
      <c r="T9" s="984"/>
      <c r="U9" s="2195"/>
      <c r="V9" s="984"/>
      <c r="W9" s="2195"/>
      <c r="X9" s="2196"/>
      <c r="Y9" s="2195"/>
      <c r="Z9" s="984"/>
      <c r="AA9" s="2195"/>
      <c r="AB9" s="984"/>
      <c r="AC9" s="2187"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7"/>
      <c r="AT9" s="2186"/>
      <c r="AU9" s="2186" t="s">
        <v>1896</v>
      </c>
      <c r="AV9" s="1295"/>
      <c r="AW9" s="2169"/>
      <c r="AX9" s="1295"/>
      <c r="AY9" s="28"/>
      <c r="AZ9" s="28" t="s">
        <v>1886</v>
      </c>
      <c r="BA9" s="2198" t="s">
        <v>1897</v>
      </c>
      <c r="BB9" s="2199"/>
      <c r="BC9" s="1341"/>
      <c r="BD9" s="1341"/>
      <c r="BE9" s="1341"/>
      <c r="BF9" s="1341"/>
      <c r="BG9" s="1341"/>
      <c r="BH9" s="1341"/>
      <c r="BI9" s="1341"/>
      <c r="BJ9" s="1341"/>
      <c r="BK9" s="2200"/>
      <c r="BL9" s="15" t="s">
        <v>1898</v>
      </c>
      <c r="BM9" s="1821"/>
      <c r="BN9" s="2189"/>
      <c r="BO9" s="1821"/>
      <c r="BP9" s="1821"/>
      <c r="BQ9" s="1821"/>
      <c r="BR9" s="1821"/>
      <c r="BS9" s="1821"/>
      <c r="BT9" s="26"/>
    </row>
    <row r="10" spans="1:72" s="2193" customFormat="1" ht="12.75">
      <c r="A10" s="2186"/>
      <c r="B10" s="2186"/>
      <c r="C10" s="2186"/>
      <c r="D10" s="2186"/>
      <c r="E10" s="2186"/>
      <c r="F10" s="2186"/>
      <c r="G10" s="1295"/>
      <c r="H10" s="28"/>
      <c r="I10" s="2195" t="s">
        <v>3107</v>
      </c>
      <c r="J10" s="984"/>
      <c r="K10" s="2201" t="s">
        <v>1373</v>
      </c>
      <c r="L10" s="984"/>
      <c r="M10" s="2201" t="s">
        <v>3096</v>
      </c>
      <c r="N10" s="984"/>
      <c r="O10" s="2201" t="s">
        <v>1373</v>
      </c>
      <c r="P10" s="984"/>
      <c r="Q10" s="2201"/>
      <c r="R10" s="984"/>
      <c r="S10" s="2201"/>
      <c r="T10" s="984"/>
      <c r="U10" s="2201"/>
      <c r="V10" s="984"/>
      <c r="W10" s="2201"/>
      <c r="X10" s="984"/>
      <c r="Y10" s="2201"/>
      <c r="Z10" s="984"/>
      <c r="AA10" s="2201"/>
      <c r="AB10" s="984"/>
      <c r="AC10" s="1295"/>
      <c r="AD10" s="15" t="s">
        <v>1899</v>
      </c>
      <c r="AE10" s="2202"/>
      <c r="AF10" s="15" t="s">
        <v>1899</v>
      </c>
      <c r="AG10" s="2202"/>
      <c r="AH10" s="15" t="s">
        <v>1900</v>
      </c>
      <c r="AI10" s="2202"/>
      <c r="AJ10" s="15" t="s">
        <v>1900</v>
      </c>
      <c r="AK10" s="2202"/>
      <c r="AL10" s="15" t="s">
        <v>1901</v>
      </c>
      <c r="AM10" s="1301"/>
      <c r="AN10" s="15" t="s">
        <v>1901</v>
      </c>
      <c r="AO10" s="1301"/>
      <c r="AP10" s="15" t="s">
        <v>1902</v>
      </c>
      <c r="AQ10" s="1301"/>
      <c r="AR10" s="15" t="s">
        <v>1902</v>
      </c>
      <c r="AS10" s="1301"/>
      <c r="AT10" s="2186"/>
      <c r="AU10" s="2186"/>
      <c r="AV10" s="1295"/>
      <c r="AW10" s="2169"/>
      <c r="AX10" s="1295"/>
      <c r="AY10" s="28"/>
      <c r="AZ10" s="28"/>
      <c r="BA10" s="2203" t="s">
        <v>1893</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3108</v>
      </c>
      <c r="J11" s="2207"/>
      <c r="K11" s="2206" t="s">
        <v>3095</v>
      </c>
      <c r="L11" s="2207"/>
      <c r="M11" s="2206" t="s">
        <v>3096</v>
      </c>
      <c r="N11" s="2207"/>
      <c r="O11" s="2206" t="s">
        <v>3097</v>
      </c>
      <c r="P11" s="2207"/>
      <c r="Q11" s="2206"/>
      <c r="R11" s="2207"/>
      <c r="S11" s="2206"/>
      <c r="T11" s="2207"/>
      <c r="U11" s="2206"/>
      <c r="V11" s="2207"/>
      <c r="W11" s="2206"/>
      <c r="X11" s="2207"/>
      <c r="Y11" s="2206"/>
      <c r="Z11" s="2207"/>
      <c r="AA11" s="2206"/>
      <c r="AB11" s="2207"/>
      <c r="AC11" s="1295"/>
      <c r="AD11" s="2208" t="s">
        <v>1903</v>
      </c>
      <c r="AE11" s="1822"/>
      <c r="AF11" s="2208" t="s">
        <v>1903</v>
      </c>
      <c r="AG11" s="1822"/>
      <c r="AH11" s="2208" t="s">
        <v>1904</v>
      </c>
      <c r="AI11" s="2209"/>
      <c r="AJ11" s="2208" t="s">
        <v>1904</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商业</v>
      </c>
      <c r="BD11" s="2191" t="str">
        <f>M10</f>
        <v>车库</v>
      </c>
      <c r="BE11" s="2191" t="str">
        <f>O10</f>
        <v>商业</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3"/>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11" t="s">
        <v>1906</v>
      </c>
      <c r="AT12" s="2214"/>
      <c r="AU12" s="2211"/>
      <c r="AV12" s="31"/>
      <c r="AW12" s="2170"/>
      <c r="AX12" s="31"/>
      <c r="AY12" s="2215"/>
      <c r="AZ12" s="28"/>
      <c r="BA12" s="2203"/>
      <c r="BB12" s="24" t="str">
        <f>I11</f>
        <v>平层住宅</v>
      </c>
      <c r="BC12" s="2216" t="str">
        <f>K11</f>
        <v>商业街</v>
      </c>
      <c r="BD12" s="2216" t="str">
        <f>M11</f>
        <v>车库</v>
      </c>
      <c r="BE12" s="2191" t="str">
        <f>O11</f>
        <v>办公楼</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3092</v>
      </c>
      <c r="E13" s="16">
        <f>IF($C$3="是",ROUND($A$3*G13/$B$3,2),ROUND($A$3*(G13-AT13)/$B$3,2))</f>
        <v>0</v>
      </c>
      <c r="F13" s="32"/>
      <c r="G13" s="33">
        <f>H13+AC13+AT13</f>
        <v>263.10000000000002</v>
      </c>
      <c r="H13" s="20">
        <f>SUMIF(I$12:AB$12,"总值",I13:AB13)</f>
        <v>263.10000000000002</v>
      </c>
      <c r="I13" s="2218">
        <f>信息!D4</f>
        <v>263.10000000000002</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263.10000000000002</v>
      </c>
      <c r="BA13" s="16">
        <f>SUM(BB13:BK13)</f>
        <v>263.10000000000002</v>
      </c>
      <c r="BB13" s="16">
        <f>IF($D13="是",I13-J13,0)</f>
        <v>263.10000000000002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1932</v>
      </c>
      <c r="B1" s="1395"/>
      <c r="C1" s="1395"/>
      <c r="D1" s="1395"/>
      <c r="E1" s="1395"/>
      <c r="F1" s="1395"/>
      <c r="G1" s="1395"/>
      <c r="H1" s="1395"/>
      <c r="I1" s="1395"/>
      <c r="J1" s="1395"/>
      <c r="K1" s="1395"/>
      <c r="L1" s="1395"/>
      <c r="M1" s="1395"/>
      <c r="N1" s="1395"/>
      <c r="O1" s="1395"/>
      <c r="P1" s="1395"/>
    </row>
    <row r="2" spans="1:16" ht="15">
      <c r="A2" s="3050" t="s">
        <v>1933</v>
      </c>
      <c r="B2" s="3050"/>
      <c r="C2" s="3050"/>
      <c r="D2" s="970" t="s">
        <v>1909</v>
      </c>
      <c r="E2" s="2231" t="s">
        <v>1910</v>
      </c>
      <c r="F2" s="1395"/>
      <c r="G2" s="2232"/>
      <c r="H2" s="2233"/>
      <c r="I2" s="2234" t="s">
        <v>1934</v>
      </c>
      <c r="J2" s="1395"/>
      <c r="K2" s="1395"/>
      <c r="L2" s="1395"/>
      <c r="M2" s="1395"/>
      <c r="N2" s="1430"/>
      <c r="O2" s="1395"/>
      <c r="P2" s="1395"/>
    </row>
    <row r="3" spans="1:16" ht="15.75" thickBot="1">
      <c r="A3" s="3051" t="s">
        <v>1907</v>
      </c>
      <c r="B3" s="3051"/>
      <c r="C3" s="3051"/>
      <c r="D3" s="46">
        <f>'数据-基础表'!AY6</f>
        <v>0</v>
      </c>
      <c r="E3" s="46">
        <f>'数据-基础表'!AZ5</f>
        <v>263.10000000000002</v>
      </c>
      <c r="F3" s="1395"/>
      <c r="G3" s="1402"/>
      <c r="H3" s="1250" t="s">
        <v>1908</v>
      </c>
      <c r="I3" s="55" t="e">
        <f>ROUND('数据-基础表'!B3/'数据-基础表'!A3,2)</f>
        <v>#DIV/0!</v>
      </c>
      <c r="J3" s="1395"/>
      <c r="K3" s="1395"/>
      <c r="L3" s="1395"/>
      <c r="M3" s="1395"/>
      <c r="N3" s="1430"/>
      <c r="O3" s="1395"/>
      <c r="P3" s="1395"/>
    </row>
    <row r="4" spans="1:16" ht="15">
      <c r="A4" s="3052"/>
      <c r="B4" s="3053"/>
      <c r="C4" s="3054"/>
      <c r="D4" s="2235" t="s">
        <v>1909</v>
      </c>
      <c r="E4" s="2236" t="s">
        <v>1910</v>
      </c>
      <c r="F4" s="1395"/>
      <c r="G4" s="2237" t="s">
        <v>1935</v>
      </c>
      <c r="H4" s="1250" t="s">
        <v>1915</v>
      </c>
      <c r="I4" s="55" t="e">
        <f>ROUND(SUMIF('数据-基础表'!I9:AS9,"地上",'数据-基础表'!I5:AS5)/'数据-基础表'!A3,2)</f>
        <v>#DIV/0!</v>
      </c>
      <c r="J4" s="1395"/>
      <c r="K4" s="1395"/>
      <c r="L4" s="1395"/>
      <c r="M4" s="1395"/>
      <c r="N4" s="1430"/>
      <c r="O4" s="1395"/>
      <c r="P4" s="1395"/>
    </row>
    <row r="5" spans="1:16">
      <c r="A5" s="47" t="s">
        <v>1911</v>
      </c>
      <c r="B5" s="3055" t="s">
        <v>1912</v>
      </c>
      <c r="C5" s="3055"/>
      <c r="D5" s="48">
        <f>ROUND($D$3*E5/$E$3,2)</f>
        <v>0</v>
      </c>
      <c r="E5" s="49">
        <f>SUMIF('数据-基础表'!$11:$11,"住宅",'数据-基础表'!$5:$5)</f>
        <v>263.10000000000002</v>
      </c>
      <c r="F5" s="1395"/>
      <c r="G5" s="1402"/>
      <c r="H5" s="1250" t="s">
        <v>1908</v>
      </c>
      <c r="I5" s="55" t="e">
        <f>ROUND(E31/D31,2)</f>
        <v>#DIV/0!</v>
      </c>
      <c r="J5" s="1395"/>
      <c r="K5" s="1395"/>
      <c r="L5" s="1395"/>
      <c r="M5" s="1395"/>
      <c r="N5" s="1395"/>
      <c r="O5" s="1395"/>
      <c r="P5" s="1395"/>
    </row>
    <row r="6" spans="1:16" ht="15" thickBot="1">
      <c r="A6" s="2238"/>
      <c r="B6" s="3055" t="s">
        <v>1913</v>
      </c>
      <c r="C6" s="3055"/>
      <c r="D6" s="48">
        <f>ROUND($D$3*E6/$E$3,2)</f>
        <v>0</v>
      </c>
      <c r="E6" s="49">
        <f>E3-E5</f>
        <v>0</v>
      </c>
      <c r="F6" s="1395"/>
      <c r="G6" s="2239" t="s">
        <v>1914</v>
      </c>
      <c r="H6" s="1402" t="s">
        <v>1915</v>
      </c>
      <c r="I6" s="942" t="e">
        <f>ROUND(F31/D31,2)</f>
        <v>#DIV/0!</v>
      </c>
      <c r="J6" s="1395"/>
      <c r="K6" s="1395"/>
      <c r="L6" s="1395"/>
      <c r="M6" s="1395"/>
      <c r="N6" s="1395"/>
      <c r="O6" s="1395"/>
      <c r="P6" s="1395"/>
    </row>
    <row r="7" spans="1:16" ht="15">
      <c r="A7" s="3047"/>
      <c r="B7" s="3048"/>
      <c r="C7" s="3049"/>
      <c r="D7" s="2235" t="s">
        <v>1909</v>
      </c>
      <c r="E7" s="2240" t="s">
        <v>1916</v>
      </c>
      <c r="F7" s="1395"/>
      <c r="G7" s="2232" t="s">
        <v>1917</v>
      </c>
      <c r="H7" s="64"/>
      <c r="I7" s="420">
        <v>2.7</v>
      </c>
      <c r="J7" s="1395"/>
      <c r="K7" s="1395"/>
      <c r="L7" s="1395"/>
      <c r="M7" s="1395"/>
      <c r="N7" s="1395"/>
      <c r="O7" s="1395"/>
      <c r="P7" s="1395"/>
    </row>
    <row r="8" spans="1:16">
      <c r="A8" s="47" t="s">
        <v>1918</v>
      </c>
      <c r="B8" s="50" t="s">
        <v>1919</v>
      </c>
      <c r="C8" s="48" t="s">
        <v>1920</v>
      </c>
      <c r="D8" s="48">
        <f t="shared" ref="D8:D15" si="0">ROUND($D$3*E8/$E$3,2)</f>
        <v>0</v>
      </c>
      <c r="E8" s="51">
        <f>SUMIF('数据-基础表'!BB10:BK10,"地上",'数据-基础表'!BB5:BK5)</f>
        <v>263.10000000000002</v>
      </c>
      <c r="F8" s="1395"/>
      <c r="G8" s="2241"/>
      <c r="H8" s="2241"/>
      <c r="I8" s="1395"/>
      <c r="J8" s="1395"/>
      <c r="K8" s="1395"/>
      <c r="L8" s="1395"/>
      <c r="M8" s="1395"/>
      <c r="N8" s="1395"/>
      <c r="O8" s="1395"/>
      <c r="P8" s="1395"/>
    </row>
    <row r="9" spans="1:16">
      <c r="A9" s="2242"/>
      <c r="B9" s="2243"/>
      <c r="C9" s="48" t="s">
        <v>1921</v>
      </c>
      <c r="D9" s="48">
        <f t="shared" si="0"/>
        <v>0</v>
      </c>
      <c r="E9" s="52">
        <v>0</v>
      </c>
      <c r="F9" s="1395"/>
      <c r="G9" s="2241"/>
      <c r="H9" s="2241"/>
      <c r="I9" s="1395"/>
      <c r="J9" s="1395"/>
      <c r="K9" s="1395"/>
      <c r="L9" s="1395"/>
      <c r="M9" s="1395"/>
      <c r="N9" s="1395"/>
      <c r="O9" s="1395"/>
      <c r="P9" s="1395"/>
    </row>
    <row r="10" spans="1:16">
      <c r="A10" s="2242"/>
      <c r="B10" s="2243"/>
      <c r="C10" s="48" t="s">
        <v>1930</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1922</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1923</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1924</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1936</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1931</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1925</v>
      </c>
      <c r="D16" s="50">
        <f>SUM(D8:D15)</f>
        <v>0</v>
      </c>
      <c r="E16" s="53">
        <f>SUM(E8:E15)</f>
        <v>263.10000000000002</v>
      </c>
      <c r="F16" s="1395"/>
      <c r="G16" s="2241"/>
      <c r="H16" s="2244" t="s">
        <v>1937</v>
      </c>
      <c r="I16" s="2245"/>
      <c r="J16" s="1395"/>
      <c r="K16" s="3044" t="s">
        <v>1937</v>
      </c>
      <c r="L16" s="3045"/>
      <c r="M16" s="3045"/>
      <c r="N16" s="3045"/>
      <c r="O16" s="3045"/>
      <c r="P16" s="3046"/>
    </row>
    <row r="17" spans="1:19" ht="15">
      <c r="A17" s="2246" t="s">
        <v>1938</v>
      </c>
      <c r="B17" s="2247" t="s">
        <v>1939</v>
      </c>
      <c r="C17" s="2248" t="s">
        <v>1940</v>
      </c>
      <c r="D17" s="2249" t="s">
        <v>1928</v>
      </c>
      <c r="E17" s="2250" t="s">
        <v>1929</v>
      </c>
      <c r="F17" s="2251"/>
      <c r="G17" s="2252"/>
      <c r="H17" s="2253" t="s">
        <v>1941</v>
      </c>
      <c r="I17" s="2254" t="s">
        <v>1926</v>
      </c>
      <c r="J17" s="1395"/>
      <c r="K17" s="3041" t="s">
        <v>1942</v>
      </c>
      <c r="L17" s="3042"/>
      <c r="M17" s="3043"/>
      <c r="N17" s="3041" t="s">
        <v>1943</v>
      </c>
      <c r="O17" s="3042"/>
      <c r="P17" s="3043"/>
      <c r="R17" s="2232" t="s">
        <v>1944</v>
      </c>
      <c r="S17" s="64"/>
    </row>
    <row r="18" spans="1:19" ht="15">
      <c r="A18" s="2242"/>
      <c r="B18" s="2255"/>
      <c r="C18" s="2256"/>
      <c r="D18" s="2257"/>
      <c r="E18" s="2258" t="s">
        <v>1945</v>
      </c>
      <c r="F18" s="2259" t="s">
        <v>1946</v>
      </c>
      <c r="G18" s="2260" t="s">
        <v>1947</v>
      </c>
      <c r="H18" s="1265" t="s">
        <v>1948</v>
      </c>
      <c r="I18" s="2261" t="s">
        <v>1949</v>
      </c>
      <c r="J18" s="1395"/>
      <c r="K18" s="1265" t="s">
        <v>1950</v>
      </c>
      <c r="L18" s="2262" t="s">
        <v>1951</v>
      </c>
      <c r="M18" s="1049" t="s">
        <v>1952</v>
      </c>
      <c r="N18" s="1265" t="s">
        <v>1950</v>
      </c>
      <c r="O18" s="2262" t="s">
        <v>1951</v>
      </c>
      <c r="P18" s="1049" t="s">
        <v>1952</v>
      </c>
      <c r="R18" s="1250" t="s">
        <v>1953</v>
      </c>
      <c r="S18" s="1250" t="s">
        <v>1954</v>
      </c>
    </row>
    <row r="19" spans="1:19">
      <c r="A19" s="2263"/>
      <c r="B19" s="50" t="s">
        <v>1927</v>
      </c>
      <c r="C19" s="2957" t="s">
        <v>3109</v>
      </c>
      <c r="D19" s="48">
        <f>ROUND($D$3*E19/$E$3,2)</f>
        <v>0</v>
      </c>
      <c r="E19" s="56">
        <f t="shared" ref="E19:E26" si="1">SUM(F19:G19)</f>
        <v>263.10000000000002</v>
      </c>
      <c r="F19" s="57">
        <f>'数据-基础表'!I13</f>
        <v>263.10000000000002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263.10000000000002</v>
      </c>
    </row>
    <row r="20" spans="1:19">
      <c r="A20" s="2266"/>
      <c r="B20" s="50" t="s">
        <v>1955</v>
      </c>
      <c r="C20" s="29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1955</v>
      </c>
      <c r="C21" s="2957"/>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1955</v>
      </c>
      <c r="C22" s="2958"/>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1956</v>
      </c>
      <c r="D27" s="1396">
        <f>SUM(D19:D26)</f>
        <v>0</v>
      </c>
      <c r="E27" s="1397">
        <f>IF(SUM(E19:E26)='数据-基础表'!BA5,SUM(E19:E26),IF(F27="地上面积有误","面积有误","地下面积有误"))</f>
        <v>263.10000000000002</v>
      </c>
      <c r="F27" s="1396">
        <f>IF(SUM(F19:F26)=E8,SUM(F19:F26),"地上面积有误")</f>
        <v>263.10000000000002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263.10000000000002</v>
      </c>
    </row>
    <row r="28" spans="1:19">
      <c r="A28" s="2266"/>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1957</v>
      </c>
      <c r="C29" s="2270"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1960</v>
      </c>
      <c r="D31" s="729">
        <f>D27+D30</f>
        <v>0</v>
      </c>
      <c r="E31" s="729">
        <f>E27+E30</f>
        <v>263.10000000000002</v>
      </c>
      <c r="F31" s="730">
        <f>F27+F30</f>
        <v>263.10000000000002</v>
      </c>
      <c r="G31" s="731">
        <f>G27+G30</f>
        <v>0</v>
      </c>
      <c r="H31" s="1395"/>
      <c r="I31" s="1395"/>
      <c r="J31" s="1395"/>
      <c r="K31" s="1395"/>
      <c r="L31" s="1395"/>
      <c r="M31" s="1395"/>
      <c r="N31" s="1395"/>
      <c r="O31" s="1395"/>
      <c r="P31" s="1395"/>
    </row>
    <row r="32" spans="1:19">
      <c r="A32" s="2237"/>
      <c r="B32" s="2237" t="s">
        <v>1961</v>
      </c>
      <c r="C32" s="2237"/>
      <c r="D32" s="2237"/>
      <c r="E32" s="1277">
        <f>SUMIF(C19:C26,"*住宅*",E19:E26)</f>
        <v>263.10000000000002</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1962</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1963</v>
      </c>
      <c r="B2" s="1269">
        <f>项目基本情况!D3</f>
        <v>43483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1964</v>
      </c>
      <c r="B4" s="2284"/>
      <c r="C4" s="2285"/>
      <c r="D4" s="2286"/>
      <c r="E4" s="2285" t="s">
        <v>1965</v>
      </c>
      <c r="F4" s="2285"/>
      <c r="G4" s="2285"/>
      <c r="H4" s="2285"/>
      <c r="I4" s="2285"/>
      <c r="J4" s="2287"/>
      <c r="K4" s="2288"/>
      <c r="L4" s="2289"/>
      <c r="M4" s="2285"/>
      <c r="N4" s="2285" t="s">
        <v>1966</v>
      </c>
      <c r="O4" s="2285"/>
      <c r="P4" s="2285"/>
      <c r="Q4" s="2285"/>
      <c r="R4" s="2285"/>
      <c r="S4" s="2287"/>
      <c r="T4" s="2290" t="str">
        <f>'数据-汇总表'!I17</f>
        <v>按面积比例</v>
      </c>
      <c r="U4" s="2284" t="s">
        <v>1967</v>
      </c>
      <c r="V4" s="2285"/>
      <c r="W4" s="2285"/>
      <c r="X4" s="2285"/>
      <c r="Y4" s="2287"/>
      <c r="Z4" s="2248" t="s">
        <v>1968</v>
      </c>
      <c r="AA4" s="2248"/>
      <c r="AB4" s="2248"/>
      <c r="AC4" s="2248"/>
      <c r="AD4" s="2248"/>
      <c r="AE4" s="2246" t="s">
        <v>1969</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1970</v>
      </c>
      <c r="B5" s="2293" t="s">
        <v>1971</v>
      </c>
      <c r="C5" s="2294" t="s">
        <v>1972</v>
      </c>
      <c r="D5" s="2295" t="s">
        <v>1973</v>
      </c>
      <c r="E5" s="1271" t="s">
        <v>1974</v>
      </c>
      <c r="F5" s="2296" t="s">
        <v>1975</v>
      </c>
      <c r="G5" s="1271" t="s">
        <v>1976</v>
      </c>
      <c r="H5" s="1271" t="s">
        <v>1977</v>
      </c>
      <c r="I5" s="1271" t="s">
        <v>1978</v>
      </c>
      <c r="J5" s="2297" t="s">
        <v>1979</v>
      </c>
      <c r="K5" s="2298" t="s">
        <v>1980</v>
      </c>
      <c r="L5" s="2299" t="s">
        <v>1981</v>
      </c>
      <c r="M5" s="2300" t="s">
        <v>1982</v>
      </c>
      <c r="N5" s="2301" t="s">
        <v>3098</v>
      </c>
      <c r="O5" s="2299" t="s">
        <v>1983</v>
      </c>
      <c r="P5" s="2302" t="s">
        <v>1984</v>
      </c>
      <c r="Q5" s="69" t="s">
        <v>1985</v>
      </c>
      <c r="R5" s="2303" t="s">
        <v>1986</v>
      </c>
      <c r="S5" s="2304" t="s">
        <v>1987</v>
      </c>
      <c r="T5" s="2305" t="s">
        <v>1988</v>
      </c>
      <c r="U5" s="1270" t="s">
        <v>1989</v>
      </c>
      <c r="V5" s="1271" t="s">
        <v>1990</v>
      </c>
      <c r="W5" s="1271" t="s">
        <v>1991</v>
      </c>
      <c r="X5" s="71"/>
      <c r="Y5" s="70" t="s">
        <v>1992</v>
      </c>
      <c r="Z5" s="2306" t="s">
        <v>1989</v>
      </c>
      <c r="AA5" s="1271" t="s">
        <v>1990</v>
      </c>
      <c r="AB5" s="1271" t="s">
        <v>1991</v>
      </c>
      <c r="AC5" s="71"/>
      <c r="AD5" s="71" t="s">
        <v>1992</v>
      </c>
      <c r="AE5" s="1270" t="s">
        <v>1993</v>
      </c>
      <c r="AF5" s="1271" t="s">
        <v>1994</v>
      </c>
      <c r="AG5" s="70" t="s">
        <v>1995</v>
      </c>
      <c r="AH5" s="1270" t="s">
        <v>1996</v>
      </c>
      <c r="AI5" s="2306" t="s">
        <v>1997</v>
      </c>
      <c r="AJ5" s="2306" t="s">
        <v>1998</v>
      </c>
      <c r="AK5" s="1271" t="s">
        <v>1999</v>
      </c>
      <c r="AL5" s="1271" t="s">
        <v>2000</v>
      </c>
      <c r="AM5" s="70" t="s">
        <v>2001</v>
      </c>
      <c r="AN5" s="2307" t="s">
        <v>2002</v>
      </c>
      <c r="AO5" s="2078" t="s">
        <v>2003</v>
      </c>
      <c r="AP5" s="1252" t="s">
        <v>2004</v>
      </c>
      <c r="AQ5" s="2308" t="s">
        <v>2005</v>
      </c>
      <c r="AR5" s="2308" t="s">
        <v>2006</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住宅</v>
      </c>
      <c r="B6" s="2310" t="str">
        <f>IF(A6=0,"","经营性")</f>
        <v>经营性</v>
      </c>
      <c r="C6" s="2311" t="s">
        <v>3107</v>
      </c>
      <c r="D6" s="1054">
        <f>SUMIF(项目基本情况!D$12:I$12,C6,项目基本情况!D$14:I$14)</f>
        <v>70</v>
      </c>
      <c r="E6" s="1051">
        <f>IF(B6="","",SUMIF(项目基本情况!D$12:I$12,C6,项目基本情况!D$13:I$13))</f>
        <v>64291</v>
      </c>
      <c r="F6" s="72">
        <f>SUMIF(项目基本情况!D$12:I$12,C6,项目基本情况!D$15:I$15)</f>
        <v>57</v>
      </c>
      <c r="G6" s="73">
        <f>IF(ISERROR(ROUND(POWER(1+H6,D6-F6)*(POWER(1+H6,F6)-1)/(POWER(1+H6,D6)-1),3)),0,ROUND(POWER(1+H6,D6-F6)*(POWER(1+H6,F6)-1)/(POWER(1+H6,D6)-1),3))</f>
        <v>0.96299999999999997</v>
      </c>
      <c r="H6" s="802">
        <v>4.4999999999999998E-2</v>
      </c>
      <c r="I6" s="802">
        <v>0.05</v>
      </c>
      <c r="J6" s="74">
        <v>8.5000000000000006E-2</v>
      </c>
      <c r="K6" s="1254">
        <f>SUMIF('数据-汇总表'!C$19:C$33,A6,'数据-汇总表'!E$19:E$33)</f>
        <v>263.10000000000002</v>
      </c>
      <c r="L6" s="803">
        <v>3500</v>
      </c>
      <c r="M6" s="75">
        <f t="shared" ref="M6:M14" si="0">ROUND(K6*L6/10000,0)</f>
        <v>92</v>
      </c>
      <c r="N6" s="801">
        <v>0.78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5</v>
      </c>
      <c r="V6" s="79">
        <v>2.5000000000000001E-2</v>
      </c>
      <c r="W6" s="79">
        <v>0.15</v>
      </c>
      <c r="X6" s="1264"/>
      <c r="Y6" s="80">
        <f>N6</f>
        <v>0.78</v>
      </c>
      <c r="Z6" s="81"/>
      <c r="AA6" s="74"/>
      <c r="AB6" s="74"/>
      <c r="AC6" s="1264"/>
      <c r="AD6" s="82"/>
      <c r="AE6" s="1265">
        <f ca="1">IF(AN6="",0,SUMIF(INDIRECT("'"&amp;AN6&amp;"'"&amp;"!E:E"),$AE$5,INDIRECT("'"&amp;AN6&amp;"'"&amp;"!F:F")))</f>
        <v>67</v>
      </c>
      <c r="AF6" s="1807"/>
      <c r="AG6" s="147">
        <f>IF(AF6="",0,AE6-AF6)</f>
        <v>0</v>
      </c>
      <c r="AH6" s="83"/>
      <c r="AI6" s="85">
        <v>365</v>
      </c>
      <c r="AJ6" s="86"/>
      <c r="AK6" s="87">
        <v>1.4999999999999999E-2</v>
      </c>
      <c r="AL6" s="88">
        <v>1.5E-3</v>
      </c>
      <c r="AM6" s="89">
        <v>0.01</v>
      </c>
      <c r="AN6" s="2312" t="s">
        <v>3101</v>
      </c>
      <c r="AO6" s="55">
        <f ca="1">SUMIF(INDIRECT("'"&amp;AN6&amp;"'"&amp;"!A:A"),"总价",INDIRECT("'"&amp;AN6&amp;"'"&amp;"!B:B"))</f>
        <v>998</v>
      </c>
      <c r="AP6" s="2313">
        <f>IF(C6="住宅",K6*L6,0)</f>
        <v>920850.00000000012</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2007</v>
      </c>
      <c r="B14" s="2310" t="s">
        <v>2008</v>
      </c>
      <c r="C14" s="2315"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2009</v>
      </c>
      <c r="B15" s="2310" t="s">
        <v>2008</v>
      </c>
      <c r="C15" s="2315"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2011</v>
      </c>
      <c r="B16" s="97"/>
      <c r="C16" s="1008"/>
      <c r="D16" s="2317"/>
      <c r="E16" s="97"/>
      <c r="F16" s="97"/>
      <c r="G16" s="98">
        <f>ROUND(SUMPRODUCT(G6:G13,K6:K13)/SUMPRODUCT((G6:G13&gt;0)*(K6:K13)),3)</f>
        <v>0.96299999999999997</v>
      </c>
      <c r="H16" s="99">
        <f>ROUND(SUMPRODUCT(H6:H13,K6:K13)/SUMPRODUCT((H6:H13&gt;0)*(K6:K13)),3)</f>
        <v>4.4999999999999998E-2</v>
      </c>
      <c r="I16" s="100"/>
      <c r="J16" s="100"/>
      <c r="K16" s="101">
        <f>SUM(K6:K15)</f>
        <v>263.10000000000002</v>
      </c>
      <c r="L16" s="102">
        <f>ROUND(M16*10000/SUM(K6:K14),0)</f>
        <v>3497</v>
      </c>
      <c r="M16" s="102">
        <f>SUM(M6:M14)</f>
        <v>92</v>
      </c>
      <c r="N16" s="103">
        <f>ROUND(SUMPRODUCT(M6:M14,N6:N14)/M16,3)</f>
        <v>0.78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2013</v>
      </c>
      <c r="B19" s="112">
        <v>0</v>
      </c>
      <c r="C19" s="2280" t="s">
        <v>2014</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2015</v>
      </c>
      <c r="B20" s="113">
        <v>2</v>
      </c>
      <c r="C20" s="2280" t="s">
        <v>2016</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2017</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2018</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2019</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2020</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2021</v>
      </c>
      <c r="B26" s="2323" t="s">
        <v>2022</v>
      </c>
      <c r="C26" s="2324" t="s">
        <v>2023</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2024</v>
      </c>
      <c r="B27" s="116">
        <v>160</v>
      </c>
      <c r="C27" s="1767" t="s">
        <v>2025</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2026</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2027</v>
      </c>
      <c r="B29" s="121"/>
      <c r="C29" s="1767" t="s">
        <v>2028</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2029</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2030</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2031</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2032</v>
      </c>
      <c r="B33" s="726">
        <v>0.03</v>
      </c>
      <c r="C33" s="1766" t="s">
        <v>2033</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2034</v>
      </c>
      <c r="B34" s="122">
        <v>0</v>
      </c>
      <c r="C34" s="1766" t="s">
        <v>2035</v>
      </c>
      <c r="D34" s="2281" t="s">
        <v>2036</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2037</v>
      </c>
      <c r="B35" s="119">
        <v>200</v>
      </c>
      <c r="C35" s="1766" t="s">
        <v>2038</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2039</v>
      </c>
      <c r="B36" s="123">
        <v>1.4999999999999999E-2</v>
      </c>
      <c r="C36" s="1766" t="s">
        <v>2040</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2041</v>
      </c>
      <c r="B37" s="124">
        <v>0.02</v>
      </c>
      <c r="C37" s="1766" t="s">
        <v>2042</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2043</v>
      </c>
      <c r="B38" s="122">
        <v>0.02</v>
      </c>
      <c r="C38" s="1766" t="s">
        <v>2042</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2044</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2045</v>
      </c>
      <c r="B40" s="1303">
        <f ca="1">存贷款利率!G1</f>
        <v>4.7500000000000001E-2</v>
      </c>
      <c r="C40" s="1766" t="s">
        <v>2046</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2047</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2048</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2049</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2050</v>
      </c>
      <c r="B44" s="128">
        <v>0.05</v>
      </c>
      <c r="C44" s="1766" t="s">
        <v>2051</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2052</v>
      </c>
      <c r="B45" s="126">
        <v>0.03</v>
      </c>
      <c r="C45" s="1767" t="s">
        <v>2053</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2054</v>
      </c>
      <c r="B46" s="126">
        <v>0.02</v>
      </c>
      <c r="C46" s="1767" t="s">
        <v>2055</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2056</v>
      </c>
      <c r="B47" s="129"/>
      <c r="C47" s="1767" t="s">
        <v>2057</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2058</v>
      </c>
      <c r="B48" s="130">
        <v>0.03</v>
      </c>
      <c r="C48" s="1774" t="s">
        <v>2059</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2060</v>
      </c>
      <c r="B49" s="126">
        <v>5.0000000000000001E-4</v>
      </c>
      <c r="C49" s="1774" t="s">
        <v>2061</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2062</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2063</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2064</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2065</v>
      </c>
      <c r="B53" s="2339" t="s">
        <v>269</v>
      </c>
      <c r="C53" s="1430" t="s">
        <v>2066</v>
      </c>
      <c r="D53" s="2340" t="s">
        <v>2067</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2068</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2069</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2070</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2071</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2072</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2073</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2074</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2075</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2076</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2077</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6" t="s">
        <v>2078</v>
      </c>
      <c r="B1" s="3057"/>
      <c r="C1" s="3057"/>
      <c r="D1" s="3057"/>
      <c r="E1" s="3057"/>
      <c r="F1" s="3057"/>
      <c r="G1" s="3057"/>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2079</v>
      </c>
      <c r="D2" s="2369"/>
      <c r="E2" s="2370"/>
      <c r="F2" s="2289"/>
      <c r="G2" s="2368" t="s">
        <v>2080</v>
      </c>
      <c r="H2" s="2371"/>
      <c r="I2" s="2371"/>
      <c r="J2" s="2371"/>
      <c r="K2" s="2371"/>
      <c r="L2" s="2371"/>
      <c r="M2" s="2371"/>
      <c r="N2" s="2371"/>
      <c r="O2" s="2371"/>
      <c r="P2" s="2371"/>
      <c r="Q2" s="2371"/>
      <c r="R2" s="2371"/>
    </row>
    <row r="3" spans="1:29" ht="54">
      <c r="A3" s="415" t="s">
        <v>2081</v>
      </c>
      <c r="B3" s="1271" t="s">
        <v>2082</v>
      </c>
      <c r="C3" s="2373" t="s">
        <v>2083</v>
      </c>
      <c r="D3" s="2374"/>
      <c r="E3" s="431" t="s">
        <v>2081</v>
      </c>
      <c r="F3" s="2375" t="s">
        <v>2084</v>
      </c>
      <c r="G3" s="2376" t="s">
        <v>2085</v>
      </c>
      <c r="H3" s="2371"/>
      <c r="I3" s="2371"/>
      <c r="J3" s="2371"/>
      <c r="K3" s="2371"/>
      <c r="L3" s="2371"/>
      <c r="M3" s="2371"/>
      <c r="N3" s="2371"/>
      <c r="O3" s="2371"/>
      <c r="P3" s="2371"/>
      <c r="Q3" s="2371"/>
      <c r="R3" s="2371"/>
    </row>
    <row r="4" spans="1:29" ht="41.25">
      <c r="A4" s="431"/>
      <c r="B4" s="1798" t="s">
        <v>2086</v>
      </c>
      <c r="C4" s="2377" t="s">
        <v>2087</v>
      </c>
      <c r="D4" s="2374"/>
      <c r="E4" s="2378"/>
      <c r="F4" s="42" t="s">
        <v>2088</v>
      </c>
      <c r="G4" s="2379" t="s">
        <v>2089</v>
      </c>
      <c r="H4" s="2371"/>
      <c r="I4" s="2371"/>
      <c r="J4" s="2371"/>
      <c r="K4" s="2371"/>
      <c r="L4" s="2371"/>
      <c r="M4" s="2371"/>
      <c r="N4" s="2371"/>
      <c r="O4" s="2371"/>
      <c r="P4" s="2371"/>
      <c r="Q4" s="2371"/>
      <c r="R4" s="2371"/>
    </row>
    <row r="5" spans="1:29" ht="41.25">
      <c r="A5" s="431"/>
      <c r="B5" s="1798" t="s">
        <v>2090</v>
      </c>
      <c r="C5" s="2377" t="s">
        <v>2091</v>
      </c>
      <c r="D5" s="2374"/>
      <c r="E5" s="2378"/>
      <c r="F5" s="1798" t="s">
        <v>2092</v>
      </c>
      <c r="G5" s="2379" t="s">
        <v>2093</v>
      </c>
      <c r="H5" s="2371"/>
      <c r="I5" s="2371"/>
      <c r="J5" s="2371"/>
      <c r="K5" s="2371"/>
      <c r="L5" s="2371"/>
      <c r="M5" s="2371"/>
      <c r="N5" s="2371"/>
      <c r="O5" s="2371"/>
      <c r="P5" s="2371"/>
      <c r="Q5" s="2371"/>
      <c r="R5" s="2371"/>
    </row>
    <row r="6" spans="1:29" ht="54">
      <c r="A6" s="431"/>
      <c r="B6" s="1798" t="s">
        <v>2094</v>
      </c>
      <c r="C6" s="2379" t="s">
        <v>2089</v>
      </c>
      <c r="D6" s="2374"/>
      <c r="E6" s="2378"/>
      <c r="F6" s="1798" t="s">
        <v>2095</v>
      </c>
      <c r="G6" s="2379" t="s">
        <v>2096</v>
      </c>
      <c r="H6" s="2371"/>
      <c r="I6" s="2371"/>
      <c r="J6" s="2371"/>
      <c r="K6" s="2371"/>
      <c r="L6" s="2371"/>
      <c r="M6" s="2371"/>
      <c r="N6" s="2371"/>
      <c r="O6" s="2371"/>
      <c r="P6" s="2371"/>
      <c r="Q6" s="2371"/>
      <c r="R6" s="2371"/>
    </row>
    <row r="7" spans="1:29" ht="41.25" thickBot="1">
      <c r="A7" s="431"/>
      <c r="B7" s="1798" t="s">
        <v>2092</v>
      </c>
      <c r="C7" s="2379" t="s">
        <v>2093</v>
      </c>
      <c r="D7" s="2380"/>
      <c r="E7" s="2381"/>
      <c r="F7" s="2382" t="s">
        <v>2097</v>
      </c>
      <c r="G7" s="2383" t="s">
        <v>2098</v>
      </c>
      <c r="H7" s="2371"/>
      <c r="I7" s="2371"/>
      <c r="J7" s="2371"/>
      <c r="K7" s="2371"/>
      <c r="L7" s="2371"/>
      <c r="M7" s="2371"/>
      <c r="N7" s="2371"/>
      <c r="O7" s="2371"/>
      <c r="P7" s="2371"/>
      <c r="Q7" s="2371"/>
      <c r="R7" s="2371"/>
    </row>
    <row r="8" spans="1:29" ht="27">
      <c r="A8" s="431"/>
      <c r="B8" s="1798" t="s">
        <v>2095</v>
      </c>
      <c r="C8" s="2379" t="s">
        <v>2096</v>
      </c>
      <c r="D8" s="2380"/>
      <c r="E8" s="2380"/>
      <c r="F8" s="1136"/>
      <c r="G8" s="1136"/>
      <c r="H8" s="2371"/>
      <c r="I8" s="2371"/>
      <c r="J8" s="2371"/>
      <c r="K8" s="2371"/>
      <c r="L8" s="2371"/>
      <c r="M8" s="2371"/>
      <c r="N8" s="2371"/>
      <c r="O8" s="2371"/>
      <c r="P8" s="2371"/>
      <c r="Q8" s="2371"/>
      <c r="R8" s="2371"/>
    </row>
    <row r="9" spans="1:29" ht="27">
      <c r="A9" s="431"/>
      <c r="B9" s="1798" t="s">
        <v>2099</v>
      </c>
      <c r="C9" s="2377" t="s">
        <v>2100</v>
      </c>
      <c r="D9" s="2374"/>
      <c r="E9" s="2380"/>
      <c r="F9" s="1136"/>
      <c r="G9" s="1136"/>
      <c r="H9" s="2371"/>
      <c r="I9" s="2371"/>
      <c r="J9" s="2371"/>
      <c r="K9" s="2371"/>
      <c r="L9" s="2371"/>
      <c r="M9" s="2371"/>
      <c r="N9" s="2371"/>
      <c r="O9" s="2371"/>
      <c r="P9" s="2371"/>
      <c r="Q9" s="2371"/>
      <c r="R9" s="2371"/>
    </row>
    <row r="10" spans="1:29" s="117" customFormat="1" ht="15.75" thickBot="1">
      <c r="A10" s="2384"/>
      <c r="B10" s="2385" t="s">
        <v>2101</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0" t="s">
        <v>2082</v>
      </c>
      <c r="C15" s="2406" t="str">
        <f>C3</f>
        <v>估价对象周边居住用地比例、居住小区规模和社区发展完善程度，综合评价居住社区成熟度一般</v>
      </c>
      <c r="D15" s="2374"/>
      <c r="E15" s="2407" t="s">
        <v>2106</v>
      </c>
      <c r="F15" s="1270" t="s">
        <v>2107</v>
      </c>
      <c r="G15" s="135" t="str">
        <f>G3</f>
        <v>估价对象位于XX开发区，园区建设成熟度XX，产业集聚程度XX</v>
      </c>
    </row>
    <row r="16" spans="1:29" ht="42.75">
      <c r="A16" s="645"/>
      <c r="B16" s="2408" t="s">
        <v>2086</v>
      </c>
      <c r="C16" s="2409" t="str">
        <f>C4</f>
        <v>估价对象位于XX商圈，周边商业氛围成熟，人流量大，商业繁华度好</v>
      </c>
      <c r="D16" s="2374"/>
      <c r="E16" s="2410"/>
      <c r="F16" s="2411" t="s">
        <v>2088</v>
      </c>
      <c r="G16" s="136" t="str">
        <f>G4</f>
        <v>估价对象周边道路状况、公共交通通达情况、停车便捷程度，综合评价交通便捷度较好</v>
      </c>
    </row>
    <row r="17" spans="1:18" ht="42.75">
      <c r="A17" s="645"/>
      <c r="B17" s="2408" t="s">
        <v>2090</v>
      </c>
      <c r="C17" s="2409" t="str">
        <f>C5</f>
        <v>估价对象位于XX商圈，周边办公楼项目较多，入驻率高，办公集聚程度较好</v>
      </c>
      <c r="D17" s="2380"/>
      <c r="E17" s="2410"/>
      <c r="F17" s="2411" t="s">
        <v>2108</v>
      </c>
      <c r="G17" s="1572"/>
    </row>
    <row r="18" spans="1:18" ht="57">
      <c r="A18" s="645"/>
      <c r="B18" s="2411" t="s">
        <v>2094</v>
      </c>
      <c r="C18" s="136" t="str">
        <f>C6</f>
        <v>估价对象周边道路状况、公共交通通达情况、停车便捷程度，综合评价交通便捷度较好</v>
      </c>
      <c r="D18" s="2380"/>
      <c r="E18" s="2410"/>
      <c r="F18" s="2411" t="s">
        <v>2097</v>
      </c>
      <c r="G18" s="136" t="str">
        <f>G7</f>
        <v>该园区内是否有污染型企业，绿化情况，卫生条件，整体环境状况判断</v>
      </c>
    </row>
    <row r="19" spans="1:18" ht="28.5">
      <c r="A19" s="645"/>
      <c r="B19" s="2411" t="s">
        <v>2109</v>
      </c>
      <c r="C19" s="1572"/>
      <c r="D19" s="2374"/>
      <c r="E19" s="2410"/>
      <c r="F19" s="1798" t="s">
        <v>2092</v>
      </c>
      <c r="G19" s="136" t="str">
        <f>G5</f>
        <v>估价对象所在区域公共配套设施齐备情况</v>
      </c>
    </row>
    <row r="20" spans="1:18" ht="28.5">
      <c r="A20" s="645"/>
      <c r="B20" s="2411" t="s">
        <v>2110</v>
      </c>
      <c r="C20" s="2409" t="str">
        <f>C9</f>
        <v>区域自然环境：；人文环境；综合评价环境状况一般</v>
      </c>
      <c r="D20" s="2380"/>
      <c r="E20" s="2410"/>
      <c r="F20" s="1798" t="s">
        <v>2111</v>
      </c>
      <c r="G20" s="136" t="str">
        <f>G6</f>
        <v>估价对象所在区域基础设施水平</v>
      </c>
    </row>
    <row r="21" spans="1:18" ht="28.5">
      <c r="A21" s="645"/>
      <c r="B21" s="1798" t="s">
        <v>2092</v>
      </c>
      <c r="C21" s="136" t="str">
        <f>C7</f>
        <v>估价对象所在区域公共配套设施齐备情况</v>
      </c>
      <c r="D21" s="2374"/>
      <c r="E21" s="2410"/>
      <c r="F21" s="2411" t="s">
        <v>2112</v>
      </c>
      <c r="G21" s="2412"/>
    </row>
    <row r="22" spans="1:18" ht="13.5" customHeight="1">
      <c r="A22" s="645"/>
      <c r="B22" s="1798" t="s">
        <v>2095</v>
      </c>
      <c r="C22" s="136" t="str">
        <f>C8</f>
        <v>估价对象所在区域基础设施水平</v>
      </c>
      <c r="D22" s="2374"/>
      <c r="E22" s="2410"/>
      <c r="F22" s="2411" t="s">
        <v>2101</v>
      </c>
      <c r="G22" s="1572"/>
    </row>
    <row r="23" spans="1:18" s="2371" customFormat="1" ht="15.75" thickBot="1">
      <c r="A23" s="645"/>
      <c r="B23" s="2411" t="s">
        <v>2112</v>
      </c>
      <c r="C23" s="2412"/>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263.10000000000002</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43483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2385</v>
      </c>
      <c r="C5" s="1746">
        <f ca="1">ROUND(B5*10000/$B$1,0)</f>
        <v>90650</v>
      </c>
      <c r="D5" s="1746" t="e">
        <f ca="1">ROUND(B5*10000/$B$2,0)</f>
        <v>#DIV/0!</v>
      </c>
      <c r="E5" s="1745"/>
      <c r="F5" s="1743"/>
      <c r="G5" s="1743"/>
    </row>
    <row r="6" spans="1:10" ht="16.5">
      <c r="A6" s="1746" t="s">
        <v>1352</v>
      </c>
      <c r="B6" s="1746">
        <f ca="1">SUM(G14:G23)</f>
        <v>2385</v>
      </c>
      <c r="C6" s="1746">
        <f ca="1">ROUND(B6*10000/$B$1,0)</f>
        <v>90650</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263.10000000000002</v>
      </c>
      <c r="C14" s="1744">
        <f>结果表!C118</f>
        <v>0</v>
      </c>
      <c r="D14" s="1744">
        <f ca="1">结果表!H118</f>
        <v>2385</v>
      </c>
      <c r="E14" s="1744">
        <f ca="1">ROUND(D14*10000/B14,0)</f>
        <v>90650</v>
      </c>
      <c r="F14" s="1744" t="e">
        <f ca="1">ROUND(D14*10000/C14,0)</f>
        <v>#DIV/0!</v>
      </c>
      <c r="G14" s="1744">
        <f ca="1">结果表!D122</f>
        <v>2385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2115</v>
      </c>
      <c r="B1" s="2422"/>
      <c r="C1" s="2423"/>
      <c r="D1" s="2422"/>
      <c r="E1" s="2422"/>
      <c r="F1" s="2424" t="s">
        <v>2116</v>
      </c>
      <c r="G1" s="2074" t="s">
        <v>3104</v>
      </c>
      <c r="H1" s="2425" t="str">
        <f>IF(G1="现房","——","估价对象范围")</f>
        <v>——</v>
      </c>
      <c r="I1" s="2426"/>
    </row>
    <row r="2" spans="1:12" ht="21.75" customHeight="1" thickBot="1">
      <c r="A2" s="3091" t="str">
        <f>项目基本情况!S2</f>
        <v>房地产</v>
      </c>
      <c r="B2" s="3092"/>
      <c r="C2" s="3092"/>
      <c r="D2" s="3092"/>
      <c r="E2" s="3092"/>
      <c r="F2" s="3092"/>
      <c r="G2" s="3092"/>
      <c r="H2" s="3092"/>
      <c r="I2" s="3093"/>
    </row>
    <row r="3" spans="1:12" ht="12.75">
      <c r="A3" s="3095" t="s">
        <v>2117</v>
      </c>
      <c r="B3" s="3096"/>
      <c r="C3" s="3096"/>
      <c r="D3" s="3096"/>
      <c r="E3" s="3096"/>
      <c r="F3" s="3096"/>
      <c r="G3" s="3096"/>
      <c r="H3" s="3096"/>
      <c r="I3" s="3096"/>
    </row>
    <row r="4" spans="1:12" ht="14.25">
      <c r="A4" s="2429" t="s">
        <v>2118</v>
      </c>
      <c r="B4" s="2430" t="s">
        <v>2119</v>
      </c>
      <c r="C4" s="2431" t="s">
        <v>3110</v>
      </c>
      <c r="D4" s="2431" t="s">
        <v>3142</v>
      </c>
      <c r="E4" s="3088" t="s">
        <v>2120</v>
      </c>
      <c r="F4" s="3089"/>
      <c r="G4" s="3089"/>
      <c r="H4" s="3089"/>
      <c r="I4" s="3097"/>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成本法</v>
      </c>
    </row>
    <row r="5" spans="1:12" ht="12.75">
      <c r="A5" s="3071" t="s">
        <v>2121</v>
      </c>
      <c r="B5" s="3009">
        <v>25</v>
      </c>
      <c r="C5" s="3074"/>
      <c r="D5" s="3094"/>
      <c r="E5" s="140" t="s">
        <v>2122</v>
      </c>
      <c r="F5" s="2433"/>
      <c r="G5" s="2433"/>
      <c r="H5" s="2433"/>
      <c r="I5" s="1834"/>
    </row>
    <row r="6" spans="1:12" ht="12.75">
      <c r="A6" s="3071"/>
      <c r="B6" s="3009"/>
      <c r="C6" s="3075"/>
      <c r="D6" s="3094"/>
      <c r="E6" s="140" t="s">
        <v>2123</v>
      </c>
      <c r="F6" s="2433"/>
      <c r="G6" s="2433"/>
      <c r="H6" s="2433"/>
      <c r="I6" s="1834"/>
    </row>
    <row r="7" spans="1:12" ht="12.75">
      <c r="A7" s="3071"/>
      <c r="B7" s="3009"/>
      <c r="C7" s="3076"/>
      <c r="D7" s="3094"/>
      <c r="E7" s="140" t="s">
        <v>2124</v>
      </c>
      <c r="F7" s="2433"/>
      <c r="G7" s="2433"/>
      <c r="H7" s="2433"/>
      <c r="I7" s="1834"/>
    </row>
    <row r="8" spans="1:12" ht="12.75">
      <c r="A8" s="3071" t="s">
        <v>2125</v>
      </c>
      <c r="B8" s="3009">
        <v>15</v>
      </c>
      <c r="C8" s="3074"/>
      <c r="D8" s="3094"/>
      <c r="E8" s="140" t="s">
        <v>2126</v>
      </c>
      <c r="F8" s="2433"/>
      <c r="G8" s="2433"/>
      <c r="H8" s="2433"/>
      <c r="I8" s="1834"/>
    </row>
    <row r="9" spans="1:12" ht="12.75">
      <c r="A9" s="3071"/>
      <c r="B9" s="3009"/>
      <c r="C9" s="3076"/>
      <c r="D9" s="3094"/>
      <c r="E9" s="140" t="s">
        <v>2127</v>
      </c>
      <c r="F9" s="2433"/>
      <c r="G9" s="2433"/>
      <c r="H9" s="2433"/>
      <c r="I9" s="1834"/>
    </row>
    <row r="10" spans="1:12" ht="12.75">
      <c r="A10" s="3071" t="s">
        <v>2128</v>
      </c>
      <c r="B10" s="3009">
        <v>15</v>
      </c>
      <c r="C10" s="3074"/>
      <c r="D10" s="3094"/>
      <c r="E10" s="140" t="s">
        <v>2129</v>
      </c>
      <c r="F10" s="2433"/>
      <c r="G10" s="2433"/>
      <c r="H10" s="2433"/>
      <c r="I10" s="1834"/>
    </row>
    <row r="11" spans="1:12" ht="12.75">
      <c r="A11" s="3071"/>
      <c r="B11" s="3009"/>
      <c r="C11" s="3076"/>
      <c r="D11" s="3094"/>
      <c r="E11" s="140" t="s">
        <v>2130</v>
      </c>
      <c r="F11" s="2433"/>
      <c r="G11" s="2433"/>
      <c r="H11" s="2433"/>
      <c r="I11" s="1834"/>
    </row>
    <row r="12" spans="1:12" ht="12.75">
      <c r="A12" s="3071" t="s">
        <v>2131</v>
      </c>
      <c r="B12" s="3009">
        <v>15</v>
      </c>
      <c r="C12" s="3074"/>
      <c r="D12" s="3094"/>
      <c r="E12" s="140" t="s">
        <v>2132</v>
      </c>
      <c r="F12" s="2433"/>
      <c r="G12" s="2433"/>
      <c r="H12" s="2433"/>
      <c r="I12" s="1834"/>
    </row>
    <row r="13" spans="1:12" ht="12.75">
      <c r="A13" s="3071"/>
      <c r="B13" s="3009"/>
      <c r="C13" s="3076"/>
      <c r="D13" s="3094"/>
      <c r="E13" s="140" t="s">
        <v>2133</v>
      </c>
      <c r="F13" s="2433"/>
      <c r="G13" s="2433"/>
      <c r="H13" s="2433"/>
      <c r="I13" s="1834"/>
    </row>
    <row r="14" spans="1:12" ht="12.75">
      <c r="A14" s="3071" t="s">
        <v>2134</v>
      </c>
      <c r="B14" s="3009">
        <v>30</v>
      </c>
      <c r="C14" s="3074">
        <v>5</v>
      </c>
      <c r="D14" s="3094">
        <v>5</v>
      </c>
      <c r="E14" s="140" t="s">
        <v>2135</v>
      </c>
      <c r="F14" s="2433"/>
      <c r="G14" s="2433"/>
      <c r="H14" s="2433"/>
      <c r="I14" s="1834"/>
    </row>
    <row r="15" spans="1:12" ht="12.75">
      <c r="A15" s="3071"/>
      <c r="B15" s="3009"/>
      <c r="C15" s="3075"/>
      <c r="D15" s="3094"/>
      <c r="E15" s="140" t="s">
        <v>2136</v>
      </c>
      <c r="F15" s="2433"/>
      <c r="G15" s="2433"/>
      <c r="H15" s="2433"/>
      <c r="I15" s="1834"/>
    </row>
    <row r="16" spans="1:12" ht="12.75">
      <c r="A16" s="3071"/>
      <c r="B16" s="3009"/>
      <c r="C16" s="3076"/>
      <c r="D16" s="3094"/>
      <c r="E16" s="140" t="s">
        <v>2137</v>
      </c>
      <c r="F16" s="2433"/>
      <c r="G16" s="2433"/>
      <c r="H16" s="2433"/>
      <c r="I16" s="1834"/>
    </row>
    <row r="17" spans="1:35" ht="15">
      <c r="A17" s="2434" t="s">
        <v>2138</v>
      </c>
      <c r="B17" s="64"/>
      <c r="C17" s="141">
        <f>SUM(C5:C16)</f>
        <v>5</v>
      </c>
      <c r="D17" s="141">
        <f>SUM(D5:D16)</f>
        <v>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263.10000000000002</v>
      </c>
      <c r="M18" s="2432">
        <f>IF(C1="",'数据-汇总表'!E3,SUMIF(项目类型,C1,'数据-汇总表'!E17:E26))</f>
        <v>263.10000000000002</v>
      </c>
    </row>
    <row r="19" spans="1:35" ht="15">
      <c r="A19" s="2438" t="s">
        <v>2143</v>
      </c>
      <c r="B19" s="2439" t="s">
        <v>2144</v>
      </c>
      <c r="C19" s="143">
        <f ca="1">SUMIF(INDIRECT("'"&amp;C4&amp;"'"&amp;"!A:A"),结果表!B19,INDIRECT("'"&amp;C4&amp;"'"&amp;"!B:B"))</f>
        <v>2639</v>
      </c>
      <c r="D19" s="144">
        <f ca="1">SUMIF(INDIRECT("'"&amp;D4&amp;"'"&amp;"!A:A"),结果表!B19,INDIRECT("'"&amp;D4&amp;"'"&amp;"!B:B"))</f>
        <v>2131</v>
      </c>
      <c r="E19" s="2438" t="s">
        <v>2145</v>
      </c>
      <c r="F19" s="2439" t="s">
        <v>2144</v>
      </c>
      <c r="G19" s="145">
        <f ca="1">ROUND(C19*$C$18+D19*$D$18,0)</f>
        <v>2385</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0" t="s">
        <v>2148</v>
      </c>
      <c r="C20" s="146">
        <f ca="1">SUMIF(INDIRECT("'"&amp;C4&amp;"'"&amp;"!A:A"),结果表!B20,INDIRECT("'"&amp;C4&amp;"'"&amp;"!B:B"))</f>
        <v>100286</v>
      </c>
      <c r="D20" s="147">
        <f ca="1">SUMIF(INDIRECT("'"&amp;D4&amp;"'"&amp;"!A:A"),结果表!B20,INDIRECT("'"&amp;D4&amp;"'"&amp;"!B:B"))</f>
        <v>80996</v>
      </c>
      <c r="E20" s="2441"/>
      <c r="F20" s="1250" t="s">
        <v>2148</v>
      </c>
      <c r="G20" s="148">
        <f ca="1">ROUND(C20*$C$18+D20*$D$18,0)</f>
        <v>90641</v>
      </c>
      <c r="H20" s="983" t="s">
        <v>2149</v>
      </c>
      <c r="I20" s="138"/>
    </row>
    <row r="21" spans="1:35" ht="15" customHeight="1" thickBot="1">
      <c r="A21" s="1003"/>
      <c r="B21" s="2442" t="s">
        <v>2150</v>
      </c>
      <c r="C21" s="789" t="e">
        <f ca="1">ROUND(C19*10000/L19,0)</f>
        <v>#DIV/0!</v>
      </c>
      <c r="D21" s="790" t="e">
        <f ca="1">ROUND(D19*10000/L19,0)</f>
        <v>#DIV/0!</v>
      </c>
      <c r="E21" s="1003"/>
      <c r="F21" s="2442" t="s">
        <v>2150</v>
      </c>
      <c r="G21" s="149" t="e">
        <f ca="1">ROUND(G19*10000/L19,0)</f>
        <v>#DIV/0!</v>
      </c>
      <c r="H21" s="2443" t="s">
        <v>2149</v>
      </c>
      <c r="I21" s="138"/>
    </row>
    <row r="22" spans="1:35" ht="15" thickBot="1">
      <c r="A22" s="2284" t="s">
        <v>2151</v>
      </c>
      <c r="B22" s="2444"/>
      <c r="C22" s="2445"/>
      <c r="D22" s="791">
        <f ca="1">IF(C19&lt;D19,D19/C19-1,C19/D19-1)</f>
        <v>0.23838573439699662</v>
      </c>
      <c r="E22" s="138"/>
      <c r="F22" s="138"/>
      <c r="G22" s="138"/>
      <c r="H22" s="138"/>
      <c r="I22" s="138"/>
    </row>
    <row r="23" spans="1:35" ht="13.5" thickBot="1">
      <c r="A23" s="2422"/>
      <c r="B23" s="2422"/>
      <c r="C23" s="2422"/>
      <c r="D23" s="2422"/>
      <c r="E23" s="138"/>
      <c r="F23" s="138"/>
      <c r="G23" s="138"/>
      <c r="H23" s="138"/>
      <c r="I23" s="138"/>
    </row>
    <row r="24" spans="1:35" ht="14.25">
      <c r="A24" s="3065" t="s">
        <v>2152</v>
      </c>
      <c r="B24" s="2439" t="s">
        <v>2144</v>
      </c>
      <c r="C24" s="145">
        <f>IF(B30=0,0,D30)</f>
        <v>0</v>
      </c>
      <c r="D24" s="2446"/>
      <c r="E24" s="138"/>
      <c r="F24" s="138"/>
      <c r="G24" s="138"/>
      <c r="H24" s="138"/>
      <c r="I24" s="138"/>
    </row>
    <row r="25" spans="1:35" ht="14.25">
      <c r="A25" s="3066"/>
      <c r="B25" s="1250"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2157</v>
      </c>
      <c r="B30" s="151"/>
      <c r="C30" s="151"/>
      <c r="D30" s="151"/>
      <c r="E30" s="2929"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2158</v>
      </c>
      <c r="B32" s="2452"/>
      <c r="C32" s="153">
        <f ca="1">IF(D32="总价",G19-C24,G20-C25)</f>
        <v>2385</v>
      </c>
      <c r="D32" s="2453" t="s">
        <v>2159</v>
      </c>
      <c r="E32" s="138"/>
      <c r="F32" s="138"/>
      <c r="G32" s="138"/>
      <c r="H32" s="138"/>
      <c r="I32" s="138"/>
    </row>
    <row r="33" spans="1:15" ht="15">
      <c r="A33" s="960" t="s">
        <v>2160</v>
      </c>
      <c r="B33" s="2454"/>
      <c r="C33" s="2455"/>
      <c r="D33" s="2456"/>
      <c r="E33" s="2457" t="s">
        <v>2161</v>
      </c>
      <c r="F33" s="2458" t="str">
        <f>IF(D32="楼面单价","取值（单价）","取值（总价）")</f>
        <v>取值（总价）</v>
      </c>
      <c r="G33" s="138"/>
      <c r="H33" s="138"/>
      <c r="I33" s="138"/>
    </row>
    <row r="34" spans="1:15" ht="15">
      <c r="A34" s="2459"/>
      <c r="B34" s="2460"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2163</v>
      </c>
      <c r="F34" s="1739"/>
      <c r="G34" s="138"/>
      <c r="H34" s="138"/>
      <c r="I34" s="138"/>
    </row>
    <row r="35" spans="1:15" ht="15.75" thickBot="1">
      <c r="A35" s="2462"/>
      <c r="B35" s="2463"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2165</v>
      </c>
      <c r="F35" s="163"/>
      <c r="G35" s="138"/>
      <c r="H35" s="138"/>
      <c r="I35" s="138"/>
    </row>
    <row r="36" spans="1:15" ht="15.75" thickBot="1">
      <c r="A36" s="3083" t="s">
        <v>2166</v>
      </c>
      <c r="B36" s="2465" t="s">
        <v>2167</v>
      </c>
      <c r="C36" s="154"/>
      <c r="D36" s="2466"/>
      <c r="E36" s="2467"/>
      <c r="F36" s="2468"/>
      <c r="G36" s="138"/>
      <c r="H36" s="138"/>
      <c r="I36" s="138"/>
    </row>
    <row r="37" spans="1:15" ht="15.75" thickBot="1">
      <c r="A37" s="3084"/>
      <c r="B37" s="2270" t="s">
        <v>2168</v>
      </c>
      <c r="C37" s="156"/>
      <c r="D37" s="1395"/>
      <c r="E37" s="1395"/>
      <c r="F37" s="2468"/>
      <c r="G37" s="138"/>
      <c r="H37" s="138"/>
      <c r="I37" s="138"/>
    </row>
    <row r="38" spans="1:15" ht="15.75" thickBot="1">
      <c r="A38" s="3085"/>
      <c r="B38" s="2469" t="s">
        <v>2169</v>
      </c>
      <c r="C38" s="727"/>
      <c r="D38" s="2470" t="s">
        <v>2170</v>
      </c>
      <c r="E38" s="1395"/>
      <c r="F38" s="2468"/>
      <c r="G38" s="138"/>
      <c r="H38" s="138"/>
      <c r="I38" s="138"/>
    </row>
    <row r="39" spans="1:15" ht="15">
      <c r="A39" s="2441" t="s">
        <v>2171</v>
      </c>
      <c r="B39" s="2471" t="s">
        <v>2172</v>
      </c>
      <c r="C39" s="2472" t="s">
        <v>2173</v>
      </c>
      <c r="D39" s="2472" t="s">
        <v>2174</v>
      </c>
      <c r="E39" s="2473" t="s">
        <v>2175</v>
      </c>
      <c r="F39" s="2468"/>
      <c r="G39" s="138"/>
      <c r="H39" s="138"/>
      <c r="I39" s="138"/>
    </row>
    <row r="40" spans="1:15" ht="14.25">
      <c r="A40" s="2474" t="s">
        <v>2176</v>
      </c>
      <c r="B40" s="158"/>
      <c r="C40" s="159"/>
      <c r="D40" s="159"/>
      <c r="E40" s="160"/>
      <c r="F40" s="2468"/>
      <c r="G40" s="138"/>
      <c r="H40" s="138"/>
      <c r="I40" s="138"/>
    </row>
    <row r="41" spans="1:15" ht="14.25">
      <c r="A41" s="2474" t="s">
        <v>2177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2178</v>
      </c>
      <c r="B44" s="2479"/>
      <c r="C44" s="2479"/>
      <c r="D44" s="2480"/>
      <c r="E44" s="2480"/>
      <c r="F44" s="2481"/>
      <c r="G44" s="2481"/>
      <c r="H44" s="2481"/>
      <c r="I44" s="2481"/>
      <c r="J44" s="2482" t="s">
        <v>2179</v>
      </c>
      <c r="K44" s="2483"/>
      <c r="L44" s="2483"/>
      <c r="M44" s="2483"/>
      <c r="N44" s="2483"/>
      <c r="O44" s="2483"/>
    </row>
    <row r="45" spans="1:15" ht="14.25" customHeight="1" thickBot="1">
      <c r="A45" s="3062" t="s">
        <v>2180</v>
      </c>
      <c r="B45" s="3063"/>
      <c r="C45" s="3064"/>
      <c r="D45" s="164">
        <f ca="1">ROUND(H101*F45,0)</f>
        <v>2385</v>
      </c>
      <c r="E45" s="165" t="s">
        <v>2181</v>
      </c>
      <c r="F45" s="166">
        <v>1</v>
      </c>
      <c r="G45" s="167" t="s">
        <v>2182</v>
      </c>
      <c r="H45" s="138"/>
      <c r="I45" s="138"/>
      <c r="J45" s="3122" t="s">
        <v>2183</v>
      </c>
      <c r="K45" s="3122"/>
      <c r="L45" s="3122"/>
      <c r="M45" s="3122"/>
      <c r="N45" s="3122"/>
      <c r="O45" s="3122"/>
    </row>
    <row r="46" spans="1:15" ht="14.25" customHeight="1">
      <c r="A46" s="3059" t="s">
        <v>2184</v>
      </c>
      <c r="B46" s="3060"/>
      <c r="C46" s="3060"/>
      <c r="D46" s="3060"/>
      <c r="E46" s="3060"/>
      <c r="F46" s="3060"/>
      <c r="G46" s="3061"/>
      <c r="H46" s="2484"/>
      <c r="I46" s="168"/>
      <c r="J46" s="1812">
        <v>1</v>
      </c>
      <c r="K46" s="3122" t="s">
        <v>2185</v>
      </c>
      <c r="L46" s="3122"/>
      <c r="M46" s="3142"/>
      <c r="N46" s="3142"/>
      <c r="O46" s="3142"/>
    </row>
    <row r="47" spans="1:15" ht="12" customHeight="1">
      <c r="A47" s="169" t="s">
        <v>2186</v>
      </c>
      <c r="B47" s="170"/>
      <c r="C47" s="171"/>
      <c r="D47" s="172" t="s">
        <v>2187</v>
      </c>
      <c r="E47" s="24" t="s">
        <v>2188</v>
      </c>
      <c r="F47" s="173" t="s">
        <v>2189</v>
      </c>
      <c r="G47" s="174" t="s">
        <v>2190</v>
      </c>
      <c r="H47" s="2484"/>
      <c r="I47" s="168"/>
      <c r="J47" s="1812">
        <v>2</v>
      </c>
      <c r="K47" s="3122" t="s">
        <v>2191</v>
      </c>
      <c r="L47" s="3122"/>
      <c r="M47" s="3143">
        <f>'数据-取费表'!B2</f>
        <v>43483</v>
      </c>
      <c r="N47" s="3143"/>
      <c r="O47" s="3143"/>
    </row>
    <row r="48" spans="1:15" ht="25.5">
      <c r="A48" s="3090" t="s">
        <v>2192</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5" t="s">
        <v>2193</v>
      </c>
      <c r="H48" s="2486" t="s">
        <v>2194</v>
      </c>
      <c r="I48" s="2484"/>
      <c r="J48" s="1812">
        <v>3</v>
      </c>
      <c r="K48" s="3122" t="s">
        <v>2195</v>
      </c>
      <c r="L48" s="3122"/>
      <c r="M48" s="3144">
        <f ca="1">H101</f>
        <v>2385</v>
      </c>
      <c r="N48" s="3144"/>
      <c r="O48" s="3144"/>
    </row>
    <row r="49" spans="1:35" ht="25.5" customHeight="1">
      <c r="A49" s="176" t="s">
        <v>2196</v>
      </c>
      <c r="B49" s="3058" t="s">
        <v>2197</v>
      </c>
      <c r="C49" s="3058"/>
      <c r="D49" s="177">
        <v>0</v>
      </c>
      <c r="E49" s="23" t="s">
        <v>2198</v>
      </c>
      <c r="F49" s="28" t="s">
        <v>34</v>
      </c>
      <c r="G49" s="3128"/>
      <c r="H49" s="138"/>
      <c r="I49" s="2487"/>
      <c r="J49" s="1812">
        <v>4</v>
      </c>
      <c r="K49" s="3122" t="str">
        <f>IF(项目基本情况!E8="房地产抵押价值","房地产抵押价值","抵押担保权已注销时的房地产抵押价值")</f>
        <v>抵押担保权已注销时的房地产抵押价值</v>
      </c>
      <c r="L49" s="3122"/>
      <c r="M49" s="3144" t="str">
        <f>IF(项目基本情况!E8="房地产抵押价值",H107,H109)</f>
        <v>——</v>
      </c>
      <c r="N49" s="3144"/>
      <c r="O49" s="3144"/>
    </row>
    <row r="50" spans="1:35" ht="25.5" customHeight="1">
      <c r="A50" s="178"/>
      <c r="B50" s="3058" t="s">
        <v>2199</v>
      </c>
      <c r="C50" s="3058"/>
      <c r="D50" s="179"/>
      <c r="E50" s="31"/>
      <c r="F50" s="180"/>
      <c r="G50" s="3129"/>
      <c r="H50" s="138"/>
      <c r="I50" s="2487"/>
      <c r="J50" s="3122" t="s">
        <v>2200</v>
      </c>
      <c r="K50" s="3122"/>
      <c r="L50" s="3122"/>
      <c r="M50" s="3122"/>
      <c r="N50" s="3122"/>
      <c r="O50" s="3122"/>
    </row>
    <row r="51" spans="1:35" ht="12" customHeight="1">
      <c r="A51" s="181"/>
      <c r="B51" s="3058" t="s">
        <v>2201</v>
      </c>
      <c r="C51" s="3058"/>
      <c r="D51" s="182"/>
      <c r="E51" s="30"/>
      <c r="F51" s="180"/>
      <c r="G51" s="3130"/>
      <c r="H51" s="138"/>
      <c r="I51" s="2487"/>
      <c r="J51" s="2488" t="s">
        <v>2202</v>
      </c>
      <c r="K51" s="3122" t="s">
        <v>2203</v>
      </c>
      <c r="L51" s="3122"/>
      <c r="M51" s="2488" t="s">
        <v>2204</v>
      </c>
      <c r="N51" s="2488" t="s">
        <v>2205</v>
      </c>
      <c r="O51" s="2488" t="s">
        <v>2206</v>
      </c>
    </row>
    <row r="52" spans="1:35" ht="24" customHeight="1">
      <c r="A52" s="183" t="s">
        <v>2207</v>
      </c>
      <c r="B52" s="3058" t="s">
        <v>2208</v>
      </c>
      <c r="C52" s="3058"/>
      <c r="D52" s="182">
        <f ca="1">ROUND(D45*'数据-取费表'!B41/(1+'数据-取费表'!C42),0)</f>
        <v>125</v>
      </c>
      <c r="E52" s="11" t="s">
        <v>2209</v>
      </c>
      <c r="F52" s="184">
        <f>'数据-取费表'!B41</f>
        <v>5.5000000000000007E-2</v>
      </c>
      <c r="G52" s="2489"/>
      <c r="H52" s="138"/>
      <c r="I52" s="2487"/>
      <c r="J52" s="1812">
        <v>1</v>
      </c>
      <c r="K52" s="3123" t="s">
        <v>2210</v>
      </c>
      <c r="L52" s="3123"/>
      <c r="M52" s="1754">
        <f>D48</f>
        <v>0</v>
      </c>
      <c r="N52" s="1812" t="str">
        <f>E48</f>
        <v>销售额×税（费）率</v>
      </c>
      <c r="O52" s="1755" t="str">
        <f>F48</f>
        <v>免征</v>
      </c>
    </row>
    <row r="53" spans="1:35" ht="12" customHeight="1">
      <c r="A53" s="183" t="s">
        <v>2211</v>
      </c>
      <c r="B53" s="3081" t="s">
        <v>2212</v>
      </c>
      <c r="C53" s="3082"/>
      <c r="D53" s="182">
        <f ca="1">ROUND(D45*'数据-取费表'!B41/(1+'数据-取费表'!C42),0)</f>
        <v>125</v>
      </c>
      <c r="E53" s="11" t="s">
        <v>2209</v>
      </c>
      <c r="F53" s="184">
        <f>'数据-取费表'!B41</f>
        <v>5.5000000000000007E-2</v>
      </c>
      <c r="G53" s="2489"/>
      <c r="H53" s="138"/>
      <c r="I53" s="2487"/>
      <c r="J53" s="1812">
        <v>2</v>
      </c>
      <c r="K53" s="3123" t="s">
        <v>2213</v>
      </c>
      <c r="L53" s="3123"/>
      <c r="M53" s="1754">
        <f t="shared" ref="M53:O54" ca="1" si="0">D55</f>
        <v>1</v>
      </c>
      <c r="N53" s="1812" t="str">
        <f t="shared" si="0"/>
        <v>销售额×税（费）率</v>
      </c>
      <c r="O53" s="1755">
        <f t="shared" si="0"/>
        <v>5.0000000000000001E-4</v>
      </c>
    </row>
    <row r="54" spans="1:35" ht="12" customHeight="1">
      <c r="A54" s="183" t="s">
        <v>2214</v>
      </c>
      <c r="B54" s="3081" t="s">
        <v>2215</v>
      </c>
      <c r="C54" s="3082"/>
      <c r="D54" s="182">
        <f ca="1">C68</f>
        <v>125</v>
      </c>
      <c r="E54" s="30" t="s">
        <v>2216</v>
      </c>
      <c r="F54" s="184">
        <f>'数据-取费表'!B41</f>
        <v>5.5000000000000007E-2</v>
      </c>
      <c r="G54" s="2489"/>
      <c r="H54" s="2490"/>
      <c r="I54" s="2487"/>
      <c r="J54" s="1812">
        <v>3</v>
      </c>
      <c r="K54" s="3123" t="s">
        <v>2217</v>
      </c>
      <c r="L54" s="3123"/>
      <c r="M54" s="1754">
        <f t="shared" ca="1" si="0"/>
        <v>1352</v>
      </c>
      <c r="N54" s="1812" t="str">
        <f t="shared" si="0"/>
        <v>增值额×税（费）率</v>
      </c>
      <c r="O54" s="1756" t="str">
        <f t="shared" si="0"/>
        <v>——</v>
      </c>
    </row>
    <row r="55" spans="1:35" ht="24" customHeight="1">
      <c r="A55" s="3072" t="s">
        <v>2218</v>
      </c>
      <c r="B55" s="3073"/>
      <c r="C55" s="3073"/>
      <c r="D55" s="185">
        <f ca="1">IF(H55="个人住宅",0,ROUND(D45*I55,0))</f>
        <v>1</v>
      </c>
      <c r="E55" s="11" t="s">
        <v>2219</v>
      </c>
      <c r="F55" s="184">
        <f>IF(H55="正常",I55,"免征")</f>
        <v>5.0000000000000001E-4</v>
      </c>
      <c r="G55" s="2489"/>
      <c r="H55" s="2486" t="s">
        <v>2220</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2221</v>
      </c>
      <c r="B56" s="3073"/>
      <c r="C56" s="3073"/>
      <c r="D56" s="185">
        <f ca="1">IF(H56="个人住宅",D57,D58)</f>
        <v>1352</v>
      </c>
      <c r="E56" s="11" t="s">
        <v>2222</v>
      </c>
      <c r="F56" s="184" t="str">
        <f>IF(H56="正常",F58,"免征")</f>
        <v>——</v>
      </c>
      <c r="G56" s="2491" t="s">
        <v>2223</v>
      </c>
      <c r="H56" s="2492" t="s">
        <v>2220</v>
      </c>
      <c r="I56" s="2493"/>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2196</v>
      </c>
      <c r="B57" s="3088" t="s">
        <v>2224</v>
      </c>
      <c r="C57" s="3097"/>
      <c r="D57" s="187">
        <v>0</v>
      </c>
      <c r="E57" s="23" t="s">
        <v>2198</v>
      </c>
      <c r="F57" s="155"/>
      <c r="G57" s="2489"/>
      <c r="H57" s="2493"/>
      <c r="I57" s="2493"/>
      <c r="J57" s="3123">
        <f>IF(AND(J55="",J56=""),4,IF(项目基本情况!K6="上海银行",结果表!J56+1,结果表!J55+1))</f>
        <v>4</v>
      </c>
      <c r="K57" s="3123" t="s">
        <v>2225</v>
      </c>
      <c r="L57" s="2494" t="s">
        <v>2226</v>
      </c>
      <c r="M57" s="1759"/>
      <c r="N57" s="1760">
        <f ca="1">SUMIF(M52:M56,"&lt;9e307")</f>
        <v>1353</v>
      </c>
      <c r="O57" s="2495"/>
      <c r="P57" s="1753" t="e">
        <f ca="1">N57/M49</f>
        <v>#VALUE!</v>
      </c>
    </row>
    <row r="58" spans="1:35" ht="24.75">
      <c r="A58" s="183" t="s">
        <v>2207</v>
      </c>
      <c r="B58" s="3088" t="s">
        <v>2227</v>
      </c>
      <c r="C58" s="3089"/>
      <c r="D58" s="185">
        <f ca="1">IF(H58="转让取得",C81,C97)</f>
        <v>1352</v>
      </c>
      <c r="E58" s="11" t="s">
        <v>2222</v>
      </c>
      <c r="F58" s="24" t="s">
        <v>34</v>
      </c>
      <c r="G58" s="2489"/>
      <c r="H58" s="2492" t="s">
        <v>2228</v>
      </c>
      <c r="I58" s="2493"/>
      <c r="J58" s="3123"/>
      <c r="K58" s="3123"/>
      <c r="L58" s="2494" t="s">
        <v>2229</v>
      </c>
      <c r="M58" s="1761"/>
      <c r="N58" s="2496" t="str">
        <f ca="1">NUMBERSTRING(INT(N57*10000),2)&amp;"元整"</f>
        <v>壹仟叁佰伍拾叁万元整</v>
      </c>
      <c r="O58" s="2497"/>
    </row>
    <row r="59" spans="1:35" ht="24.75" thickBot="1">
      <c r="A59" s="3126" t="s">
        <v>2230</v>
      </c>
      <c r="B59" s="3127"/>
      <c r="C59" s="3127"/>
      <c r="D59" s="188" t="str">
        <f>IF(H59="非个人房产","——",IF(H59="个人住宅",0,ROUND(D45*I59,0)))</f>
        <v>——</v>
      </c>
      <c r="E59" s="189" t="str">
        <f>IF(H59="非个人房产","——","销售额×税（费）率")</f>
        <v>——</v>
      </c>
      <c r="F59" s="190" t="str">
        <f>IF(H59="非个人房产","——",IF(H59="个人住宅","免征",I59))</f>
        <v>——</v>
      </c>
      <c r="G59" s="2498" t="s">
        <v>2223</v>
      </c>
      <c r="H59" s="2492" t="s">
        <v>2231</v>
      </c>
      <c r="I59" s="191">
        <v>0.01</v>
      </c>
      <c r="J59" s="3124">
        <f>J57+1</f>
        <v>5</v>
      </c>
      <c r="K59" s="3123" t="s">
        <v>2232</v>
      </c>
      <c r="L59" s="1812" t="s">
        <v>2226</v>
      </c>
      <c r="M59" s="1762"/>
      <c r="N59" s="1763" t="e">
        <f ca="1">M49-N57</f>
        <v>#VALUE!</v>
      </c>
      <c r="O59" s="2499"/>
    </row>
    <row r="60" spans="1:35" ht="12" customHeight="1">
      <c r="A60" s="2500"/>
      <c r="B60" s="2422"/>
      <c r="C60" s="2422"/>
      <c r="D60" s="2422"/>
      <c r="E60" s="2170"/>
      <c r="F60" s="2493"/>
      <c r="G60" s="2493"/>
      <c r="H60" s="2501"/>
      <c r="I60" s="138"/>
      <c r="J60" s="3125"/>
      <c r="K60" s="3123"/>
      <c r="L60" s="2494" t="s">
        <v>2229</v>
      </c>
      <c r="M60" s="1761"/>
      <c r="N60" s="2496" t="e">
        <f ca="1">NUMBERSTRING(INT(N59*10000),2)&amp;"元整"</f>
        <v>#VALUE!</v>
      </c>
      <c r="O60" s="2497"/>
    </row>
    <row r="61" spans="1:35" ht="13.5" thickBot="1">
      <c r="A61" s="3070" t="s">
        <v>2233</v>
      </c>
      <c r="B61" s="3070"/>
      <c r="C61" s="3070"/>
      <c r="D61" s="3070"/>
      <c r="E61" s="3070"/>
      <c r="F61" s="2493"/>
      <c r="G61" s="2493"/>
      <c r="H61" s="2501"/>
      <c r="I61" s="138"/>
      <c r="J61" s="1812">
        <f>J59+1</f>
        <v>6</v>
      </c>
      <c r="K61" s="3123" t="s">
        <v>2234</v>
      </c>
      <c r="L61" s="3123"/>
      <c r="M61" s="1764"/>
      <c r="N61" s="1765" t="e">
        <f ca="1">ROUND(N59*10000/'数据-汇总表'!E3,0)</f>
        <v>#VALUE!</v>
      </c>
      <c r="O61" s="2502"/>
    </row>
    <row r="62" spans="1:35" ht="12.75">
      <c r="A62" s="3086" t="s">
        <v>2235</v>
      </c>
      <c r="B62" s="3087"/>
      <c r="C62" s="1804"/>
      <c r="D62" s="1804" t="s">
        <v>2236</v>
      </c>
      <c r="E62" s="192" t="s">
        <v>2237</v>
      </c>
      <c r="F62" s="2493"/>
      <c r="G62" s="2493"/>
      <c r="H62" s="2501"/>
      <c r="I62" s="138"/>
    </row>
    <row r="63" spans="1:35" ht="12.75">
      <c r="A63" s="203" t="s">
        <v>775</v>
      </c>
      <c r="B63" s="193" t="s">
        <v>2238</v>
      </c>
      <c r="C63" s="194">
        <f ca="1">ROUND((C64+C65)/(1+'数据-取费表'!C42),0)</f>
        <v>2271</v>
      </c>
      <c r="D63" s="195"/>
      <c r="E63" s="196"/>
      <c r="F63" s="2493"/>
      <c r="G63" s="2493"/>
      <c r="H63" s="2501"/>
      <c r="I63" s="138"/>
      <c r="J63" s="3148" t="s">
        <v>2239</v>
      </c>
      <c r="K63" s="2503" t="s">
        <v>2240</v>
      </c>
      <c r="L63" s="1752" t="e">
        <f>IF(M49&gt;10000,M49*0.5%,IF(AND(M49&gt;1000,M49&lt;=10000),M49*1%,IF(AND(M49&gt;100,M49&lt;=1000),M49*3%,IF(AND(M49&gt;10,M49&lt;=100),M49*5%,M49*8%))))</f>
        <v>#VALUE!</v>
      </c>
      <c r="M63" s="24" t="e">
        <f>ROUND(L63,1)</f>
        <v>#VALUE!</v>
      </c>
      <c r="Z63" s="2427"/>
      <c r="AI63" s="2428"/>
    </row>
    <row r="64" spans="1:35" ht="14.25" customHeight="1">
      <c r="A64" s="197" t="s">
        <v>770</v>
      </c>
      <c r="B64" s="198" t="s">
        <v>2241</v>
      </c>
      <c r="C64" s="199">
        <f ca="1">D45</f>
        <v>2385</v>
      </c>
      <c r="D64" s="200" t="s">
        <v>32</v>
      </c>
      <c r="E64" s="201"/>
      <c r="F64" s="2493"/>
      <c r="G64" s="2493"/>
      <c r="H64" s="2501"/>
      <c r="I64" s="138"/>
      <c r="J64" s="3148"/>
      <c r="K64" s="2503"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7"/>
      <c r="AI64" s="2428"/>
    </row>
    <row r="65" spans="1:35" ht="14.25" customHeight="1">
      <c r="A65" s="197" t="s">
        <v>771</v>
      </c>
      <c r="B65" s="198" t="s">
        <v>2244</v>
      </c>
      <c r="C65" s="202"/>
      <c r="D65" s="200"/>
      <c r="E65" s="201"/>
      <c r="F65" s="2493"/>
      <c r="G65" s="2493"/>
      <c r="H65" s="2501"/>
      <c r="I65" s="138"/>
      <c r="J65" s="3148"/>
      <c r="K65" s="2503" t="s">
        <v>2245</v>
      </c>
      <c r="L65" s="1752" t="e">
        <f>IF(M49&gt;1000,M49*0.1%,IF(AND(M49&gt;500,M49&lt;=1000),M49*0.5%,IF(AND(M49&gt;50,M49&lt;=500),M49*1%,IF(AND(M49&gt;1,M49&lt;=50),M49*1.5%))))</f>
        <v>#VALUE!</v>
      </c>
      <c r="M65" s="24" t="e">
        <f t="shared" si="1"/>
        <v>#VALUE!</v>
      </c>
      <c r="N65" s="138" t="s">
        <v>2243</v>
      </c>
      <c r="Z65" s="2427"/>
      <c r="AI65" s="2428"/>
    </row>
    <row r="66" spans="1:35" ht="14.25" customHeight="1">
      <c r="A66" s="203" t="s">
        <v>772</v>
      </c>
      <c r="B66" s="204" t="s">
        <v>2246</v>
      </c>
      <c r="C66" s="205"/>
      <c r="D66" s="206" t="s">
        <v>32</v>
      </c>
      <c r="E66" s="1776" t="s">
        <v>1367</v>
      </c>
      <c r="F66" s="2493"/>
      <c r="G66" s="2493"/>
      <c r="H66" s="2501"/>
      <c r="I66" s="138"/>
      <c r="J66" s="3148"/>
      <c r="K66" s="2503" t="s">
        <v>2247</v>
      </c>
      <c r="L66" s="1752" t="e">
        <f>M49*0.5%</f>
        <v>#VALUE!</v>
      </c>
      <c r="M66" s="24" t="e">
        <f>IF(L66&gt;0.5,0.5,ROUND(L66,0))</f>
        <v>#VALUE!</v>
      </c>
      <c r="N66" s="138" t="s">
        <v>2248</v>
      </c>
      <c r="Z66" s="2427"/>
      <c r="AI66" s="2428"/>
    </row>
    <row r="67" spans="1:35" ht="14.25" customHeight="1">
      <c r="A67" s="203" t="s">
        <v>773</v>
      </c>
      <c r="B67" s="204" t="s">
        <v>2249</v>
      </c>
      <c r="C67" s="207">
        <f ca="1">C63-C66</f>
        <v>2271</v>
      </c>
      <c r="D67" s="200" t="s">
        <v>32</v>
      </c>
      <c r="E67" s="201"/>
      <c r="F67" s="2493"/>
      <c r="G67" s="2493"/>
      <c r="H67" s="2501"/>
      <c r="I67" s="138"/>
      <c r="J67" s="3148"/>
      <c r="K67" s="2503"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2251</v>
      </c>
      <c r="C68" s="210">
        <f ca="1">IF(C67&lt;=0,0,ROUND(C67*D68,0))</f>
        <v>125</v>
      </c>
      <c r="D68" s="211">
        <f>'数据-取费表'!B41</f>
        <v>5.5000000000000007E-2</v>
      </c>
      <c r="E68" s="212"/>
      <c r="F68" s="2493"/>
      <c r="G68" s="2493"/>
      <c r="H68" s="2501"/>
      <c r="I68" s="138"/>
      <c r="J68" s="3148"/>
      <c r="K68" s="2503" t="s">
        <v>2252</v>
      </c>
      <c r="L68" s="1752"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0"/>
      <c r="G69" s="2170"/>
      <c r="H69" s="2169"/>
      <c r="I69" s="2422"/>
      <c r="J69" s="3148"/>
      <c r="K69" s="2503" t="s">
        <v>2253</v>
      </c>
      <c r="L69" s="2509"/>
      <c r="M69" s="24" t="e">
        <f>ROUND(SUM(M63:M68),0)</f>
        <v>#VALUE!</v>
      </c>
      <c r="N69" s="1753"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7" t="s">
        <v>2254</v>
      </c>
      <c r="B70" s="3108"/>
      <c r="C70" s="3108"/>
      <c r="D70" s="3108"/>
      <c r="E70" s="3108"/>
      <c r="F70" s="3108"/>
      <c r="G70" s="3108"/>
      <c r="H70" s="3108"/>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6" t="s">
        <v>2235</v>
      </c>
      <c r="B71" s="3087"/>
      <c r="C71" s="1804"/>
      <c r="D71" s="1804" t="s">
        <v>2236</v>
      </c>
      <c r="E71" s="213" t="s">
        <v>2237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2255</v>
      </c>
      <c r="C72" s="207">
        <f ca="1">ROUND(D45/(1+'数据-取费表'!C42),0)</f>
        <v>2271</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2256</v>
      </c>
      <c r="C73" s="207">
        <f ca="1">C74+C78</f>
        <v>11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2257</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2258</v>
      </c>
      <c r="C75" s="218"/>
      <c r="D75" s="200" t="s">
        <v>32</v>
      </c>
      <c r="E75" s="219" t="s">
        <v>2259</v>
      </c>
      <c r="F75" s="2515" t="s">
        <v>2260</v>
      </c>
      <c r="G75" s="219" t="s">
        <v>2261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2262</v>
      </c>
      <c r="C76" s="200">
        <f>IF(F75="购房发票",ROUND(C75*H75*D76,0),0)</f>
        <v>0</v>
      </c>
      <c r="D76" s="222">
        <v>0.05</v>
      </c>
      <c r="E76" s="3081" t="s">
        <v>2263</v>
      </c>
      <c r="F76" s="3058"/>
      <c r="G76" s="3058"/>
      <c r="H76" s="3106"/>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7" t="s">
        <v>2266</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2267</v>
      </c>
      <c r="C78" s="225">
        <f ca="1">ROUND(D45*D78/(1+'数据-取费表'!C42),0)</f>
        <v>11</v>
      </c>
      <c r="D78" s="226">
        <f>'数据-取费表'!B43</f>
        <v>5.000000000000001E-3</v>
      </c>
      <c r="E78" s="3067" t="s">
        <v>2268</v>
      </c>
      <c r="F78" s="3068"/>
      <c r="G78" s="3068"/>
      <c r="H78" s="3077"/>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2269</v>
      </c>
      <c r="C79" s="207">
        <f ca="1">C72-C73</f>
        <v>2260</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2270</v>
      </c>
      <c r="C80" s="227">
        <f ca="1">IF(C79&lt;=0,0,C79/C73)</f>
        <v>205.45454545454547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2271</v>
      </c>
      <c r="C81" s="228">
        <f ca="1">ROUND(IF(C79&lt;=0,0,IF(C80&gt;=200%,C79*60%-C73*35%,IF(C80&gt;=100%,C79*50%-C73*15%,IF(C80&gt;=50%,C79*40%-C73*5%,IF(C80&lt;50%,C79*30%,0))))),0)</f>
        <v>1352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7" t="s">
        <v>2272</v>
      </c>
      <c r="B83" s="3108"/>
      <c r="C83" s="3108"/>
      <c r="D83" s="3108"/>
      <c r="E83" s="3108"/>
      <c r="F83" s="3108"/>
      <c r="G83" s="3108"/>
      <c r="H83" s="3108"/>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6" t="s">
        <v>2235</v>
      </c>
      <c r="B84" s="3087"/>
      <c r="C84" s="1804"/>
      <c r="D84" s="1804" t="s">
        <v>2236</v>
      </c>
      <c r="E84" s="213" t="s">
        <v>2237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2255</v>
      </c>
      <c r="C85" s="207">
        <f ca="1">ROUND(D45/(1+'数据-取费表'!C42),0)</f>
        <v>2271</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2256</v>
      </c>
      <c r="C86" s="207">
        <f ca="1">IF(H88="仅含出让金",C87+C90+C91+C92+C93+C94,C87+C91+C92+C93+C94)</f>
        <v>11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2273</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2274</v>
      </c>
      <c r="C88" s="236"/>
      <c r="D88" s="226"/>
      <c r="E88" s="237" t="s">
        <v>2275</v>
      </c>
      <c r="F88" s="1800"/>
      <c r="G88" s="238"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2264</v>
      </c>
      <c r="C89" s="225">
        <f>ROUND(C88*D89,0)</f>
        <v>0</v>
      </c>
      <c r="D89" s="226">
        <f>'数据-取费表'!B48+'数据-取费表'!B49</f>
        <v>3.0499999999999999E-2</v>
      </c>
      <c r="E89" s="237" t="s">
        <v>2277</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2278</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2279</v>
      </c>
      <c r="B91" s="198" t="s">
        <v>2280</v>
      </c>
      <c r="C91" s="225">
        <f>IF(H91="——",成本法!C33,I91)</f>
        <v>0</v>
      </c>
      <c r="D91" s="226"/>
      <c r="E91" s="3067" t="s">
        <v>2281</v>
      </c>
      <c r="F91" s="3068"/>
      <c r="G91" s="3068"/>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2283</v>
      </c>
      <c r="B92" s="198" t="s">
        <v>2284</v>
      </c>
      <c r="C92" s="225">
        <f>ROUND((C87+C90+C91)*D92,0)</f>
        <v>0</v>
      </c>
      <c r="D92" s="226">
        <v>0.1</v>
      </c>
      <c r="E92" s="3067" t="s">
        <v>2285</v>
      </c>
      <c r="F92" s="3068"/>
      <c r="G92" s="3068"/>
      <c r="H92" s="3077"/>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2286</v>
      </c>
      <c r="B93" s="198" t="s">
        <v>2267</v>
      </c>
      <c r="C93" s="225">
        <f ca="1">ROUND(D45*D93/(1+'数据-取费表'!C42),0)</f>
        <v>11</v>
      </c>
      <c r="D93" s="226">
        <f>'数据-取费表'!B43</f>
        <v>5.000000000000001E-3</v>
      </c>
      <c r="E93" s="3067" t="s">
        <v>2268</v>
      </c>
      <c r="F93" s="3068"/>
      <c r="G93" s="3068"/>
      <c r="H93" s="3077"/>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2287</v>
      </c>
      <c r="B94" s="198" t="s">
        <v>2288</v>
      </c>
      <c r="C94" s="236">
        <f>ROUND((C87+C90+C91)*D94,0)</f>
        <v>0</v>
      </c>
      <c r="D94" s="226">
        <v>0.2</v>
      </c>
      <c r="E94" s="3078" t="s">
        <v>2289</v>
      </c>
      <c r="F94" s="3079"/>
      <c r="G94" s="3079"/>
      <c r="H94" s="3080"/>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2269</v>
      </c>
      <c r="C95" s="207">
        <f ca="1">ROUND(C85-C86,0)</f>
        <v>2260</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2270</v>
      </c>
      <c r="C96" s="227">
        <f ca="1">IF(C95&lt;=0,0,C95/C86)</f>
        <v>205.45454545454547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2271</v>
      </c>
      <c r="C97" s="228">
        <f ca="1">ROUND(IF(C95&lt;=0,0,IF(C96&gt;=200%,C95*60%-C86*35%,IF(C96&gt;=100%,C95*50%-C86*15%,IF(C96&gt;=50%,C95*40%-C86*5%,IF(C96&lt;50%,C95*30%,0))))),0)</f>
        <v>1352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2290</v>
      </c>
      <c r="B99" s="2422"/>
      <c r="C99" s="2422"/>
      <c r="D99" s="2422"/>
      <c r="E99" s="2170"/>
      <c r="F99" s="2170"/>
      <c r="G99" s="2170"/>
      <c r="H99" s="2169"/>
      <c r="I99" s="138"/>
    </row>
    <row r="100" spans="1:35" ht="18.75" customHeight="1">
      <c r="A100" s="3052" t="s">
        <v>2291</v>
      </c>
      <c r="B100" s="3053"/>
      <c r="C100" s="3053"/>
      <c r="D100" s="3069"/>
      <c r="E100" s="3053" t="s">
        <v>2292</v>
      </c>
      <c r="F100" s="3053"/>
      <c r="G100" s="3053"/>
      <c r="H100" s="3069"/>
      <c r="I100" s="138"/>
    </row>
    <row r="101" spans="1:35" ht="18.75" customHeight="1">
      <c r="A101" s="3131" t="s">
        <v>2293</v>
      </c>
      <c r="B101" s="3132"/>
      <c r="C101" s="736" t="str">
        <f>C4</f>
        <v>比较法-住宅</v>
      </c>
      <c r="D101" s="737" t="str">
        <f>D4</f>
        <v>成本法 (元)</v>
      </c>
      <c r="E101" s="3145" t="s">
        <v>2294</v>
      </c>
      <c r="F101" s="3099"/>
      <c r="G101" s="2524" t="s">
        <v>2295</v>
      </c>
      <c r="H101" s="1048">
        <f ca="1">H118</f>
        <v>2385</v>
      </c>
      <c r="I101" s="138"/>
    </row>
    <row r="102" spans="1:35" ht="18.75" customHeight="1">
      <c r="A102" s="3101" t="s">
        <v>2296</v>
      </c>
      <c r="B102" s="2524" t="s">
        <v>2295</v>
      </c>
      <c r="C102" s="736">
        <f ca="1">C19</f>
        <v>2639</v>
      </c>
      <c r="D102" s="737">
        <f ca="1">D19</f>
        <v>2131</v>
      </c>
      <c r="E102" s="3145"/>
      <c r="F102" s="3099"/>
      <c r="G102" s="2524" t="s">
        <v>2297</v>
      </c>
      <c r="H102" s="371">
        <f ca="1">I118</f>
        <v>90650</v>
      </c>
      <c r="I102" s="138"/>
    </row>
    <row r="103" spans="1:35" ht="42.75" customHeight="1">
      <c r="A103" s="3101"/>
      <c r="B103" s="2524" t="s">
        <v>2297</v>
      </c>
      <c r="C103" s="738">
        <f ca="1">C20</f>
        <v>100286</v>
      </c>
      <c r="D103" s="739">
        <f ca="1">D20</f>
        <v>80996</v>
      </c>
      <c r="E103" s="3140" t="s">
        <v>2298</v>
      </c>
      <c r="F103" s="3141"/>
      <c r="G103" s="2525" t="s">
        <v>2299</v>
      </c>
      <c r="H103" s="1048">
        <f>IF(D36="正常操作",H104+H105+H106,H105+H106)</f>
        <v>0</v>
      </c>
      <c r="I103" s="138"/>
    </row>
    <row r="104" spans="1:35" ht="18.75" customHeight="1">
      <c r="A104" s="3101" t="s">
        <v>2300</v>
      </c>
      <c r="B104" s="2526" t="s">
        <v>2295</v>
      </c>
      <c r="C104" s="740">
        <f ca="1">H118</f>
        <v>2385</v>
      </c>
      <c r="D104" s="741"/>
      <c r="E104" s="2270" t="s">
        <v>2301</v>
      </c>
      <c r="F104" s="2262"/>
      <c r="G104" s="2525" t="s">
        <v>2299</v>
      </c>
      <c r="H104" s="1049">
        <f>IF(D36="同一抵押权人同一抵押物续贷",C36&amp;"（未扣减，详见特别提示）",C36)</f>
        <v>0</v>
      </c>
      <c r="I104" s="138"/>
    </row>
    <row r="105" spans="1:35" ht="18.75" customHeight="1" thickBot="1">
      <c r="A105" s="3102"/>
      <c r="B105" s="2527" t="s">
        <v>2297</v>
      </c>
      <c r="C105" s="742">
        <f ca="1">I118</f>
        <v>90650</v>
      </c>
      <c r="D105" s="743"/>
      <c r="E105" s="2270" t="s">
        <v>2302</v>
      </c>
      <c r="F105" s="2262"/>
      <c r="G105" s="2525" t="s">
        <v>2299</v>
      </c>
      <c r="H105" s="1049">
        <f>C37</f>
        <v>0</v>
      </c>
      <c r="I105" s="138"/>
    </row>
    <row r="106" spans="1:35" ht="18.75" customHeight="1">
      <c r="A106" s="2422" t="s">
        <v>2303</v>
      </c>
      <c r="B106" s="2422"/>
      <c r="C106" s="2422"/>
      <c r="D106" s="2422"/>
      <c r="E106" s="2528" t="s">
        <v>2304</v>
      </c>
      <c r="F106" s="2262"/>
      <c r="G106" s="2525" t="s">
        <v>2299</v>
      </c>
      <c r="H106" s="1049">
        <f>C38</f>
        <v>0</v>
      </c>
      <c r="I106" s="138"/>
    </row>
    <row r="107" spans="1:35" ht="18.75" customHeight="1">
      <c r="A107" s="138"/>
      <c r="B107" s="138"/>
      <c r="C107" s="138"/>
      <c r="D107" s="138"/>
      <c r="E107" s="3098" t="str">
        <f>IF(项目基本情况!E8="已注销","——","3.房地产抵押价值")</f>
        <v>3.房地产抵押价值</v>
      </c>
      <c r="F107" s="3099"/>
      <c r="G107" s="2524" t="s">
        <v>2295</v>
      </c>
      <c r="H107" s="1048">
        <f ca="1">IF(E107="——","——",H101-H103)</f>
        <v>2385</v>
      </c>
      <c r="I107" s="138"/>
    </row>
    <row r="108" spans="1:35" ht="18.75" customHeight="1">
      <c r="A108" s="138"/>
      <c r="B108" s="138"/>
      <c r="C108" s="138"/>
      <c r="D108" s="138"/>
      <c r="E108" s="3098"/>
      <c r="F108" s="3099"/>
      <c r="G108" s="2524" t="s">
        <v>2297</v>
      </c>
      <c r="H108" s="371">
        <f ca="1">ROUND(H107*10000/'数据-汇总表'!E3,0)</f>
        <v>90650</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4" t="s">
        <v>2295</v>
      </c>
      <c r="H109" s="348" t="str">
        <f>IF(E109="——","——",H101-H105-H106)</f>
        <v>——</v>
      </c>
      <c r="I109" s="138"/>
    </row>
    <row r="110" spans="1:35" ht="18.75" customHeight="1">
      <c r="A110" s="138"/>
      <c r="B110" s="138"/>
      <c r="C110" s="138"/>
      <c r="D110" s="138"/>
      <c r="E110" s="3098"/>
      <c r="F110" s="3099"/>
      <c r="G110" s="2524" t="s">
        <v>2297</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4" t="s">
        <v>2295</v>
      </c>
      <c r="H111" s="1048" t="str">
        <f>IF(E111="——","——",N59)</f>
        <v>——</v>
      </c>
      <c r="I111" s="138"/>
    </row>
    <row r="112" spans="1:35" ht="18.75" customHeight="1" thickBot="1">
      <c r="A112" s="138"/>
      <c r="B112" s="138"/>
      <c r="C112" s="138"/>
      <c r="D112" s="138"/>
      <c r="E112" s="3135"/>
      <c r="F112" s="3136"/>
      <c r="G112" s="2529" t="s">
        <v>2297</v>
      </c>
      <c r="H112" s="790" t="str">
        <f>IF(E111="——","——",N61)</f>
        <v>——</v>
      </c>
      <c r="I112" s="138"/>
    </row>
    <row r="113" spans="1:11" ht="18.75" customHeight="1">
      <c r="A113" s="138"/>
      <c r="B113" s="138"/>
      <c r="C113" s="138"/>
      <c r="D113" s="138"/>
      <c r="E113" s="3103" t="s">
        <v>2303</v>
      </c>
      <c r="F113" s="3103"/>
      <c r="G113" s="3103"/>
      <c r="H113" s="3103"/>
      <c r="I113" s="138"/>
    </row>
    <row r="114" spans="1:11" ht="3.75" customHeight="1">
      <c r="A114" s="2422"/>
      <c r="B114" s="2422"/>
      <c r="C114" s="2422"/>
      <c r="D114" s="2422"/>
      <c r="E114" s="2500"/>
      <c r="F114" s="2500"/>
      <c r="G114" s="2500"/>
      <c r="H114" s="2500"/>
      <c r="I114" s="2422"/>
    </row>
    <row r="115" spans="1:11" ht="18.75" customHeight="1">
      <c r="A115" s="3116" t="s">
        <v>2305</v>
      </c>
      <c r="B115" s="3117"/>
      <c r="C115" s="3117"/>
      <c r="D115" s="3117"/>
      <c r="E115" s="3117"/>
      <c r="F115" s="3117"/>
      <c r="G115" s="3117"/>
      <c r="H115" s="3117"/>
      <c r="I115" s="3118"/>
    </row>
    <row r="116" spans="1:11" ht="27" customHeight="1">
      <c r="A116" s="3009" t="s">
        <v>2306</v>
      </c>
      <c r="B116" s="3104" t="s">
        <v>2307</v>
      </c>
      <c r="C116" s="3104" t="s">
        <v>2308</v>
      </c>
      <c r="D116" s="3120" t="s">
        <v>2309</v>
      </c>
      <c r="E116" s="3121"/>
      <c r="F116" s="3112" t="s">
        <v>2310</v>
      </c>
      <c r="G116" s="3112"/>
      <c r="H116" s="3009" t="s">
        <v>2311</v>
      </c>
      <c r="I116" s="3009"/>
    </row>
    <row r="117" spans="1:11" ht="18.75" customHeight="1">
      <c r="A117" s="3009"/>
      <c r="B117" s="3105"/>
      <c r="C117" s="3105"/>
      <c r="D117" s="1798" t="s">
        <v>2312</v>
      </c>
      <c r="E117" s="1798" t="s">
        <v>2313</v>
      </c>
      <c r="F117" s="1798" t="s">
        <v>2312</v>
      </c>
      <c r="G117" s="1798" t="s">
        <v>2314</v>
      </c>
      <c r="H117" s="1798" t="s">
        <v>2312</v>
      </c>
      <c r="I117" s="1798" t="s">
        <v>2314</v>
      </c>
    </row>
    <row r="118" spans="1:11" ht="24.75" customHeight="1">
      <c r="A118" s="2530" t="str">
        <f>项目基本情况!S2</f>
        <v>房地产</v>
      </c>
      <c r="B118" s="1798">
        <f>M18</f>
        <v>263.10000000000002</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2385</v>
      </c>
      <c r="I118" s="1798">
        <f ca="1">ROUND(IF(D32="楼面单价",C32,H118*10000/B118),0)</f>
        <v>90650</v>
      </c>
    </row>
    <row r="119" spans="1:11" ht="18.75" customHeight="1">
      <c r="A119" s="3009" t="s">
        <v>2315</v>
      </c>
      <c r="B119" s="3009"/>
      <c r="C119" s="3009"/>
      <c r="D119" s="3109" t="e">
        <f ca="1">NUMBERSTRING(INT(D118*10000),2)&amp;"元整"</f>
        <v>#REF!</v>
      </c>
      <c r="E119" s="3111"/>
      <c r="F119" s="3109" t="e">
        <f ca="1">NUMBERSTRING(INT(F118*10000),2)&amp;"元整"</f>
        <v>#REF!</v>
      </c>
      <c r="G119" s="3111"/>
      <c r="H119" s="3109" t="str">
        <f ca="1">NUMBERSTRING(INT(H118*10000),2)&amp;"元整"</f>
        <v>贰仟叁佰捌拾伍万元整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7" t="str">
        <f>IF(D120=0,"故，本次评估不存在"&amp;A120,"故，本次评估"&amp;A120&amp;"为人民币"&amp;D120&amp;"万元整。")</f>
        <v>故，本次评估不存在估价师知悉的法定优先受偿款</v>
      </c>
    </row>
    <row r="121" spans="1:11" ht="18.75" customHeight="1">
      <c r="A121" s="3113" t="s">
        <v>2315</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2385</v>
      </c>
      <c r="E122" s="3138"/>
      <c r="F122" s="3138"/>
      <c r="G122" s="3138"/>
      <c r="H122" s="3138"/>
      <c r="I122" s="3139"/>
    </row>
    <row r="123" spans="1:11" ht="18.75" customHeight="1">
      <c r="A123" s="3009" t="s">
        <v>2315</v>
      </c>
      <c r="B123" s="3009"/>
      <c r="C123" s="3009"/>
      <c r="D123" s="3109" t="str">
        <f ca="1">NUMBERSTRING(INT(D122*10000),2)&amp;"元整"</f>
        <v>贰仟叁佰捌拾伍万元整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2315</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2315</v>
      </c>
      <c r="B127" s="3009"/>
      <c r="C127" s="3009"/>
      <c r="D127" s="3109" t="e">
        <f>NUMBERSTRING(INT(D126*10000),2)&amp;"元整"</f>
        <v>#VALUE!</v>
      </c>
      <c r="E127" s="3110"/>
      <c r="F127" s="3110"/>
      <c r="G127" s="3110"/>
      <c r="H127" s="3110"/>
      <c r="I127" s="3111"/>
    </row>
    <row r="128" spans="1:11" ht="21.75" customHeight="1">
      <c r="A128" s="3119" t="s">
        <v>2316</v>
      </c>
      <c r="B128" s="3119"/>
      <c r="C128" s="3119"/>
      <c r="D128" s="3119"/>
      <c r="E128" s="3119"/>
      <c r="F128" s="3119"/>
      <c r="G128" s="3119"/>
      <c r="H128" s="3119"/>
      <c r="I128" s="3119"/>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2319</v>
      </c>
      <c r="G135" s="2548"/>
      <c r="H135" s="2548"/>
      <c r="I135" s="2549" t="s">
        <v>2320</v>
      </c>
    </row>
    <row r="136" spans="1:35" ht="21.75" customHeight="1">
      <c r="A136" s="795"/>
      <c r="B136" s="2550"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2322</v>
      </c>
    </row>
    <row r="139" spans="1:35" ht="21.75" customHeight="1">
      <c r="A139" s="795"/>
      <c r="B139" s="2550" t="s">
        <v>2323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23" sqref="H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7</v>
      </c>
    </row>
    <row r="2" spans="1:9" s="244" customFormat="1" ht="18" customHeight="1">
      <c r="A2" s="245" t="s">
        <v>2325</v>
      </c>
      <c r="B2" s="246">
        <f ca="1">IF(D2="——",C52,C52-E2)</f>
        <v>116</v>
      </c>
      <c r="C2" s="243" t="s">
        <v>2326</v>
      </c>
      <c r="D2" s="2553" t="s">
        <v>70</v>
      </c>
      <c r="E2" s="1443" t="e">
        <f ca="1">SUMIF(INDIRECT("'"&amp;G2&amp;"'"&amp;"!A:A"),"承租人权益价值",INDIRECT("'"&amp;G2&amp;"'"&amp;"!c:c"))</f>
        <v>#REF!</v>
      </c>
      <c r="F2" s="2554" t="s">
        <v>2326</v>
      </c>
      <c r="G2" s="2555"/>
    </row>
    <row r="3" spans="1:9" s="244" customFormat="1" ht="18" customHeight="1" thickBot="1">
      <c r="A3" s="247" t="s">
        <v>2327</v>
      </c>
      <c r="B3" s="248">
        <f ca="1">ROUND(B2*10000/(IF(B1="",'数据-汇总表'!E3,INDIRECT("'数据-取费表'!k"&amp;$G$1))),0)</f>
        <v>4409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6"/>
    </row>
    <row r="9" spans="1:9" s="258" customFormat="1" ht="13.5" customHeight="1">
      <c r="A9" s="953" t="s">
        <v>800</v>
      </c>
      <c r="B9" s="268" t="s">
        <v>2341</v>
      </c>
      <c r="C9" s="269">
        <f ca="1">ROUND(D9*E9/10000,0)</f>
        <v>4</v>
      </c>
      <c r="D9" s="1035">
        <f ca="1">IF(B1="",'数据-汇总表'!E5,IF(INDIRECT("'数据-取费表'!c"&amp;$G$1)="住宅",INDIRECT("'数据-取费表'!k"&amp;$G$1),0))</f>
        <v>263.10000000000002</v>
      </c>
      <c r="E9" s="269">
        <f>'数据-取费表'!B27</f>
        <v>160</v>
      </c>
      <c r="F9" s="265"/>
      <c r="G9" s="2557"/>
      <c r="H9" s="1393"/>
      <c r="I9" s="2558" t="s">
        <v>2342</v>
      </c>
    </row>
    <row r="10" spans="1:9" s="258" customFormat="1" ht="13.5" customHeight="1">
      <c r="A10" s="953" t="s">
        <v>801</v>
      </c>
      <c r="B10" s="268" t="s">
        <v>2343</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5</v>
      </c>
      <c r="D19" s="1039">
        <f ca="1">D9+D10</f>
        <v>263.10000000000002</v>
      </c>
      <c r="E19" s="255">
        <f>'数据-取费表'!B31</f>
        <v>200</v>
      </c>
      <c r="F19" s="275"/>
      <c r="G19" s="2556"/>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0</v>
      </c>
      <c r="D22" s="279">
        <f ca="1">C26</f>
        <v>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101</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92</v>
      </c>
      <c r="D34" s="261"/>
      <c r="E34" s="264"/>
      <c r="F34" s="301">
        <f ca="1">IF('数据-取费表'!B24=0,1,IF(B1="",'数据-取费表'!N16,INDIRECT("'数据-取费表'!n"&amp;$G$1)))</f>
        <v>1</v>
      </c>
      <c r="G34" s="263" t="s">
        <v>2389</v>
      </c>
    </row>
    <row r="35" spans="1:7" ht="13.5" customHeight="1">
      <c r="A35" s="954" t="s">
        <v>796</v>
      </c>
      <c r="B35" s="259" t="s">
        <v>2390</v>
      </c>
      <c r="C35" s="264">
        <f ca="1">ROUND(C34*F35,0)</f>
        <v>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5</v>
      </c>
      <c r="D37" s="261">
        <f ca="1">D19</f>
        <v>263.10000000000002</v>
      </c>
      <c r="E37" s="293">
        <f>'数据-取费表'!B35</f>
        <v>200</v>
      </c>
      <c r="F37" s="303"/>
      <c r="G37" s="305" t="s">
        <v>2395</v>
      </c>
    </row>
    <row r="38" spans="1:7" ht="13.5" customHeight="1">
      <c r="A38" s="954"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5</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v>
      </c>
      <c r="D42" s="282"/>
      <c r="E42" s="282"/>
      <c r="F42" s="283"/>
      <c r="G42" s="3151" t="s">
        <v>2407</v>
      </c>
    </row>
    <row r="43" spans="1:7" ht="13.5" customHeight="1">
      <c r="A43" s="954" t="s">
        <v>792</v>
      </c>
      <c r="B43" s="259" t="s">
        <v>2408</v>
      </c>
      <c r="C43" s="282">
        <f ca="1">ROUND(IF('数据-取费表'!B22&lt;=1,C39*F22*'数据-取费表'!B21/2,C39*(POWER((1+F22),'数据-取费表'!B21/2)-1)),0)</f>
        <v>0</v>
      </c>
      <c r="D43" s="282"/>
      <c r="E43" s="282"/>
      <c r="F43" s="283"/>
      <c r="G43" s="3152"/>
    </row>
    <row r="44" spans="1:7" ht="13.5" customHeight="1">
      <c r="A44" s="954" t="s">
        <v>793</v>
      </c>
      <c r="B44" s="259" t="s">
        <v>2409</v>
      </c>
      <c r="C44" s="282">
        <f ca="1">ROUND(IF('数据-取费表'!B22&lt;=1,C40*F22*'数据-取费表'!B21/2,C40*(POWER((1+F22),'数据-取费表'!B21/2)-1)),4)</f>
        <v>1E-3</v>
      </c>
      <c r="D44" s="282"/>
      <c r="E44" s="282"/>
      <c r="F44" s="283"/>
      <c r="G44" s="3153"/>
    </row>
    <row r="45" spans="1:7" s="258" customFormat="1" ht="13.5" customHeight="1">
      <c r="A45" s="299" t="s">
        <v>2410</v>
      </c>
      <c r="B45" s="288" t="s">
        <v>2376</v>
      </c>
      <c r="C45" s="289">
        <f ca="1">C46</f>
        <v>21</v>
      </c>
      <c r="D45" s="279">
        <f ca="1">C47</f>
        <v>4.0000000000000001E-3</v>
      </c>
      <c r="E45" s="280" t="s">
        <v>2402</v>
      </c>
      <c r="F45" s="290"/>
      <c r="G45" s="291" t="s">
        <v>2411</v>
      </c>
    </row>
    <row r="46" spans="1:7" s="258" customFormat="1" ht="13.5" customHeight="1">
      <c r="A46" s="954" t="s">
        <v>791</v>
      </c>
      <c r="B46" s="292" t="s">
        <v>2412</v>
      </c>
      <c r="C46" s="293">
        <f ca="1">ROUND((C33+C39)*F27,0)</f>
        <v>21</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5.2400000000000002E-2</v>
      </c>
      <c r="D48" s="280" t="s">
        <v>2402</v>
      </c>
      <c r="E48" s="276"/>
      <c r="F48" s="281"/>
      <c r="G48" s="278" t="s">
        <v>2415</v>
      </c>
    </row>
    <row r="49" spans="1:7" ht="16.5" customHeight="1">
      <c r="A49" s="299" t="s">
        <v>2381</v>
      </c>
      <c r="B49" s="254" t="s">
        <v>2416</v>
      </c>
      <c r="C49" s="276">
        <f ca="1">ROUND((C33+C39+C41+C45)/(1-C40-D41-D45-C48),0)</f>
        <v>140</v>
      </c>
      <c r="D49" s="276"/>
      <c r="E49" s="276"/>
      <c r="F49" s="308"/>
      <c r="G49" s="278" t="s">
        <v>2417</v>
      </c>
    </row>
    <row r="50" spans="1:7" s="302" customFormat="1" ht="24">
      <c r="A50" s="299" t="s">
        <v>2418</v>
      </c>
      <c r="B50" s="254" t="s">
        <v>2419</v>
      </c>
      <c r="C50" s="276"/>
      <c r="D50" s="276"/>
      <c r="E50" s="276"/>
      <c r="F50" s="308">
        <f>IF('数据-取费表'!B24=0,'数据-取费表'!N16,1)</f>
        <v>0.78</v>
      </c>
      <c r="G50" s="291" t="s">
        <v>2420</v>
      </c>
    </row>
    <row r="51" spans="1:7" ht="16.5" customHeight="1">
      <c r="A51" s="299" t="s">
        <v>2421</v>
      </c>
      <c r="B51" s="254" t="s">
        <v>2422</v>
      </c>
      <c r="C51" s="276">
        <f ca="1">ROUND(C49*F50,0)</f>
        <v>109</v>
      </c>
      <c r="D51" s="276"/>
      <c r="E51" s="276"/>
      <c r="F51" s="308"/>
      <c r="G51" s="278" t="s">
        <v>2423</v>
      </c>
    </row>
    <row r="52" spans="1:7" s="252" customFormat="1" ht="16.5" thickBot="1">
      <c r="A52" s="309" t="s">
        <v>2424</v>
      </c>
      <c r="B52" s="310"/>
      <c r="C52" s="311">
        <f ca="1">C31+C51</f>
        <v>116</v>
      </c>
      <c r="D52" s="310"/>
      <c r="E52" s="310"/>
      <c r="F52" s="310"/>
      <c r="G52" s="312"/>
    </row>
    <row r="55" spans="1:7" ht="15">
      <c r="B55" s="314" t="s">
        <v>2425</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8" sqref="D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t="s">
        <v>3107</v>
      </c>
      <c r="C1" s="2559" t="s">
        <v>2426</v>
      </c>
      <c r="D1" s="242"/>
      <c r="E1" s="242"/>
      <c r="F1" s="242"/>
      <c r="G1" s="1382">
        <f>MATCH(B1,'数据-取费表'!A6:A16,0)+5</f>
        <v>6</v>
      </c>
      <c r="H1" s="1285" t="str">
        <f>IF(ISERROR(FIND("住宅",B1)),"非住宅","住宅")</f>
        <v>住宅</v>
      </c>
    </row>
    <row r="2" spans="1:8" s="244" customFormat="1" ht="18" customHeight="1">
      <c r="A2" s="245" t="s">
        <v>2325</v>
      </c>
      <c r="B2" s="246">
        <f ca="1">ROUND(IF(D2="——",C52/10000,C52/10000-E2),0)</f>
        <v>2131</v>
      </c>
      <c r="C2" s="243" t="s">
        <v>2326</v>
      </c>
      <c r="D2" s="2553" t="s">
        <v>70</v>
      </c>
      <c r="E2" s="1443" t="e">
        <f ca="1">SUMIF(INDIRECT("'"&amp;G2&amp;"'"&amp;"!A:A"),"承租人权益价值",INDIRECT("'"&amp;G2&amp;"'"&amp;"!c:c"))</f>
        <v>#REF!</v>
      </c>
      <c r="F2" s="2554" t="s">
        <v>2326</v>
      </c>
      <c r="G2" s="2555"/>
    </row>
    <row r="3" spans="1:8" s="244" customFormat="1" ht="18" customHeight="1" thickBot="1">
      <c r="A3" s="247" t="s">
        <v>2327</v>
      </c>
      <c r="B3" s="248">
        <f ca="1">ROUND(B2*10000/(IF(B1="",'数据-汇总表'!E3,INDIRECT("'数据-取费表'!k"&amp;$G$1))),0)</f>
        <v>80996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14108421</v>
      </c>
      <c r="D5" s="255" t="s">
        <v>2332</v>
      </c>
      <c r="E5" s="256" t="s">
        <v>2333</v>
      </c>
      <c r="F5" s="256" t="s">
        <v>2334</v>
      </c>
      <c r="G5" s="257"/>
    </row>
    <row r="6" spans="1:8" s="258" customFormat="1" ht="13.5" customHeight="1">
      <c r="A6" s="952" t="s">
        <v>2335</v>
      </c>
      <c r="B6" s="259" t="s">
        <v>2336</v>
      </c>
      <c r="C6" s="260">
        <f ca="1">基准地价修正!B2*10000</f>
        <v>13650000</v>
      </c>
      <c r="D6" s="261"/>
      <c r="E6" s="262"/>
      <c r="F6" s="262"/>
      <c r="G6" s="263"/>
    </row>
    <row r="7" spans="1:8" s="258" customFormat="1" ht="13.5" customHeight="1">
      <c r="A7" s="952" t="s">
        <v>2337</v>
      </c>
      <c r="B7" s="259" t="s">
        <v>2338</v>
      </c>
      <c r="C7" s="264">
        <f ca="1">ROUND(C6*F7,0)</f>
        <v>416325</v>
      </c>
      <c r="D7" s="264"/>
      <c r="E7" s="262"/>
      <c r="F7" s="265">
        <f>'数据-取费表'!B48+'数据-取费表'!B49</f>
        <v>3.0499999999999999E-2</v>
      </c>
      <c r="G7" s="263"/>
    </row>
    <row r="8" spans="1:8" s="267" customFormat="1">
      <c r="A8" s="952" t="s">
        <v>2339</v>
      </c>
      <c r="B8" s="259" t="s">
        <v>2340</v>
      </c>
      <c r="C8" s="264">
        <f ca="1">IF(G8="已包含在土地购买价格中",0,C9+C10)</f>
        <v>42096</v>
      </c>
      <c r="D8" s="266"/>
      <c r="E8" s="264"/>
      <c r="F8" s="265"/>
      <c r="G8" s="2556" t="s">
        <v>3140</v>
      </c>
    </row>
    <row r="9" spans="1:8" s="258" customFormat="1" ht="13.5" customHeight="1">
      <c r="A9" s="953" t="s">
        <v>800</v>
      </c>
      <c r="B9" s="268" t="s">
        <v>2341</v>
      </c>
      <c r="C9" s="269">
        <f ca="1">ROUND(D9*E9,0)</f>
        <v>42096</v>
      </c>
      <c r="D9" s="1035">
        <f ca="1">IF(B1="",'数据-汇总表'!E5,IF(INDIRECT("'数据-取费表'!c"&amp;$G$1)="住宅",INDIRECT("'数据-取费表'!k"&amp;$G$1),0))</f>
        <v>263.10000000000002</v>
      </c>
      <c r="E9" s="269">
        <f>'数据-取费表'!B27</f>
        <v>160</v>
      </c>
      <c r="F9" s="265"/>
      <c r="G9" s="270"/>
    </row>
    <row r="10" spans="1:8" s="258" customFormat="1" ht="13.5" customHeight="1">
      <c r="A10" s="953" t="s">
        <v>801</v>
      </c>
      <c r="B10" s="268" t="s">
        <v>2343</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t="str">
        <f>IF(G19="已包含在土地取得成本中","0",ROUND(D19*E19,0))</f>
        <v>0</v>
      </c>
      <c r="D19" s="1039">
        <f ca="1">D9+D10</f>
        <v>263.10000000000002</v>
      </c>
      <c r="E19" s="255">
        <f>'数据-取费表'!B31</f>
        <v>200</v>
      </c>
      <c r="F19" s="275"/>
      <c r="G19" s="2556" t="s">
        <v>3141</v>
      </c>
    </row>
    <row r="20" spans="1:7" s="258" customFormat="1" ht="13.5" customHeight="1">
      <c r="A20" s="299" t="s">
        <v>2437</v>
      </c>
      <c r="B20" s="254" t="s">
        <v>2438</v>
      </c>
      <c r="C20" s="276">
        <f ca="1">ROUND((C5+C19)*F20,0)</f>
        <v>282168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1385535</v>
      </c>
      <c r="D22" s="279">
        <f ca="1">C26</f>
        <v>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1372132</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0</v>
      </c>
      <c r="D24" s="282"/>
      <c r="E24" s="282"/>
      <c r="F24" s="283"/>
      <c r="G24" s="284" t="s">
        <v>2449</v>
      </c>
    </row>
    <row r="25" spans="1:7" s="258" customFormat="1" ht="24">
      <c r="A25" s="954" t="s">
        <v>2339</v>
      </c>
      <c r="B25" s="259" t="s">
        <v>2450</v>
      </c>
      <c r="C25" s="1384">
        <f ca="1">ROUND(IF('数据-取费表'!B22&lt;=1,C20*F22*'数据-取费表'!B22/2,C20*(POWER((1+F22),'数据-取费表'!B22/2)-1)),0)</f>
        <v>13403</v>
      </c>
      <c r="D25" s="282"/>
      <c r="E25" s="285"/>
      <c r="F25" s="283"/>
      <c r="G25" s="286" t="s">
        <v>2451</v>
      </c>
    </row>
    <row r="26" spans="1:7" s="258" customFormat="1">
      <c r="A26" s="954"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2878118</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2878118</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20219209</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1014909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920850</v>
      </c>
      <c r="D34" s="261"/>
      <c r="E34" s="264"/>
      <c r="F34" s="301"/>
      <c r="G34" s="263"/>
    </row>
    <row r="35" spans="1:7" ht="13.5" customHeight="1">
      <c r="A35" s="954" t="s">
        <v>796</v>
      </c>
      <c r="B35" s="259" t="s">
        <v>2390</v>
      </c>
      <c r="C35" s="264">
        <f ca="1">ROUND(C34*F35,0)</f>
        <v>27626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52620</v>
      </c>
      <c r="D37" s="261">
        <f ca="1">D19</f>
        <v>263.10000000000002</v>
      </c>
      <c r="E37" s="293">
        <f>'数据-取费表'!B35</f>
        <v>200</v>
      </c>
      <c r="F37" s="303"/>
      <c r="G37" s="305"/>
    </row>
    <row r="38" spans="1:7" ht="13.5" customHeight="1">
      <c r="A38" s="954" t="s">
        <v>799</v>
      </c>
      <c r="B38" s="259" t="s">
        <v>2396</v>
      </c>
      <c r="C38" s="264">
        <f ca="1">ROUND(C34*F38,0)</f>
        <v>13813</v>
      </c>
      <c r="D38" s="264"/>
      <c r="E38" s="264"/>
      <c r="F38" s="303">
        <f>'数据-取费表'!B36</f>
        <v>1.4999999999999999E-2</v>
      </c>
      <c r="G38" s="263" t="s">
        <v>2391</v>
      </c>
    </row>
    <row r="39" spans="1:7" s="258" customFormat="1" ht="13.5" customHeight="1">
      <c r="A39" s="299" t="s">
        <v>2397</v>
      </c>
      <c r="B39" s="254" t="s">
        <v>2398</v>
      </c>
      <c r="C39" s="276">
        <f ca="1">ROUND(C33*F20,0)</f>
        <v>20298</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49172</v>
      </c>
      <c r="D41" s="279">
        <f ca="1">C44</f>
        <v>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48208</v>
      </c>
      <c r="D42" s="282"/>
      <c r="E42" s="282"/>
      <c r="F42" s="283"/>
      <c r="G42" s="3151" t="s">
        <v>2454</v>
      </c>
    </row>
    <row r="43" spans="1:7" ht="13.5" customHeight="1">
      <c r="A43" s="954" t="s">
        <v>792</v>
      </c>
      <c r="B43" s="259" t="s">
        <v>2408</v>
      </c>
      <c r="C43" s="282">
        <f ca="1">ROUND(IF('数据-取费表'!B22&lt;=1,C39*F22*'数据-取费表'!B20/2,C39*(POWER((1+F22),'数据-取费表'!B20/2)-1)),0)</f>
        <v>964</v>
      </c>
      <c r="D43" s="282"/>
      <c r="E43" s="282"/>
      <c r="F43" s="283"/>
      <c r="G43" s="3152"/>
    </row>
    <row r="44" spans="1:7" ht="13.5" customHeight="1">
      <c r="A44" s="954" t="s">
        <v>793</v>
      </c>
      <c r="B44" s="259" t="s">
        <v>2409</v>
      </c>
      <c r="C44" s="282">
        <f ca="1">ROUND(IF('数据-取费表'!B22&lt;=1,C40*F22*'数据-取费表'!B20/2,C40*(POWER((1+F22),'数据-取费表'!B20/2)-1)),4)</f>
        <v>1E-3</v>
      </c>
      <c r="D44" s="282"/>
      <c r="E44" s="282"/>
      <c r="F44" s="283"/>
      <c r="G44" s="3153"/>
    </row>
    <row r="45" spans="1:7" s="258" customFormat="1" ht="13.5" customHeight="1">
      <c r="A45" s="299" t="s">
        <v>2410</v>
      </c>
      <c r="B45" s="288" t="s">
        <v>2376</v>
      </c>
      <c r="C45" s="289">
        <f ca="1">C46</f>
        <v>207041</v>
      </c>
      <c r="D45" s="279">
        <f ca="1">C47</f>
        <v>4.0000000000000001E-3</v>
      </c>
      <c r="E45" s="280" t="s">
        <v>2402</v>
      </c>
      <c r="F45" s="290"/>
      <c r="G45" s="291" t="s">
        <v>2411</v>
      </c>
    </row>
    <row r="46" spans="1:7" s="258" customFormat="1" ht="13.5" customHeight="1">
      <c r="A46" s="954" t="s">
        <v>791</v>
      </c>
      <c r="B46" s="292" t="s">
        <v>2412</v>
      </c>
      <c r="C46" s="293">
        <f ca="1">ROUND((C33+C39)*F27,0)</f>
        <v>207041</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1399762</v>
      </c>
      <c r="D49" s="276"/>
      <c r="E49" s="276"/>
      <c r="F49" s="308"/>
      <c r="G49" s="278" t="s">
        <v>2417</v>
      </c>
    </row>
    <row r="50" spans="1:7" s="302" customFormat="1">
      <c r="A50" s="299" t="s">
        <v>2418</v>
      </c>
      <c r="B50" s="254" t="s">
        <v>2419</v>
      </c>
      <c r="C50" s="276"/>
      <c r="D50" s="276"/>
      <c r="E50" s="276"/>
      <c r="F50" s="308">
        <f>IF('数据-取费表'!B24=0,'数据-取费表'!N16,1)</f>
        <v>0.78</v>
      </c>
      <c r="G50" s="291"/>
    </row>
    <row r="51" spans="1:7" ht="16.5" customHeight="1">
      <c r="A51" s="299" t="s">
        <v>2421</v>
      </c>
      <c r="B51" s="254" t="s">
        <v>2456</v>
      </c>
      <c r="C51" s="276">
        <f ca="1">ROUND(C49*F50,0)</f>
        <v>1091814</v>
      </c>
      <c r="D51" s="276"/>
      <c r="E51" s="276"/>
      <c r="F51" s="308"/>
      <c r="G51" s="278" t="s">
        <v>2423</v>
      </c>
    </row>
    <row r="52" spans="1:7" s="252" customFormat="1" ht="16.5" thickBot="1">
      <c r="A52" s="309" t="s">
        <v>2424</v>
      </c>
      <c r="B52" s="310"/>
      <c r="C52" s="311">
        <f ca="1">C31+C51</f>
        <v>21311023</v>
      </c>
      <c r="D52" s="310"/>
      <c r="E52" s="310"/>
      <c r="F52" s="310"/>
      <c r="G52" s="312"/>
    </row>
    <row r="55" spans="1:7" ht="15">
      <c r="B55" s="314" t="s">
        <v>2425</v>
      </c>
      <c r="C55" s="315"/>
    </row>
    <row r="56" spans="1:7">
      <c r="B56" s="317" t="s">
        <v>1509</v>
      </c>
      <c r="C56" s="319">
        <f ca="1">1-C57</f>
        <v>0.94899999999999995</v>
      </c>
    </row>
    <row r="57" spans="1:7">
      <c r="B57" s="317" t="s">
        <v>1510</v>
      </c>
      <c r="C57" s="318">
        <f ca="1">ROUND(C51/C52,3)</f>
        <v>5.0999999999999997E-2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-5</v>
      </c>
      <c r="C2" s="320" t="s">
        <v>2458</v>
      </c>
      <c r="D2" s="320"/>
      <c r="E2" s="320"/>
      <c r="F2" s="320"/>
      <c r="G2" s="320"/>
      <c r="H2" s="320"/>
      <c r="I2" s="320"/>
      <c r="J2" s="320"/>
      <c r="K2" s="320"/>
    </row>
    <row r="3" spans="1:33" ht="18" customHeight="1" thickBot="1">
      <c r="A3" s="247" t="s">
        <v>2327</v>
      </c>
      <c r="B3" s="248">
        <f ca="1">ROUND(B2*10000/IF(C1="",'数据-汇总表'!E3,INDIRECT("'数据-取费表'!K"&amp;$K$1)),0)</f>
        <v>-190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0" t="s">
        <v>2463</v>
      </c>
      <c r="D5" s="2560" t="s">
        <v>2464</v>
      </c>
      <c r="E5" s="2560" t="s">
        <v>2465</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1330</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2479</v>
      </c>
      <c r="C12" s="24">
        <f ca="1">ROUND(C11*F12,0)</f>
        <v>0</v>
      </c>
      <c r="D12" s="976"/>
      <c r="E12" s="375"/>
      <c r="F12" s="979">
        <f>'数据-取费表'!B33</f>
        <v>0.03</v>
      </c>
      <c r="G12" s="8" t="s">
        <v>2480</v>
      </c>
      <c r="H12" s="971"/>
      <c r="I12" s="971"/>
      <c r="J12" s="971"/>
      <c r="K12" s="972"/>
    </row>
    <row r="13" spans="1:33" s="978" customFormat="1" ht="13.5" customHeight="1">
      <c r="A13" s="974" t="s">
        <v>1332</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1333</v>
      </c>
      <c r="B14" s="975" t="s">
        <v>2483</v>
      </c>
      <c r="C14" s="24">
        <f ca="1">ROUND(D14*E14*F11/10000,0)</f>
        <v>0</v>
      </c>
      <c r="D14" s="1036">
        <f ca="1">IF(C1="",'数据-汇总表'!E3,INDIRECT("'数据-取费表'!K"&amp;$K$1)+INDIRECT("'数据-取费表'!S"&amp;$K$1))</f>
        <v>263.10000000000002</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263.10000000000002</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2490</v>
      </c>
      <c r="C18" s="24">
        <f ca="1">C19+C20-IF(C1="",'数据-取费表'!B29,IF(G18="已全部缴纳",C19+C20,H18))</f>
        <v>4</v>
      </c>
      <c r="D18" s="1036"/>
      <c r="E18" s="24"/>
      <c r="F18" s="979"/>
      <c r="G18" s="2562"/>
      <c r="H18" s="1580"/>
      <c r="I18" s="2563" t="s">
        <v>2491</v>
      </c>
      <c r="J18" s="982"/>
      <c r="K18" s="983"/>
    </row>
    <row r="19" spans="1:33" s="978" customFormat="1" ht="13.5" customHeight="1">
      <c r="A19" s="974" t="s">
        <v>805</v>
      </c>
      <c r="B19" s="975" t="s">
        <v>2492</v>
      </c>
      <c r="C19" s="24">
        <f ca="1">ROUND(D19*E19/10000,0)</f>
        <v>4</v>
      </c>
      <c r="D19" s="1036">
        <f ca="1">IF(C1="",'数据-汇总表'!E5,IF(INDIRECT("'数据-取费表'!c"&amp;$K$1)="住宅",INDIRECT("'数据-取费表'!k"&amp;$K$1),0))</f>
        <v>263.10000000000002</v>
      </c>
      <c r="E19" s="24">
        <f>'数据-取费表'!B27</f>
        <v>160</v>
      </c>
      <c r="F19" s="979"/>
      <c r="G19" s="15"/>
      <c r="H19" s="1582"/>
      <c r="I19" s="984"/>
      <c r="J19" s="984"/>
      <c r="K19" s="985"/>
    </row>
    <row r="20" spans="1:33" s="978" customFormat="1" ht="13.5" customHeight="1">
      <c r="A20" s="974" t="s">
        <v>806</v>
      </c>
      <c r="B20" s="975" t="s">
        <v>2493</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2494</v>
      </c>
      <c r="C21" s="989">
        <f ca="1">C16+C17+C18</f>
        <v>4</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2507</v>
      </c>
      <c r="B28" s="2565" t="s">
        <v>2508</v>
      </c>
      <c r="C28" s="331">
        <f ca="1">C30</f>
        <v>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v>
      </c>
      <c r="D30" s="328"/>
      <c r="E30" s="329"/>
      <c r="F30" s="334"/>
      <c r="G30" s="140"/>
      <c r="H30" s="982"/>
      <c r="I30" s="982"/>
      <c r="J30" s="982"/>
      <c r="K30" s="983"/>
    </row>
    <row r="31" spans="1:33" s="978" customFormat="1" ht="13.5" customHeight="1" thickBot="1">
      <c r="A31" s="2566"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6" sqref="H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56" t="s">
        <v>1399</v>
      </c>
      <c r="C6" s="1299">
        <f ca="1">ROUND(F6*F8*F7*(1-F9)/10000,0)</f>
        <v>0</v>
      </c>
      <c r="D6" s="164" t="s">
        <v>3030</v>
      </c>
      <c r="E6" s="347" t="s">
        <v>1401</v>
      </c>
      <c r="F6" s="348">
        <f ca="1">INDIRECT("'数据-取费表'!u"&amp;$G$1)</f>
        <v>0</v>
      </c>
      <c r="G6" s="1854"/>
      <c r="H6" s="1294" t="s">
        <v>1032</v>
      </c>
      <c r="I6" s="3156" t="s">
        <v>1399</v>
      </c>
      <c r="J6" s="346">
        <f ca="1">ROUND(M6*M8*M7*(1-M9)/10000,0)</f>
        <v>0</v>
      </c>
      <c r="K6" s="164" t="s">
        <v>3029</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0</v>
      </c>
      <c r="G7" s="1854"/>
      <c r="H7" s="349"/>
      <c r="I7" s="3157"/>
      <c r="J7" s="351"/>
      <c r="K7" s="352"/>
      <c r="L7" s="347" t="s">
        <v>1402</v>
      </c>
      <c r="M7" s="348">
        <f ca="1">F7</f>
        <v>0</v>
      </c>
    </row>
    <row r="8" spans="1:37" ht="18" customHeight="1">
      <c r="A8" s="349"/>
      <c r="B8" s="3157"/>
      <c r="C8" s="351"/>
      <c r="D8" s="352"/>
      <c r="E8" s="347" t="s">
        <v>1403</v>
      </c>
      <c r="F8" s="348">
        <f ca="1">INDIRECT("'数据-取费表'!ai"&amp;$G$1)</f>
        <v>0</v>
      </c>
      <c r="G8" s="1854"/>
      <c r="H8" s="349"/>
      <c r="I8" s="3157"/>
      <c r="J8" s="351"/>
      <c r="K8" s="352"/>
      <c r="L8" s="347" t="s">
        <v>1403</v>
      </c>
      <c r="M8" s="348">
        <f ca="1">INDIRECT("'数据-取费表'!ai"&amp;$G$1)</f>
        <v>0</v>
      </c>
    </row>
    <row r="9" spans="1:37" ht="18" customHeight="1">
      <c r="A9" s="349"/>
      <c r="B9" s="3158"/>
      <c r="C9" s="351"/>
      <c r="D9" s="352"/>
      <c r="E9" s="347" t="s">
        <v>1404</v>
      </c>
      <c r="F9" s="357">
        <f ca="1">INDIRECT("'数据-取费表'!w"&amp;$G$1)</f>
        <v>0</v>
      </c>
      <c r="G9" s="1854"/>
      <c r="H9" s="349"/>
      <c r="I9" s="315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H46" s="1845">
        <f>66/80</f>
        <v>0.82499999999999996</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3099</v>
      </c>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t="s">
        <v>3100</v>
      </c>
      <c r="K48" s="1892" t="s">
        <v>1527</v>
      </c>
      <c r="L48" s="1893">
        <f ca="1">INDIRECT("'数据-取费表'!f"&amp;$G$1)</f>
        <v>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2005</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66</v>
      </c>
      <c r="K51" s="1903" t="s">
        <v>1537</v>
      </c>
      <c r="L51" s="1904">
        <f ca="1">ROUND(-PV(INDIRECT("'数据-取费表'!h"&amp;$G$1),L48,(C39-C13*C76),0),0)</f>
        <v>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4" t="s">
        <v>1544</v>
      </c>
      <c r="L53" s="3155"/>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3092</v>
      </c>
      <c r="K56" s="1890" t="s">
        <v>1551</v>
      </c>
      <c r="L56" s="1893" t="str">
        <f ca="1">IF(L48&lt;J51,"——",L48-J53)</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H52" sqref="H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5" t="s">
        <v>2684</v>
      </c>
      <c r="C1" s="1623" t="s">
        <v>2528</v>
      </c>
      <c r="D1" s="1624" t="s">
        <v>27</v>
      </c>
      <c r="E1" s="1633"/>
      <c r="F1" s="2590" t="s">
        <v>3106</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0</v>
      </c>
      <c r="C2" s="2592" t="s">
        <v>70</v>
      </c>
      <c r="D2" s="1368" t="e">
        <f ca="1">SUMIF(INDIRECT("'"&amp;F2&amp;"'"&amp;"!A:A"),"承租人权益价值",INDIRECT("'"&amp;F2&amp;"'"&amp;"!c:c"))</f>
        <v>#REF!</v>
      </c>
      <c r="E2" s="2593" t="s">
        <v>2326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36571</v>
      </c>
      <c r="C3" s="400" t="s">
        <v>2642</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181" t="s">
        <v>2649</v>
      </c>
      <c r="Q4" s="3182"/>
      <c r="R4" s="3187" t="s">
        <v>2645</v>
      </c>
      <c r="S4" s="3188"/>
      <c r="T4" s="3187" t="s">
        <v>2646</v>
      </c>
      <c r="U4" s="3188"/>
      <c r="V4" s="3193" t="s">
        <v>2647</v>
      </c>
      <c r="W4" s="3193"/>
      <c r="X4" s="2676"/>
      <c r="Y4" s="3187" t="s">
        <v>2649</v>
      </c>
      <c r="Z4" s="3188"/>
      <c r="AA4" s="3205" t="s">
        <v>2645</v>
      </c>
      <c r="AB4" s="3205" t="s">
        <v>2646</v>
      </c>
      <c r="AC4" s="3174" t="s">
        <v>2647</v>
      </c>
    </row>
    <row r="5" spans="1:29" ht="15">
      <c r="A5" s="404"/>
      <c r="B5" s="405"/>
      <c r="C5" s="3197" t="s">
        <v>2540</v>
      </c>
      <c r="D5" s="3198"/>
      <c r="E5" s="3208" t="s">
        <v>2541</v>
      </c>
      <c r="F5" s="3209"/>
      <c r="G5" s="3197" t="s">
        <v>2542</v>
      </c>
      <c r="H5" s="3198"/>
      <c r="I5" s="3197" t="s">
        <v>2543</v>
      </c>
      <c r="J5" s="3198"/>
      <c r="K5" s="610"/>
      <c r="L5" s="1133"/>
      <c r="M5" s="1134"/>
      <c r="N5" s="1134"/>
      <c r="O5" s="1134"/>
      <c r="P5" s="3183"/>
      <c r="Q5" s="3184"/>
      <c r="R5" s="3189"/>
      <c r="S5" s="3190"/>
      <c r="T5" s="3189"/>
      <c r="U5" s="3190"/>
      <c r="V5" s="3194"/>
      <c r="W5" s="3194"/>
      <c r="X5" s="1816"/>
      <c r="Y5" s="3189"/>
      <c r="Z5" s="3190"/>
      <c r="AA5" s="3206"/>
      <c r="AB5" s="3206"/>
      <c r="AC5" s="3175"/>
    </row>
    <row r="6" spans="1:29" ht="15.75" thickBot="1">
      <c r="A6" s="406"/>
      <c r="B6" s="407"/>
      <c r="C6" s="3195" t="s">
        <v>2544</v>
      </c>
      <c r="D6" s="3196"/>
      <c r="E6" s="3203" t="s">
        <v>2544</v>
      </c>
      <c r="F6" s="3204"/>
      <c r="G6" s="3195" t="s">
        <v>2544</v>
      </c>
      <c r="H6" s="3196"/>
      <c r="I6" s="3195" t="s">
        <v>2544</v>
      </c>
      <c r="J6" s="3196"/>
      <c r="K6" s="610" t="s">
        <v>2545</v>
      </c>
      <c r="L6" s="1133"/>
      <c r="M6" s="1134"/>
      <c r="N6" s="1134"/>
      <c r="O6" s="1134"/>
      <c r="P6" s="3185"/>
      <c r="Q6" s="3186"/>
      <c r="R6" s="3189"/>
      <c r="S6" s="3190"/>
      <c r="T6" s="3191"/>
      <c r="U6" s="3192"/>
      <c r="V6" s="3194"/>
      <c r="W6" s="3194"/>
      <c r="X6" s="1816"/>
      <c r="Y6" s="3191"/>
      <c r="Z6" s="3192"/>
      <c r="AA6" s="3207"/>
      <c r="AB6" s="3207"/>
      <c r="AC6" s="3176"/>
    </row>
    <row r="7" spans="1:29" s="117" customFormat="1" ht="15.75" thickBot="1">
      <c r="A7" s="408" t="s">
        <v>2546</v>
      </c>
      <c r="B7" s="409"/>
      <c r="C7" s="410">
        <f>'数据-取费表'!B2</f>
        <v>43483</v>
      </c>
      <c r="D7" s="411">
        <v>100</v>
      </c>
      <c r="E7" s="412">
        <f>C7</f>
        <v>43483</v>
      </c>
      <c r="F7" s="413">
        <f>SUMIF(59:59,YEAR(E7)&amp;"-"&amp;MONTH(E7),60:60)</f>
        <v>100</v>
      </c>
      <c r="G7" s="412">
        <f>C7</f>
        <v>43483</v>
      </c>
      <c r="H7" s="411">
        <f>SUMIF(59:59,YEAR(G7)&amp;"-"&amp;MONTH(G7),60:60)</f>
        <v>100</v>
      </c>
      <c r="I7" s="412">
        <f>C7</f>
        <v>43483</v>
      </c>
      <c r="J7" s="411">
        <f>SUMIF(59:59,YEAR(I7)&amp;"-"&amp;MONTH(I7),60:60)</f>
        <v>100</v>
      </c>
      <c r="K7" s="611"/>
      <c r="L7" s="1135"/>
      <c r="M7" s="1136"/>
      <c r="N7" s="1136"/>
      <c r="O7" s="1136"/>
      <c r="P7" s="3199" t="s">
        <v>2547</v>
      </c>
      <c r="Q7" s="3202"/>
      <c r="R7" s="770" t="s">
        <v>17</v>
      </c>
      <c r="S7" s="771">
        <f t="shared" ref="S7:S15" si="0">F7</f>
        <v>100</v>
      </c>
      <c r="T7" s="770" t="s">
        <v>17</v>
      </c>
      <c r="U7" s="771">
        <f t="shared" ref="U7:U15" si="1">H7</f>
        <v>100</v>
      </c>
      <c r="V7" s="770" t="s">
        <v>17</v>
      </c>
      <c r="W7" s="771">
        <f t="shared" ref="W7:W15" si="2">J7</f>
        <v>100</v>
      </c>
      <c r="X7" s="772"/>
      <c r="Y7" s="3201" t="s">
        <v>2547</v>
      </c>
      <c r="Z7" s="3200"/>
      <c r="AA7" s="773">
        <f>D7/F7</f>
        <v>1</v>
      </c>
      <c r="AB7" s="773">
        <f>D7/H7</f>
        <v>1</v>
      </c>
      <c r="AC7" s="2677">
        <f>D7/J7</f>
        <v>1</v>
      </c>
    </row>
    <row r="8" spans="1:29" s="117" customFormat="1" ht="15.75" thickBot="1">
      <c r="A8" s="408" t="s">
        <v>2548</v>
      </c>
      <c r="B8" s="409"/>
      <c r="C8" s="414" t="s">
        <v>2650</v>
      </c>
      <c r="D8" s="411">
        <v>100</v>
      </c>
      <c r="E8" s="414" t="s">
        <v>3105</v>
      </c>
      <c r="F8" s="413">
        <f>SUMIF(62:62,E8,63:63)-SUMIF(62:62,C8,63:63)+100</f>
        <v>100</v>
      </c>
      <c r="G8" s="414" t="s">
        <v>3105</v>
      </c>
      <c r="H8" s="411">
        <f>SUMIF(62:62,G8,63:63)-SUMIF(62:62,C8,63:63)+100</f>
        <v>100</v>
      </c>
      <c r="I8" s="414" t="s">
        <v>3105</v>
      </c>
      <c r="J8" s="411">
        <f>SUMIF(62:62,I8,63:63)-SUMIF(62:62,C8,63:63)+100</f>
        <v>100</v>
      </c>
      <c r="K8" s="611"/>
      <c r="L8" s="1135"/>
      <c r="M8" s="1136"/>
      <c r="N8" s="1136"/>
      <c r="O8" s="1136"/>
      <c r="P8" s="3199" t="s">
        <v>2550</v>
      </c>
      <c r="Q8" s="3200"/>
      <c r="R8" s="770" t="s">
        <v>17</v>
      </c>
      <c r="S8" s="771">
        <f t="shared" si="0"/>
        <v>100</v>
      </c>
      <c r="T8" s="770" t="s">
        <v>17</v>
      </c>
      <c r="U8" s="771">
        <f t="shared" si="1"/>
        <v>100</v>
      </c>
      <c r="V8" s="770" t="s">
        <v>17</v>
      </c>
      <c r="W8" s="771">
        <f t="shared" si="2"/>
        <v>100</v>
      </c>
      <c r="X8" s="772"/>
      <c r="Y8" s="3201" t="s">
        <v>2550</v>
      </c>
      <c r="Z8" s="3200"/>
      <c r="AA8" s="773">
        <f t="shared" ref="AA8:AA47" si="3">D8/F8</f>
        <v>1</v>
      </c>
      <c r="AB8" s="773">
        <f t="shared" ref="AB8:AB47" si="4">D8/H8</f>
        <v>1</v>
      </c>
      <c r="AC8" s="2677">
        <f t="shared" ref="AC8:AC47" si="5">D8/J8</f>
        <v>1</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9"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2677">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7">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59"/>
      <c r="Q11" s="1798" t="str">
        <f t="shared" si="6"/>
        <v>容积率</v>
      </c>
      <c r="R11" s="770" t="s">
        <v>17</v>
      </c>
      <c r="S11" s="771">
        <f t="shared" si="0"/>
        <v>100</v>
      </c>
      <c r="T11" s="770" t="s">
        <v>17</v>
      </c>
      <c r="U11" s="771">
        <f t="shared" si="1"/>
        <v>100</v>
      </c>
      <c r="V11" s="770" t="s">
        <v>17</v>
      </c>
      <c r="W11" s="771">
        <f t="shared" si="2"/>
        <v>100</v>
      </c>
      <c r="X11" s="772"/>
      <c r="Y11" s="3009"/>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59"/>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7">
        <f t="shared" si="5"/>
        <v>1</v>
      </c>
    </row>
    <row r="15" spans="1:29" ht="71.25">
      <c r="A15" s="440" t="s">
        <v>2557</v>
      </c>
      <c r="B15" s="629" t="s">
        <v>2685</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2558</v>
      </c>
      <c r="Q15" s="1813" t="str">
        <f t="shared" si="6"/>
        <v>办公集聚程度</v>
      </c>
      <c r="R15" s="774" t="s">
        <v>17</v>
      </c>
      <c r="S15" s="775">
        <f t="shared" si="0"/>
        <v>100</v>
      </c>
      <c r="T15" s="774" t="s">
        <v>17</v>
      </c>
      <c r="U15" s="775">
        <f t="shared" si="1"/>
        <v>100</v>
      </c>
      <c r="V15" s="774" t="s">
        <v>17</v>
      </c>
      <c r="W15" s="775">
        <f t="shared" si="2"/>
        <v>100</v>
      </c>
      <c r="X15" s="1816"/>
      <c r="Y15" s="3167" t="s">
        <v>2558</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66"/>
      <c r="Q16" s="1813"/>
      <c r="R16" s="774"/>
      <c r="S16" s="775"/>
      <c r="T16" s="774"/>
      <c r="U16" s="775"/>
      <c r="V16" s="774"/>
      <c r="W16" s="775"/>
      <c r="X16" s="1816"/>
      <c r="Y16" s="3168"/>
      <c r="Z16" s="1817"/>
      <c r="AA16" s="1814">
        <v>1</v>
      </c>
      <c r="AB16" s="1814">
        <v>1</v>
      </c>
      <c r="AC16" s="2680">
        <v>1</v>
      </c>
    </row>
    <row r="17" spans="1:29" ht="71.25">
      <c r="A17" s="428"/>
      <c r="B17" s="631" t="s">
        <v>2094</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66"/>
      <c r="Q18" s="1813"/>
      <c r="R18" s="774"/>
      <c r="S18" s="775"/>
      <c r="T18" s="774"/>
      <c r="U18" s="775"/>
      <c r="V18" s="774"/>
      <c r="W18" s="775"/>
      <c r="X18" s="1816"/>
      <c r="Y18" s="3168"/>
      <c r="Z18" s="1817"/>
      <c r="AA18" s="1814">
        <v>1</v>
      </c>
      <c r="AB18" s="1814">
        <v>1</v>
      </c>
      <c r="AC18" s="2680">
        <v>1</v>
      </c>
    </row>
    <row r="19" spans="1:29" ht="42.75">
      <c r="A19" s="428"/>
      <c r="B19" s="631" t="s">
        <v>2686</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66"/>
      <c r="Q20" s="1813"/>
      <c r="R20" s="774"/>
      <c r="S20" s="775"/>
      <c r="T20" s="774"/>
      <c r="U20" s="775"/>
      <c r="V20" s="774"/>
      <c r="W20" s="775"/>
      <c r="X20" s="1816"/>
      <c r="Y20" s="3168"/>
      <c r="Z20" s="1817"/>
      <c r="AA20" s="1814">
        <v>1</v>
      </c>
      <c r="AB20" s="1814">
        <v>1</v>
      </c>
      <c r="AC20" s="2680">
        <v>1</v>
      </c>
    </row>
    <row r="21" spans="1:29" ht="28.5">
      <c r="A21" s="428"/>
      <c r="B21" s="633" t="s">
        <v>2687</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66"/>
      <c r="Q22" s="1813"/>
      <c r="R22" s="774"/>
      <c r="S22" s="775"/>
      <c r="T22" s="774"/>
      <c r="U22" s="775"/>
      <c r="V22" s="774"/>
      <c r="W22" s="775"/>
      <c r="X22" s="1816"/>
      <c r="Y22" s="3168"/>
      <c r="Z22" s="1817"/>
      <c r="AA22" s="1814">
        <v>1</v>
      </c>
      <c r="AB22" s="1814">
        <v>1</v>
      </c>
      <c r="AC22" s="2680">
        <v>1</v>
      </c>
    </row>
    <row r="23" spans="1:29" ht="42.75">
      <c r="A23" s="428"/>
      <c r="B23" s="631" t="s">
        <v>2688</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66"/>
      <c r="Q24" s="1813"/>
      <c r="R24" s="774"/>
      <c r="S24" s="775"/>
      <c r="T24" s="774"/>
      <c r="U24" s="775"/>
      <c r="V24" s="774"/>
      <c r="W24" s="775"/>
      <c r="X24" s="1816"/>
      <c r="Y24" s="3168"/>
      <c r="Z24" s="1817"/>
      <c r="AA24" s="1814">
        <v>1</v>
      </c>
      <c r="AB24" s="1814">
        <v>1</v>
      </c>
      <c r="AC24" s="2680">
        <v>1</v>
      </c>
    </row>
    <row r="25" spans="1:29" ht="27">
      <c r="A25" s="404"/>
      <c r="B25" s="631" t="s">
        <v>2689</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68"/>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68"/>
      <c r="Z26" s="1817"/>
      <c r="AA26" s="1814">
        <v>1</v>
      </c>
      <c r="AB26" s="1814">
        <v>1</v>
      </c>
      <c r="AC26" s="2680">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68"/>
      <c r="Z27" s="1817" t="str">
        <f>Q27</f>
        <v>楼层</v>
      </c>
      <c r="AA27" s="1814">
        <f t="shared" si="3"/>
        <v>1</v>
      </c>
      <c r="AB27" s="1814">
        <f t="shared" si="4"/>
        <v>1</v>
      </c>
      <c r="AC27" s="2680">
        <f t="shared" si="5"/>
        <v>1</v>
      </c>
    </row>
    <row r="28" spans="1:29" s="117" customFormat="1" ht="15">
      <c r="A28" s="431"/>
      <c r="B28" s="631" t="s">
        <v>2690</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68"/>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68"/>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68"/>
      <c r="Z32" s="1817">
        <f t="shared" si="15"/>
        <v>111</v>
      </c>
      <c r="AA32" s="1814">
        <f t="shared" si="3"/>
        <v>1</v>
      </c>
      <c r="AB32" s="1814">
        <f t="shared" si="4"/>
        <v>1</v>
      </c>
      <c r="AC32" s="2680">
        <f t="shared" si="5"/>
        <v>1</v>
      </c>
    </row>
    <row r="33" spans="1:29" ht="15">
      <c r="A33" s="440" t="s">
        <v>2561</v>
      </c>
      <c r="B33" s="71" t="s">
        <v>2691</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69" t="s">
        <v>2563</v>
      </c>
      <c r="Q33" s="1813" t="str">
        <f t="shared" si="11"/>
        <v>建筑类型</v>
      </c>
      <c r="R33" s="774" t="s">
        <v>17</v>
      </c>
      <c r="S33" s="775">
        <f t="shared" si="12"/>
        <v>100</v>
      </c>
      <c r="T33" s="774" t="s">
        <v>17</v>
      </c>
      <c r="U33" s="775">
        <f t="shared" si="13"/>
        <v>100</v>
      </c>
      <c r="V33" s="774" t="s">
        <v>17</v>
      </c>
      <c r="W33" s="775">
        <f t="shared" si="14"/>
        <v>100</v>
      </c>
      <c r="X33" s="1816"/>
      <c r="Y33" s="3172" t="s">
        <v>2563</v>
      </c>
      <c r="Z33" s="1817" t="str">
        <f t="shared" si="15"/>
        <v>建筑类型</v>
      </c>
      <c r="AA33" s="1814">
        <f t="shared" si="3"/>
        <v>1</v>
      </c>
      <c r="AB33" s="1814">
        <f t="shared" si="4"/>
        <v>1</v>
      </c>
      <c r="AC33" s="2680">
        <f t="shared" si="5"/>
        <v>1</v>
      </c>
    </row>
    <row r="34" spans="1:29" s="471" customFormat="1" ht="15">
      <c r="A34" s="468"/>
      <c r="B34" s="422" t="s">
        <v>2564</v>
      </c>
      <c r="C34" s="469">
        <f>'数据-基础表'!I13</f>
        <v>263.10000000000002</v>
      </c>
      <c r="D34" s="136">
        <v>100</v>
      </c>
      <c r="E34" s="430">
        <v>626</v>
      </c>
      <c r="F34" s="425">
        <f>LOOKUP(E34,104:104,105:105)-LOOKUP(C34,104:104,105:105)+100</f>
        <v>100</v>
      </c>
      <c r="G34" s="429">
        <v>1300</v>
      </c>
      <c r="H34" s="136">
        <f>LOOKUP(G34,104:104,105:105)-LOOKUP(C34,104:104,105:105)+100</f>
        <v>98</v>
      </c>
      <c r="I34" s="429">
        <v>263</v>
      </c>
      <c r="J34" s="136">
        <f>LOOKUP(I34,104:104,105:105)-LOOKUP(C34,104:104,105:105)+100</f>
        <v>100</v>
      </c>
      <c r="K34" s="613"/>
      <c r="L34" s="1141"/>
      <c r="M34" s="1144"/>
      <c r="N34" s="1144"/>
      <c r="O34" s="1144"/>
      <c r="P34" s="3170"/>
      <c r="Q34" s="776" t="str">
        <f t="shared" si="11"/>
        <v>项目建筑规模</v>
      </c>
      <c r="R34" s="777" t="s">
        <v>17</v>
      </c>
      <c r="S34" s="778">
        <f t="shared" si="12"/>
        <v>100</v>
      </c>
      <c r="T34" s="777" t="s">
        <v>17</v>
      </c>
      <c r="U34" s="778">
        <f t="shared" si="13"/>
        <v>98</v>
      </c>
      <c r="V34" s="777" t="s">
        <v>17</v>
      </c>
      <c r="W34" s="778">
        <f t="shared" si="14"/>
        <v>100</v>
      </c>
      <c r="X34" s="779"/>
      <c r="Y34" s="3172"/>
      <c r="Z34" s="780" t="str">
        <f t="shared" si="15"/>
        <v>项目建筑规模</v>
      </c>
      <c r="AA34" s="1814">
        <f t="shared" si="3"/>
        <v>1</v>
      </c>
      <c r="AB34" s="1814">
        <f t="shared" si="4"/>
        <v>1.0204081632653061</v>
      </c>
      <c r="AC34" s="2680">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0"/>
      <c r="Q35" s="1813" t="str">
        <f t="shared" si="11"/>
        <v>建筑结构</v>
      </c>
      <c r="R35" s="774" t="s">
        <v>17</v>
      </c>
      <c r="S35" s="775">
        <f t="shared" si="12"/>
        <v>100</v>
      </c>
      <c r="T35" s="774" t="s">
        <v>17</v>
      </c>
      <c r="U35" s="775">
        <f t="shared" si="13"/>
        <v>100</v>
      </c>
      <c r="V35" s="774" t="s">
        <v>17</v>
      </c>
      <c r="W35" s="775">
        <f t="shared" si="14"/>
        <v>100</v>
      </c>
      <c r="X35" s="1816"/>
      <c r="Y35" s="3172"/>
      <c r="Z35" s="1817" t="str">
        <f t="shared" si="15"/>
        <v>建筑结构</v>
      </c>
      <c r="AA35" s="1814">
        <f t="shared" si="3"/>
        <v>1</v>
      </c>
      <c r="AB35" s="1814">
        <f t="shared" si="4"/>
        <v>1</v>
      </c>
      <c r="AC35" s="2680">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0"/>
      <c r="Q36" s="1813" t="str">
        <f t="shared" si="11"/>
        <v>公共部分装修</v>
      </c>
      <c r="R36" s="774" t="s">
        <v>17</v>
      </c>
      <c r="S36" s="775">
        <f t="shared" si="12"/>
        <v>100</v>
      </c>
      <c r="T36" s="774" t="s">
        <v>17</v>
      </c>
      <c r="U36" s="775">
        <f t="shared" si="13"/>
        <v>100</v>
      </c>
      <c r="V36" s="774" t="s">
        <v>17</v>
      </c>
      <c r="W36" s="775">
        <f t="shared" si="14"/>
        <v>100</v>
      </c>
      <c r="X36" s="1816"/>
      <c r="Y36" s="3172"/>
      <c r="Z36" s="1817" t="str">
        <f t="shared" si="15"/>
        <v>公共部分装修</v>
      </c>
      <c r="AA36" s="1814">
        <f t="shared" si="3"/>
        <v>1</v>
      </c>
      <c r="AB36" s="1814">
        <f t="shared" si="4"/>
        <v>1</v>
      </c>
      <c r="AC36" s="2680">
        <f t="shared" si="5"/>
        <v>1</v>
      </c>
    </row>
    <row r="37" spans="1:29" ht="15">
      <c r="A37" s="472"/>
      <c r="B37" s="422" t="s">
        <v>2660</v>
      </c>
      <c r="C37" s="474">
        <f>'数据-取费表'!Y6</f>
        <v>0.78</v>
      </c>
      <c r="D37" s="435">
        <v>100</v>
      </c>
      <c r="E37" s="474">
        <f>C37</f>
        <v>0.78</v>
      </c>
      <c r="F37" s="461">
        <f>LOOKUP(E37,111:111,112:112)-LOOKUP(C37,111:111,112:112)+100</f>
        <v>100</v>
      </c>
      <c r="G37" s="474">
        <f>C37</f>
        <v>0.78</v>
      </c>
      <c r="H37" s="461">
        <f>LOOKUP(G37,111:111,112:112)-LOOKUP(C37,111:111,112:112)+100</f>
        <v>100</v>
      </c>
      <c r="I37" s="474">
        <f>C37</f>
        <v>0.78</v>
      </c>
      <c r="J37" s="435">
        <f>LOOKUP(I37,111:111,112:112)-LOOKUP(C37,111:111,112:112)+100</f>
        <v>100</v>
      </c>
      <c r="K37" s="612"/>
      <c r="L37" s="1143"/>
      <c r="M37" s="1134"/>
      <c r="N37" s="1134"/>
      <c r="O37" s="1134"/>
      <c r="P37" s="3170"/>
      <c r="Q37" s="1813" t="str">
        <f t="shared" si="11"/>
        <v>成新度</v>
      </c>
      <c r="R37" s="774" t="s">
        <v>17</v>
      </c>
      <c r="S37" s="775">
        <f t="shared" si="12"/>
        <v>100</v>
      </c>
      <c r="T37" s="774" t="s">
        <v>17</v>
      </c>
      <c r="U37" s="775">
        <f t="shared" si="13"/>
        <v>100</v>
      </c>
      <c r="V37" s="774" t="s">
        <v>17</v>
      </c>
      <c r="W37" s="775">
        <f t="shared" si="14"/>
        <v>100</v>
      </c>
      <c r="X37" s="1816"/>
      <c r="Y37" s="3172"/>
      <c r="Z37" s="1817" t="str">
        <f t="shared" si="15"/>
        <v>成新度</v>
      </c>
      <c r="AA37" s="1814">
        <f t="shared" si="3"/>
        <v>1</v>
      </c>
      <c r="AB37" s="1814">
        <f t="shared" si="4"/>
        <v>1</v>
      </c>
      <c r="AC37" s="2680">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0"/>
      <c r="Q38" s="1798" t="str">
        <f t="shared" si="11"/>
        <v>写字楼等级</v>
      </c>
      <c r="R38" s="770" t="s">
        <v>17</v>
      </c>
      <c r="S38" s="771">
        <f t="shared" si="12"/>
        <v>100</v>
      </c>
      <c r="T38" s="770" t="s">
        <v>17</v>
      </c>
      <c r="U38" s="771">
        <f t="shared" si="13"/>
        <v>100</v>
      </c>
      <c r="V38" s="770" t="s">
        <v>17</v>
      </c>
      <c r="W38" s="771">
        <f t="shared" si="14"/>
        <v>100</v>
      </c>
      <c r="X38" s="772"/>
      <c r="Y38" s="3172"/>
      <c r="Z38" s="55" t="str">
        <f t="shared" si="15"/>
        <v>写字楼等级</v>
      </c>
      <c r="AA38" s="773">
        <f t="shared" si="3"/>
        <v>1</v>
      </c>
      <c r="AB38" s="773">
        <f t="shared" si="4"/>
        <v>1</v>
      </c>
      <c r="AC38" s="2677">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0" t="s">
        <v>2563</v>
      </c>
      <c r="Q39" s="1813" t="str">
        <f t="shared" si="11"/>
        <v>物业管理</v>
      </c>
      <c r="R39" s="774" t="s">
        <v>17</v>
      </c>
      <c r="S39" s="775">
        <f t="shared" si="12"/>
        <v>100</v>
      </c>
      <c r="T39" s="774" t="s">
        <v>17</v>
      </c>
      <c r="U39" s="775">
        <f t="shared" si="13"/>
        <v>100</v>
      </c>
      <c r="V39" s="774" t="s">
        <v>17</v>
      </c>
      <c r="W39" s="775">
        <f t="shared" si="14"/>
        <v>100</v>
      </c>
      <c r="X39" s="1816"/>
      <c r="Y39" s="3172" t="s">
        <v>2563</v>
      </c>
      <c r="Z39" s="1817" t="str">
        <f t="shared" si="15"/>
        <v>物业管理</v>
      </c>
      <c r="AA39" s="1814">
        <f t="shared" si="3"/>
        <v>1</v>
      </c>
      <c r="AB39" s="1814">
        <f t="shared" si="4"/>
        <v>1</v>
      </c>
      <c r="AC39" s="2680">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0"/>
      <c r="Q40" s="1813" t="str">
        <f t="shared" si="11"/>
        <v>市政基础设施</v>
      </c>
      <c r="R40" s="774" t="s">
        <v>17</v>
      </c>
      <c r="S40" s="775">
        <f t="shared" si="12"/>
        <v>100</v>
      </c>
      <c r="T40" s="774" t="s">
        <v>17</v>
      </c>
      <c r="U40" s="775">
        <f t="shared" si="13"/>
        <v>100</v>
      </c>
      <c r="V40" s="774" t="s">
        <v>17</v>
      </c>
      <c r="W40" s="775">
        <f t="shared" si="14"/>
        <v>100</v>
      </c>
      <c r="X40" s="1816"/>
      <c r="Y40" s="3172"/>
      <c r="Z40" s="1817" t="str">
        <f t="shared" si="15"/>
        <v>市政基础设施</v>
      </c>
      <c r="AA40" s="1814">
        <f t="shared" si="3"/>
        <v>1</v>
      </c>
      <c r="AB40" s="1814">
        <f t="shared" si="4"/>
        <v>1</v>
      </c>
      <c r="AC40" s="2680">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0"/>
      <c r="Q41" s="1813" t="str">
        <f t="shared" si="11"/>
        <v>层高</v>
      </c>
      <c r="R41" s="774" t="s">
        <v>17</v>
      </c>
      <c r="S41" s="775">
        <f t="shared" si="12"/>
        <v>100</v>
      </c>
      <c r="T41" s="774" t="s">
        <v>17</v>
      </c>
      <c r="U41" s="775">
        <f t="shared" si="13"/>
        <v>100</v>
      </c>
      <c r="V41" s="774" t="s">
        <v>17</v>
      </c>
      <c r="W41" s="775">
        <f t="shared" si="14"/>
        <v>100</v>
      </c>
      <c r="X41" s="1816"/>
      <c r="Y41" s="3172"/>
      <c r="Z41" s="1817" t="str">
        <f t="shared" si="15"/>
        <v>层高</v>
      </c>
      <c r="AA41" s="1814">
        <f t="shared" si="3"/>
        <v>1</v>
      </c>
      <c r="AB41" s="1814">
        <f t="shared" si="4"/>
        <v>1</v>
      </c>
      <c r="AC41" s="2680">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0"/>
      <c r="Q42" s="776" t="str">
        <f t="shared" si="11"/>
        <v>单套建筑面积</v>
      </c>
      <c r="R42" s="777" t="s">
        <v>17</v>
      </c>
      <c r="S42" s="778">
        <f t="shared" si="12"/>
        <v>100</v>
      </c>
      <c r="T42" s="777" t="s">
        <v>17</v>
      </c>
      <c r="U42" s="778">
        <f t="shared" si="13"/>
        <v>100</v>
      </c>
      <c r="V42" s="777" t="s">
        <v>17</v>
      </c>
      <c r="W42" s="778">
        <f t="shared" si="14"/>
        <v>100</v>
      </c>
      <c r="X42" s="779"/>
      <c r="Y42" s="3172"/>
      <c r="Z42" s="780" t="str">
        <f t="shared" si="15"/>
        <v>单套建筑面积</v>
      </c>
      <c r="AA42" s="1814">
        <f t="shared" si="3"/>
        <v>1</v>
      </c>
      <c r="AB42" s="1814">
        <f t="shared" si="4"/>
        <v>1</v>
      </c>
      <c r="AC42" s="2680">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0"/>
      <c r="Q43" s="1813" t="str">
        <f t="shared" si="11"/>
        <v>内部装修</v>
      </c>
      <c r="R43" s="774" t="s">
        <v>17</v>
      </c>
      <c r="S43" s="775">
        <f t="shared" si="12"/>
        <v>100</v>
      </c>
      <c r="T43" s="774" t="s">
        <v>17</v>
      </c>
      <c r="U43" s="775">
        <f t="shared" si="13"/>
        <v>100</v>
      </c>
      <c r="V43" s="774" t="s">
        <v>17</v>
      </c>
      <c r="W43" s="775">
        <f t="shared" si="14"/>
        <v>100</v>
      </c>
      <c r="X43" s="1816"/>
      <c r="Y43" s="3172"/>
      <c r="Z43" s="1817" t="str">
        <f t="shared" si="15"/>
        <v>内部装修</v>
      </c>
      <c r="AA43" s="1814">
        <f t="shared" si="3"/>
        <v>1</v>
      </c>
      <c r="AB43" s="1814">
        <f t="shared" si="4"/>
        <v>1</v>
      </c>
      <c r="AC43" s="2680">
        <f t="shared" si="5"/>
        <v>1</v>
      </c>
    </row>
    <row r="44" spans="1:29" ht="15">
      <c r="A44" s="472"/>
      <c r="B44" s="422" t="s">
        <v>2574</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70"/>
      <c r="Q44" s="1813" t="str">
        <f t="shared" si="11"/>
        <v>内部装修维护情况</v>
      </c>
      <c r="R44" s="774" t="s">
        <v>17</v>
      </c>
      <c r="S44" s="775">
        <f t="shared" si="12"/>
        <v>100</v>
      </c>
      <c r="T44" s="774" t="s">
        <v>17</v>
      </c>
      <c r="U44" s="775">
        <f t="shared" si="13"/>
        <v>100</v>
      </c>
      <c r="V44" s="774" t="s">
        <v>17</v>
      </c>
      <c r="W44" s="775">
        <f t="shared" si="14"/>
        <v>100</v>
      </c>
      <c r="X44" s="1816"/>
      <c r="Y44" s="3172"/>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0"/>
      <c r="Q45" s="1798">
        <f t="shared" si="11"/>
        <v>111</v>
      </c>
      <c r="R45" s="770" t="s">
        <v>17</v>
      </c>
      <c r="S45" s="771">
        <f t="shared" si="12"/>
        <v>100</v>
      </c>
      <c r="T45" s="770" t="s">
        <v>17</v>
      </c>
      <c r="U45" s="771">
        <f t="shared" si="13"/>
        <v>100</v>
      </c>
      <c r="V45" s="770" t="s">
        <v>17</v>
      </c>
      <c r="W45" s="771">
        <f t="shared" si="14"/>
        <v>100</v>
      </c>
      <c r="X45" s="772"/>
      <c r="Y45" s="317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1"/>
      <c r="Q47" s="1813">
        <f t="shared" si="11"/>
        <v>111</v>
      </c>
      <c r="R47" s="774" t="s">
        <v>17</v>
      </c>
      <c r="S47" s="775">
        <f t="shared" si="12"/>
        <v>100</v>
      </c>
      <c r="T47" s="774" t="s">
        <v>17</v>
      </c>
      <c r="U47" s="775">
        <f t="shared" si="13"/>
        <v>100</v>
      </c>
      <c r="V47" s="774" t="s">
        <v>17</v>
      </c>
      <c r="W47" s="775">
        <f t="shared" si="14"/>
        <v>100</v>
      </c>
      <c r="X47" s="1816"/>
      <c r="Y47" s="3173"/>
      <c r="Z47" s="1817">
        <f t="shared" si="15"/>
        <v>111</v>
      </c>
      <c r="AA47" s="1814">
        <f t="shared" si="3"/>
        <v>1</v>
      </c>
      <c r="AB47" s="1814">
        <f t="shared" si="4"/>
        <v>1</v>
      </c>
      <c r="AC47" s="2680">
        <f t="shared" si="5"/>
        <v>1</v>
      </c>
    </row>
    <row r="48" spans="1:29" ht="15">
      <c r="A48" s="479" t="s">
        <v>2575</v>
      </c>
      <c r="B48" s="480"/>
      <c r="C48" s="1410" t="s">
        <v>1</v>
      </c>
      <c r="D48" s="1411"/>
      <c r="E48" s="1412">
        <v>38000</v>
      </c>
      <c r="F48" s="1413"/>
      <c r="G48" s="1414">
        <v>35000</v>
      </c>
      <c r="H48" s="1415"/>
      <c r="I48" s="1412">
        <v>36000</v>
      </c>
      <c r="J48" s="485"/>
      <c r="K48" s="783"/>
      <c r="L48" s="1146"/>
      <c r="M48" s="1134"/>
      <c r="N48" s="1134"/>
      <c r="O48" s="1134"/>
      <c r="P48" s="3159" t="str">
        <f>A48</f>
        <v>成交单价（元/平方米）</v>
      </c>
      <c r="Q48" s="3160"/>
      <c r="R48" s="3161">
        <f>E48</f>
        <v>38000</v>
      </c>
      <c r="S48" s="3161"/>
      <c r="T48" s="3161">
        <f>G48</f>
        <v>35000</v>
      </c>
      <c r="U48" s="3161"/>
      <c r="V48" s="3161">
        <f>I48</f>
        <v>36000</v>
      </c>
      <c r="W48" s="3161"/>
      <c r="X48" s="446"/>
      <c r="Y48" s="781"/>
      <c r="Z48" s="446"/>
      <c r="AA48" s="446"/>
      <c r="AB48" s="446"/>
      <c r="AC48" s="630"/>
    </row>
    <row r="49" spans="1:29" ht="15.75" thickBot="1">
      <c r="A49" s="486" t="s">
        <v>2667</v>
      </c>
      <c r="B49" s="487"/>
      <c r="C49" s="1416">
        <f>R50</f>
        <v>36571</v>
      </c>
      <c r="D49" s="1417"/>
      <c r="E49" s="1418">
        <f>R49</f>
        <v>38000</v>
      </c>
      <c r="F49" s="1418"/>
      <c r="G49" s="1416">
        <f>T49</f>
        <v>35714</v>
      </c>
      <c r="H49" s="1417"/>
      <c r="I49" s="1418">
        <f>V49</f>
        <v>36000</v>
      </c>
      <c r="J49" s="489"/>
      <c r="K49" s="784"/>
      <c r="L49" s="1146"/>
      <c r="M49" s="1134"/>
      <c r="N49" s="1134"/>
      <c r="O49" s="1134"/>
      <c r="P49" s="3159" t="str">
        <f>A49</f>
        <v>比较价值（元/平方米）</v>
      </c>
      <c r="Q49" s="3160"/>
      <c r="R49" s="3161">
        <f>IF(F1="售价",ROUND(PRODUCT(R48,AA7:AA47),0),ROUND(PRODUCT(R48,AA7:AA47),1))</f>
        <v>38000</v>
      </c>
      <c r="S49" s="3161"/>
      <c r="T49" s="3161">
        <f>IF(F1="售价",ROUND(PRODUCT(T48,AB7:AB47),0),ROUND(PRODUCT(T48,AB7:AB47),1))</f>
        <v>35714</v>
      </c>
      <c r="U49" s="3161"/>
      <c r="V49" s="3161">
        <f>IF(F1="售价",ROUND(PRODUCT(V48,AC7:AC47),0),ROUND(PRODUCT(V48,AC7:AC47),1))</f>
        <v>36000</v>
      </c>
      <c r="W49" s="3161"/>
      <c r="X49" s="446"/>
      <c r="Y49" s="446"/>
      <c r="Z49" s="446"/>
      <c r="AA49" s="446"/>
      <c r="AB49" s="446"/>
      <c r="AC49" s="630"/>
    </row>
    <row r="50" spans="1:29" ht="15.75" thickBot="1">
      <c r="A50" s="492" t="s">
        <v>2668</v>
      </c>
      <c r="B50" s="493"/>
      <c r="C50" s="1420">
        <f>R50</f>
        <v>36571</v>
      </c>
      <c r="D50" s="1420"/>
      <c r="E50" s="1420"/>
      <c r="F50" s="1420"/>
      <c r="G50" s="1420"/>
      <c r="H50" s="1420"/>
      <c r="I50" s="1420"/>
      <c r="J50" s="494"/>
      <c r="K50" s="785"/>
      <c r="L50" s="1146"/>
      <c r="M50" s="1134"/>
      <c r="N50" s="1134"/>
      <c r="O50" s="1134"/>
      <c r="P50" s="3162" t="str">
        <f>A50</f>
        <v>估价对象XX用房的比较价值（楼面单价，元/平方米）</v>
      </c>
      <c r="Q50" s="3163"/>
      <c r="R50" s="3164">
        <f>IF(F1="售价",ROUND(AVERAGE(R49:V49),0),ROUND(AVERAGE(R49:V49),1))</f>
        <v>36571</v>
      </c>
      <c r="S50" s="3164"/>
      <c r="T50" s="3164"/>
      <c r="U50" s="3164"/>
      <c r="V50" s="3164"/>
      <c r="W50" s="316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v>
      </c>
      <c r="F53" s="500" t="str">
        <f>IF(OR(E53&gt;=0.3,E53&lt;=-0.3),"超过30%","")</f>
        <v/>
      </c>
      <c r="G53" s="499">
        <f>IF(G48&lt;G49,G49/G48-1,G48/G49-1)</f>
        <v>2.0399999999999974E-2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2670</v>
      </c>
      <c r="D54" s="501"/>
      <c r="E54" s="499">
        <f>IF(E49&lt;G49,G49/E49-1,E49/G49-1)</f>
        <v>6.4008512068096435E-2</v>
      </c>
      <c r="F54" s="500" t="str">
        <f>IF(OR(E54&gt;=0.2,E54&lt;=-0.2),"超过20%","")</f>
        <v/>
      </c>
      <c r="G54" s="499">
        <f>IF(G49&lt;I49,I49/G49-1,G49/I49-1)</f>
        <v>8.0080640645125989E-3</v>
      </c>
      <c r="H54" s="500" t="str">
        <f>IF(OR(G54&gt;=0.2,G54&lt;=-0.2),"超过20%","")</f>
        <v/>
      </c>
      <c r="I54" s="499">
        <f>IF(I49&lt;E49,E49/I49-1,I49/E49-1)</f>
        <v>5.555555555555558E-2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8.5714285714285632E-2</v>
      </c>
      <c r="F55" s="500" t="str">
        <f>IF(OR(E55&gt;=0.3,E55&lt;=-0.3),"超过30%","")</f>
        <v/>
      </c>
      <c r="G55" s="499">
        <f>IF(G48&lt;I48,I48/G48-1,G48/I48-1)</f>
        <v>2.857142857142847E-2</v>
      </c>
      <c r="H55" s="500" t="str">
        <f>IF(OR(G55&gt;=0.3,G55&lt;=-0.3),"超过30%","")</f>
        <v/>
      </c>
      <c r="I55" s="499">
        <f>IF(I48&lt;E48,E48/I48-1,I48/E48-1)</f>
        <v>5.555555555555558E-2</v>
      </c>
      <c r="J55" s="500" t="str">
        <f>IF(OR(I55&gt;=0.3,I55&lt;=-0.3),"超过30%","")</f>
        <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7"/>
      <c r="Q58" s="504"/>
    </row>
    <row r="59" spans="1:29" s="508" customFormat="1" ht="15">
      <c r="A59" s="505" t="s">
        <v>2546</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2583</v>
      </c>
      <c r="B61" s="516"/>
      <c r="C61" s="517"/>
      <c r="D61" s="518"/>
      <c r="E61" s="518"/>
      <c r="F61" s="518"/>
      <c r="G61" s="518"/>
      <c r="H61" s="518"/>
      <c r="I61" s="518"/>
      <c r="J61" s="518"/>
      <c r="K61" s="518"/>
      <c r="L61" s="518"/>
      <c r="M61" s="519"/>
      <c r="N61" s="518"/>
      <c r="O61" s="519"/>
      <c r="P61" s="2688"/>
      <c r="Q61" s="504"/>
    </row>
    <row r="62" spans="1:29" s="117" customFormat="1" ht="15">
      <c r="A62" s="521" t="s">
        <v>2548</v>
      </c>
      <c r="B62" s="510"/>
      <c r="C62" s="522" t="s">
        <v>2650</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2586</v>
      </c>
      <c r="B64" s="528" t="s">
        <v>2552</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v>0</v>
      </c>
      <c r="D69" s="549">
        <v>1</v>
      </c>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2697</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2561</v>
      </c>
      <c r="B101" s="528" t="s">
        <v>2610</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29.25" thickTop="1">
      <c r="A103" s="534"/>
      <c r="B103" s="538" t="s">
        <v>2611</v>
      </c>
      <c r="C103" s="578" t="str">
        <f>C104&amp;"(含)"&amp;"-"&amp;D104</f>
        <v>0(含)-300</v>
      </c>
      <c r="D103" s="578" t="str">
        <f t="shared" ref="D103:L103" si="23">D104&amp;"(含)"&amp;"-"&amp;E104</f>
        <v>300(含)-500</v>
      </c>
      <c r="E103" s="578" t="str">
        <f t="shared" si="23"/>
        <v>500(含)-1000</v>
      </c>
      <c r="F103" s="578" t="str">
        <f t="shared" si="23"/>
        <v>1000(含)-1500</v>
      </c>
      <c r="G103" s="578" t="str">
        <f t="shared" si="23"/>
        <v>1500(含)-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v>0</v>
      </c>
      <c r="D104" s="595">
        <v>300</v>
      </c>
      <c r="E104" s="595">
        <v>500</v>
      </c>
      <c r="F104" s="595">
        <v>1000</v>
      </c>
      <c r="G104" s="595">
        <v>1500</v>
      </c>
      <c r="H104" s="595"/>
      <c r="I104" s="595"/>
      <c r="J104" s="596"/>
      <c r="K104" s="596"/>
      <c r="L104" s="597"/>
      <c r="M104" s="598"/>
      <c r="N104" s="1157"/>
      <c r="O104" s="1157"/>
      <c r="P104" s="2691"/>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6"/>
      <c r="O105" s="1156"/>
      <c r="P105" s="2691"/>
      <c r="Q105" s="559"/>
    </row>
    <row r="106" spans="1:17" ht="15" thickTop="1">
      <c r="A106" s="599"/>
      <c r="B106" s="538" t="s">
        <v>2612</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2614</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2615</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2616</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2699</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2618</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 sqref="D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8" t="s">
        <v>2527</v>
      </c>
      <c r="C1" s="1637" t="s">
        <v>2528</v>
      </c>
      <c r="D1" s="1624" t="s">
        <v>3107</v>
      </c>
      <c r="E1" s="2589"/>
      <c r="F1" s="2590" t="s">
        <v>2529</v>
      </c>
      <c r="G1" s="1634" t="s">
        <v>2530</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2639</v>
      </c>
      <c r="C2" s="2592" t="s">
        <v>70</v>
      </c>
      <c r="D2" s="1368" t="e">
        <f ca="1">SUMIF(INDIRECT("'"&amp;F2&amp;"'"&amp;"!A:A"),"承租人权益价值",INDIRECT("'"&amp;F2&amp;"'"&amp;"!c:c"))</f>
        <v>#REF!</v>
      </c>
      <c r="E2" s="2593" t="s">
        <v>2531</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100286</v>
      </c>
      <c r="C3" s="400" t="s">
        <v>2532</v>
      </c>
      <c r="D3" s="399">
        <f>IF(D1="",'数据-汇总表'!E3,SUMIF('数据-汇总表'!$C19:$C33,D1,'数据-汇总表'!$E19:$E33))</f>
        <v>263.10000000000002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2533</v>
      </c>
      <c r="B4" s="402"/>
      <c r="C4" s="3177" t="s">
        <v>2534</v>
      </c>
      <c r="D4" s="3178"/>
      <c r="E4" s="3179" t="s">
        <v>2535</v>
      </c>
      <c r="F4" s="3180"/>
      <c r="G4" s="3177" t="s">
        <v>2536</v>
      </c>
      <c r="H4" s="3178"/>
      <c r="I4" s="3177" t="s">
        <v>2537</v>
      </c>
      <c r="J4" s="3178"/>
      <c r="K4" s="2602" t="s">
        <v>2538</v>
      </c>
      <c r="L4" s="1133"/>
      <c r="M4" s="1134"/>
      <c r="N4" s="1134"/>
      <c r="O4" s="1134"/>
      <c r="P4" s="3214" t="s">
        <v>2539</v>
      </c>
      <c r="Q4" s="3215"/>
      <c r="R4" s="3218" t="s">
        <v>2535</v>
      </c>
      <c r="S4" s="3219"/>
      <c r="T4" s="3218" t="s">
        <v>2536</v>
      </c>
      <c r="U4" s="3219"/>
      <c r="V4" s="3194" t="s">
        <v>2537</v>
      </c>
      <c r="W4" s="3194"/>
      <c r="X4" s="1816"/>
      <c r="Y4" s="3218" t="s">
        <v>2539</v>
      </c>
      <c r="Z4" s="3219"/>
      <c r="AA4" s="3213" t="s">
        <v>2535</v>
      </c>
      <c r="AB4" s="3213" t="s">
        <v>2536</v>
      </c>
      <c r="AC4" s="3213" t="s">
        <v>2537</v>
      </c>
    </row>
    <row r="5" spans="1:29" ht="15">
      <c r="A5" s="404"/>
      <c r="B5" s="405"/>
      <c r="C5" s="3197" t="s">
        <v>2540</v>
      </c>
      <c r="D5" s="3198"/>
      <c r="E5" s="3208" t="s">
        <v>2541</v>
      </c>
      <c r="F5" s="3209"/>
      <c r="G5" s="3197" t="s">
        <v>2542</v>
      </c>
      <c r="H5" s="3198"/>
      <c r="I5" s="3197" t="s">
        <v>2543</v>
      </c>
      <c r="J5" s="3198"/>
      <c r="K5" s="2603"/>
      <c r="L5" s="1133"/>
      <c r="M5" s="1134"/>
      <c r="N5" s="1134"/>
      <c r="O5" s="1134"/>
      <c r="P5" s="3216"/>
      <c r="Q5" s="3184"/>
      <c r="R5" s="3189"/>
      <c r="S5" s="3190"/>
      <c r="T5" s="3189"/>
      <c r="U5" s="3190"/>
      <c r="V5" s="3194"/>
      <c r="W5" s="3194"/>
      <c r="X5" s="1816"/>
      <c r="Y5" s="3189"/>
      <c r="Z5" s="3190"/>
      <c r="AA5" s="3206"/>
      <c r="AB5" s="3206"/>
      <c r="AC5" s="3206"/>
    </row>
    <row r="6" spans="1:29" ht="15.75" thickBot="1">
      <c r="A6" s="406"/>
      <c r="B6" s="407"/>
      <c r="C6" s="3195" t="s">
        <v>2544</v>
      </c>
      <c r="D6" s="3196"/>
      <c r="E6" s="3203" t="s">
        <v>2544</v>
      </c>
      <c r="F6" s="3204"/>
      <c r="G6" s="3195" t="s">
        <v>2544</v>
      </c>
      <c r="H6" s="3196"/>
      <c r="I6" s="3195" t="s">
        <v>2544</v>
      </c>
      <c r="J6" s="3196"/>
      <c r="K6" s="2603" t="s">
        <v>2545</v>
      </c>
      <c r="L6" s="1133"/>
      <c r="M6" s="1134"/>
      <c r="N6" s="1134"/>
      <c r="O6" s="1134"/>
      <c r="P6" s="3217"/>
      <c r="Q6" s="3186"/>
      <c r="R6" s="3189"/>
      <c r="S6" s="3190"/>
      <c r="T6" s="3191"/>
      <c r="U6" s="3192"/>
      <c r="V6" s="3194"/>
      <c r="W6" s="3194"/>
      <c r="X6" s="1816"/>
      <c r="Y6" s="3191"/>
      <c r="Z6" s="3192"/>
      <c r="AA6" s="3207"/>
      <c r="AB6" s="3207"/>
      <c r="AC6" s="3207"/>
    </row>
    <row r="7" spans="1:29" s="117" customFormat="1" ht="15.75" thickBot="1">
      <c r="A7" s="408" t="s">
        <v>2546</v>
      </c>
      <c r="B7" s="409"/>
      <c r="C7" s="410">
        <f>'数据-取费表'!B2</f>
        <v>43483</v>
      </c>
      <c r="D7" s="411">
        <v>100</v>
      </c>
      <c r="E7" s="412">
        <v>43471</v>
      </c>
      <c r="F7" s="413">
        <f>SUMIF(58:58,YEAR(E7)&amp;"-"&amp;MONTH(E7),59:59)</f>
        <v>100</v>
      </c>
      <c r="G7" s="412">
        <v>43466</v>
      </c>
      <c r="H7" s="411">
        <f>SUMIF(58:58,YEAR(G7)&amp;"-"&amp;MONTH(G7),59:59)</f>
        <v>100</v>
      </c>
      <c r="I7" s="412">
        <v>43459</v>
      </c>
      <c r="J7" s="411">
        <f>SUMIF(58:58,YEAR(I7)&amp;"-"&amp;MONTH(I7),59:59)</f>
        <v>100</v>
      </c>
      <c r="K7" s="2604"/>
      <c r="L7" s="1135"/>
      <c r="M7" s="1136"/>
      <c r="N7" s="1136"/>
      <c r="O7" s="1136"/>
      <c r="P7" s="3201" t="s">
        <v>2547</v>
      </c>
      <c r="Q7" s="3202"/>
      <c r="R7" s="770" t="s">
        <v>23</v>
      </c>
      <c r="S7" s="771">
        <f t="shared" ref="S7:S15" si="0">F7</f>
        <v>100</v>
      </c>
      <c r="T7" s="770" t="s">
        <v>23</v>
      </c>
      <c r="U7" s="771">
        <f t="shared" ref="U7:U15" si="1">H7</f>
        <v>100</v>
      </c>
      <c r="V7" s="770" t="s">
        <v>23</v>
      </c>
      <c r="W7" s="771">
        <f t="shared" ref="W7:W15" si="2">J7</f>
        <v>100</v>
      </c>
      <c r="X7" s="772"/>
      <c r="Y7" s="3201" t="s">
        <v>2547</v>
      </c>
      <c r="Z7" s="3200"/>
      <c r="AA7" s="773">
        <f>D7/F7</f>
        <v>1</v>
      </c>
      <c r="AB7" s="773">
        <f>D7/H7</f>
        <v>1</v>
      </c>
      <c r="AC7" s="773">
        <f>D7/J7</f>
        <v>1</v>
      </c>
    </row>
    <row r="8" spans="1:29" s="117" customFormat="1" ht="15.75" thickBot="1">
      <c r="A8" s="408" t="s">
        <v>2548</v>
      </c>
      <c r="B8" s="409"/>
      <c r="C8" s="414" t="s">
        <v>2549</v>
      </c>
      <c r="D8" s="411">
        <v>100</v>
      </c>
      <c r="E8" s="2605" t="s">
        <v>3105</v>
      </c>
      <c r="F8" s="413">
        <f>SUMIF(61:61,E8,62:62)-SUMIF(61:61,C8,62:62)+100</f>
        <v>100</v>
      </c>
      <c r="G8" s="414" t="s">
        <v>3105</v>
      </c>
      <c r="H8" s="411">
        <f>SUMIF(61:61,G8,62:62)-SUMIF(61:61,C8,62:62)+100</f>
        <v>100</v>
      </c>
      <c r="I8" s="2605" t="s">
        <v>3105</v>
      </c>
      <c r="J8" s="411">
        <f>SUMIF(61:61,I8,62:62)-SUMIF(61:61,C8,62:62)+100</f>
        <v>100</v>
      </c>
      <c r="K8" s="2604"/>
      <c r="L8" s="1135"/>
      <c r="M8" s="1136"/>
      <c r="N8" s="1136"/>
      <c r="O8" s="1136"/>
      <c r="P8" s="3201" t="s">
        <v>2550</v>
      </c>
      <c r="Q8" s="3200"/>
      <c r="R8" s="770" t="s">
        <v>23</v>
      </c>
      <c r="S8" s="771">
        <f t="shared" si="0"/>
        <v>100</v>
      </c>
      <c r="T8" s="770" t="s">
        <v>23</v>
      </c>
      <c r="U8" s="771">
        <f t="shared" si="1"/>
        <v>100</v>
      </c>
      <c r="V8" s="770" t="s">
        <v>23</v>
      </c>
      <c r="W8" s="771">
        <f t="shared" si="2"/>
        <v>100</v>
      </c>
      <c r="X8" s="772"/>
      <c r="Y8" s="3201" t="s">
        <v>2550</v>
      </c>
      <c r="Z8" s="3200"/>
      <c r="AA8" s="773">
        <f t="shared" ref="AA8:AA19" si="3">D8/F8</f>
        <v>1</v>
      </c>
      <c r="AB8" s="773">
        <f t="shared" ref="AB8:AB19" si="4">D8/H8</f>
        <v>1</v>
      </c>
      <c r="AC8" s="773">
        <f t="shared" ref="AC8:AC19" si="5">D8/J8</f>
        <v>1</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59"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59"/>
      <c r="Q11" s="1798"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59"/>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59"/>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59"/>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2557</v>
      </c>
      <c r="B15" s="69" t="s">
        <v>2082</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65" t="s">
        <v>2558</v>
      </c>
      <c r="Q15" s="1813" t="str">
        <f t="shared" si="6"/>
        <v>居住社区成熟度</v>
      </c>
      <c r="R15" s="774" t="s">
        <v>21</v>
      </c>
      <c r="S15" s="775">
        <f t="shared" si="0"/>
        <v>100</v>
      </c>
      <c r="T15" s="774" t="s">
        <v>21</v>
      </c>
      <c r="U15" s="775">
        <f t="shared" si="1"/>
        <v>100</v>
      </c>
      <c r="V15" s="774" t="s">
        <v>21</v>
      </c>
      <c r="W15" s="775">
        <f t="shared" si="2"/>
        <v>100</v>
      </c>
      <c r="X15" s="1816"/>
      <c r="Y15" s="3167" t="s">
        <v>2558</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66"/>
      <c r="Q16" s="1813"/>
      <c r="R16" s="774"/>
      <c r="S16" s="775"/>
      <c r="T16" s="774"/>
      <c r="U16" s="775"/>
      <c r="V16" s="774"/>
      <c r="W16" s="775"/>
      <c r="X16" s="1816"/>
      <c r="Y16" s="3168"/>
      <c r="Z16" s="1817"/>
      <c r="AA16" s="1814">
        <v>1</v>
      </c>
      <c r="AB16" s="1814">
        <v>1</v>
      </c>
      <c r="AC16" s="1814">
        <v>1</v>
      </c>
    </row>
    <row r="17" spans="1:29" ht="85.5">
      <c r="A17" s="428"/>
      <c r="B17" s="451" t="s">
        <v>2094</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66"/>
      <c r="Q17" s="1813" t="str">
        <f>B17</f>
        <v>交通便捷度</v>
      </c>
      <c r="R17" s="774" t="s">
        <v>21</v>
      </c>
      <c r="S17" s="775">
        <f>F17</f>
        <v>100</v>
      </c>
      <c r="T17" s="774" t="s">
        <v>21</v>
      </c>
      <c r="U17" s="775">
        <f>H17</f>
        <v>100</v>
      </c>
      <c r="V17" s="774" t="s">
        <v>21</v>
      </c>
      <c r="W17" s="775">
        <f>J17</f>
        <v>100</v>
      </c>
      <c r="X17" s="1816"/>
      <c r="Y17" s="3168"/>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66"/>
      <c r="Q18" s="1813"/>
      <c r="R18" s="774"/>
      <c r="S18" s="775"/>
      <c r="T18" s="774"/>
      <c r="U18" s="775"/>
      <c r="V18" s="774"/>
      <c r="W18" s="775"/>
      <c r="X18" s="1816"/>
      <c r="Y18" s="3168"/>
      <c r="Z18" s="1817"/>
      <c r="AA18" s="1814">
        <v>1</v>
      </c>
      <c r="AB18" s="1814">
        <v>1</v>
      </c>
      <c r="AC18" s="1814">
        <v>1</v>
      </c>
    </row>
    <row r="19" spans="1:29" ht="42.75">
      <c r="A19" s="428"/>
      <c r="B19" s="451" t="s">
        <v>2092</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66"/>
      <c r="Q20" s="1813"/>
      <c r="R20" s="774"/>
      <c r="S20" s="775"/>
      <c r="T20" s="774"/>
      <c r="U20" s="775"/>
      <c r="V20" s="774"/>
      <c r="W20" s="775"/>
      <c r="X20" s="1816"/>
      <c r="Y20" s="3168"/>
      <c r="Z20" s="1817"/>
      <c r="AA20" s="1814">
        <v>1</v>
      </c>
      <c r="AB20" s="1814">
        <v>1</v>
      </c>
      <c r="AC20" s="1814">
        <v>1</v>
      </c>
    </row>
    <row r="21" spans="1:29" ht="28.5">
      <c r="A21" s="428"/>
      <c r="B21" s="1387" t="s">
        <v>2095</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66"/>
      <c r="Q22" s="1813"/>
      <c r="R22" s="774"/>
      <c r="S22" s="775"/>
      <c r="T22" s="774"/>
      <c r="U22" s="775"/>
      <c r="V22" s="774"/>
      <c r="W22" s="775"/>
      <c r="X22" s="1816"/>
      <c r="Y22" s="3168"/>
      <c r="Z22" s="1817"/>
      <c r="AA22" s="1814">
        <v>1</v>
      </c>
      <c r="AB22" s="1814">
        <v>1</v>
      </c>
      <c r="AC22" s="1814">
        <v>1</v>
      </c>
    </row>
    <row r="23" spans="1:29" ht="57">
      <c r="A23" s="428"/>
      <c r="B23" s="451" t="s">
        <v>2099</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68"/>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66"/>
      <c r="Q24" s="1813"/>
      <c r="R24" s="774"/>
      <c r="S24" s="775"/>
      <c r="T24" s="774"/>
      <c r="U24" s="775"/>
      <c r="V24" s="774"/>
      <c r="W24" s="775"/>
      <c r="X24" s="1816"/>
      <c r="Y24" s="3168"/>
      <c r="Z24" s="1817"/>
      <c r="AA24" s="1814">
        <v>1</v>
      </c>
      <c r="AB24" s="1814">
        <v>1</v>
      </c>
      <c r="AC24" s="1814">
        <v>1</v>
      </c>
    </row>
    <row r="25" spans="1:29" ht="15">
      <c r="A25" s="428"/>
      <c r="B25" s="422" t="s">
        <v>2559</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8"/>
      <c r="Z25" s="1817" t="str">
        <f>Q25</f>
        <v>楼层-1</v>
      </c>
      <c r="AA25" s="1814">
        <f t="shared" ref="AA25:AA46" si="15">D25/F25</f>
        <v>1</v>
      </c>
      <c r="AB25" s="1814">
        <f t="shared" ref="AB25:AB46" si="16">D25/H25</f>
        <v>1</v>
      </c>
      <c r="AC25" s="1814">
        <f t="shared" ref="AC25:AC46" si="17">D25/J25</f>
        <v>1</v>
      </c>
    </row>
    <row r="26" spans="1:29" ht="15">
      <c r="A26" s="428"/>
      <c r="B26" s="422" t="s">
        <v>2560</v>
      </c>
      <c r="C26" s="460" t="s">
        <v>3114</v>
      </c>
      <c r="D26" s="435">
        <v>100</v>
      </c>
      <c r="E26" s="2619" t="s">
        <v>3116</v>
      </c>
      <c r="F26" s="435">
        <f>SUMIF(88:88,E26,89:89)-SUMIF(88:88,C26,89:89)+100</f>
        <v>97</v>
      </c>
      <c r="G26" s="2620" t="s">
        <v>3120</v>
      </c>
      <c r="H26" s="435">
        <f>SUMIF(88:88,G26,89:89)-SUMIF(88:88,C26,89:89)+100</f>
        <v>88</v>
      </c>
      <c r="I26" s="2620" t="s">
        <v>3114</v>
      </c>
      <c r="J26" s="435">
        <f>SUMIF(88:88,I26,89:89)-SUMIF(88:88,C26,89:89)+100</f>
        <v>100</v>
      </c>
      <c r="K26" s="426">
        <v>3</v>
      </c>
      <c r="L26" s="1143"/>
      <c r="M26" s="1134"/>
      <c r="N26" s="1134"/>
      <c r="O26" s="1134"/>
      <c r="P26" s="3166"/>
      <c r="Q26" s="1813" t="str">
        <f t="shared" si="11"/>
        <v>朝向</v>
      </c>
      <c r="R26" s="774" t="s">
        <v>21</v>
      </c>
      <c r="S26" s="775">
        <f t="shared" si="12"/>
        <v>97</v>
      </c>
      <c r="T26" s="774" t="s">
        <v>21</v>
      </c>
      <c r="U26" s="775">
        <f t="shared" si="13"/>
        <v>88</v>
      </c>
      <c r="V26" s="774" t="s">
        <v>21</v>
      </c>
      <c r="W26" s="775">
        <f t="shared" si="14"/>
        <v>100</v>
      </c>
      <c r="X26" s="1816"/>
      <c r="Y26" s="3168"/>
      <c r="Z26" s="1817" t="str">
        <f>Q26</f>
        <v>朝向</v>
      </c>
      <c r="AA26" s="1814">
        <f t="shared" si="15"/>
        <v>1.0309278350515463</v>
      </c>
      <c r="AB26" s="1814">
        <f t="shared" si="16"/>
        <v>1.1363636363636365</v>
      </c>
      <c r="AC26" s="1814">
        <f t="shared" si="17"/>
        <v>1</v>
      </c>
    </row>
    <row r="27" spans="1:29" s="117" customFormat="1" ht="15">
      <c r="A27" s="431"/>
      <c r="B27" s="2961" t="s">
        <v>3122</v>
      </c>
      <c r="C27" s="2962" t="s">
        <v>3123</v>
      </c>
      <c r="D27" s="462">
        <v>100</v>
      </c>
      <c r="E27" s="2963" t="s">
        <v>3113</v>
      </c>
      <c r="F27" s="462">
        <f>SUMIF(90:90,E27,91:91)-SUMIF(90:90,C27,91:91)+100</f>
        <v>100</v>
      </c>
      <c r="G27" s="2964" t="s">
        <v>3124</v>
      </c>
      <c r="H27" s="462">
        <f>SUMIF(90:90,G27,91:91)-SUMIF(90:90,C27,91:91)+100</f>
        <v>106</v>
      </c>
      <c r="I27" s="2964" t="s">
        <v>3125</v>
      </c>
      <c r="J27" s="462">
        <f>SUMIF(90:90,I27,91:91)-SUMIF(90:90,C27,91:91)+100</f>
        <v>106</v>
      </c>
      <c r="K27" s="2607"/>
      <c r="L27" s="1135"/>
      <c r="M27" s="1136"/>
      <c r="N27" s="1136"/>
      <c r="O27" s="1136"/>
      <c r="P27" s="3166"/>
      <c r="Q27" s="1798" t="str">
        <f t="shared" si="11"/>
        <v>楼层</v>
      </c>
      <c r="R27" s="770" t="s">
        <v>21</v>
      </c>
      <c r="S27" s="771">
        <f t="shared" si="12"/>
        <v>100</v>
      </c>
      <c r="T27" s="770" t="s">
        <v>21</v>
      </c>
      <c r="U27" s="771">
        <f t="shared" si="13"/>
        <v>106</v>
      </c>
      <c r="V27" s="770" t="s">
        <v>21</v>
      </c>
      <c r="W27" s="771">
        <f t="shared" si="14"/>
        <v>106</v>
      </c>
      <c r="X27" s="772"/>
      <c r="Y27" s="3168"/>
      <c r="Z27" s="55" t="str">
        <f>Q27</f>
        <v>楼层</v>
      </c>
      <c r="AA27" s="1814">
        <f t="shared" si="15"/>
        <v>1</v>
      </c>
      <c r="AB27" s="1814">
        <f t="shared" si="16"/>
        <v>0.94339622641509435</v>
      </c>
      <c r="AC27" s="1814">
        <f t="shared" si="17"/>
        <v>0.94339622641509435</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66"/>
      <c r="Q28" s="1813">
        <f t="shared" si="11"/>
        <v>111</v>
      </c>
      <c r="R28" s="774" t="s">
        <v>21</v>
      </c>
      <c r="S28" s="775">
        <f t="shared" si="12"/>
        <v>100</v>
      </c>
      <c r="T28" s="774" t="s">
        <v>21</v>
      </c>
      <c r="U28" s="775">
        <f t="shared" si="13"/>
        <v>100</v>
      </c>
      <c r="V28" s="774" t="s">
        <v>21</v>
      </c>
      <c r="W28" s="775">
        <f t="shared" si="14"/>
        <v>100</v>
      </c>
      <c r="X28" s="1816"/>
      <c r="Y28" s="316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6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6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68"/>
      <c r="Z31" s="1817">
        <f t="shared" si="18"/>
        <v>111</v>
      </c>
      <c r="AA31" s="1814">
        <f t="shared" si="15"/>
        <v>1</v>
      </c>
      <c r="AB31" s="1814">
        <f t="shared" si="16"/>
        <v>1</v>
      </c>
      <c r="AC31" s="1814">
        <f t="shared" si="17"/>
        <v>1</v>
      </c>
    </row>
    <row r="32" spans="1:29" ht="15">
      <c r="A32" s="440" t="s">
        <v>2561</v>
      </c>
      <c r="B32" s="71" t="s">
        <v>2562</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69" t="s">
        <v>2563</v>
      </c>
      <c r="Q32" s="1813" t="str">
        <f t="shared" si="11"/>
        <v>建筑类型</v>
      </c>
      <c r="R32" s="774" t="s">
        <v>21</v>
      </c>
      <c r="S32" s="775">
        <f t="shared" si="12"/>
        <v>100</v>
      </c>
      <c r="T32" s="774" t="s">
        <v>21</v>
      </c>
      <c r="U32" s="775">
        <f t="shared" si="13"/>
        <v>100</v>
      </c>
      <c r="V32" s="774" t="s">
        <v>21</v>
      </c>
      <c r="W32" s="775">
        <f t="shared" si="14"/>
        <v>100</v>
      </c>
      <c r="X32" s="1816"/>
      <c r="Y32" s="3172" t="s">
        <v>2563</v>
      </c>
      <c r="Z32" s="1817" t="str">
        <f t="shared" si="18"/>
        <v>建筑类型</v>
      </c>
      <c r="AA32" s="1814">
        <f t="shared" si="15"/>
        <v>1</v>
      </c>
      <c r="AB32" s="1814">
        <f t="shared" si="16"/>
        <v>1</v>
      </c>
      <c r="AC32" s="1814">
        <f t="shared" si="17"/>
        <v>1</v>
      </c>
    </row>
    <row r="33" spans="1:29" s="471" customFormat="1" ht="15">
      <c r="A33" s="468"/>
      <c r="B33" s="422" t="s">
        <v>2564</v>
      </c>
      <c r="C33" s="469">
        <f>'数据-基础表'!I13</f>
        <v>263.10000000000002</v>
      </c>
      <c r="D33" s="136">
        <v>100</v>
      </c>
      <c r="E33" s="430">
        <v>146</v>
      </c>
      <c r="F33" s="425">
        <f>LOOKUP(E33,103:103,104:104)-LOOKUP(C33,103:103,104:104)+100</f>
        <v>106</v>
      </c>
      <c r="G33" s="429">
        <v>71</v>
      </c>
      <c r="H33" s="136">
        <f>LOOKUP(G33,103:103,104:104)-LOOKUP(C33,103:103,104:104)+100</f>
        <v>108</v>
      </c>
      <c r="I33" s="430">
        <v>158</v>
      </c>
      <c r="J33" s="136">
        <f>LOOKUP(I33,103:103,104:104)-LOOKUP(C33,103:103,104:104)+100</f>
        <v>104</v>
      </c>
      <c r="K33" s="2607"/>
      <c r="L33" s="1141"/>
      <c r="M33" s="1144"/>
      <c r="N33" s="1144"/>
      <c r="O33" s="1144"/>
      <c r="P33" s="3170"/>
      <c r="Q33" s="776" t="str">
        <f t="shared" si="11"/>
        <v>项目建筑规模</v>
      </c>
      <c r="R33" s="777" t="s">
        <v>21</v>
      </c>
      <c r="S33" s="778">
        <f t="shared" si="12"/>
        <v>106</v>
      </c>
      <c r="T33" s="777" t="s">
        <v>21</v>
      </c>
      <c r="U33" s="778">
        <f t="shared" si="13"/>
        <v>108</v>
      </c>
      <c r="V33" s="777" t="s">
        <v>21</v>
      </c>
      <c r="W33" s="778">
        <f t="shared" si="14"/>
        <v>104</v>
      </c>
      <c r="X33" s="779"/>
      <c r="Y33" s="3172"/>
      <c r="Z33" s="780" t="str">
        <f t="shared" si="18"/>
        <v>项目建筑规模</v>
      </c>
      <c r="AA33" s="1814">
        <f t="shared" si="15"/>
        <v>0.94339622641509435</v>
      </c>
      <c r="AB33" s="1814">
        <f t="shared" si="16"/>
        <v>0.92592592592592593</v>
      </c>
      <c r="AC33" s="1814">
        <f t="shared" si="17"/>
        <v>0.96153846153846156</v>
      </c>
    </row>
    <row r="34" spans="1:29" ht="15">
      <c r="A34" s="472"/>
      <c r="B34" s="422" t="s">
        <v>2565</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70"/>
      <c r="Q34" s="1813" t="str">
        <f t="shared" si="11"/>
        <v>建筑结构</v>
      </c>
      <c r="R34" s="774" t="s">
        <v>21</v>
      </c>
      <c r="S34" s="775">
        <f t="shared" si="12"/>
        <v>100</v>
      </c>
      <c r="T34" s="774" t="s">
        <v>21</v>
      </c>
      <c r="U34" s="775">
        <f t="shared" si="13"/>
        <v>100</v>
      </c>
      <c r="V34" s="774" t="s">
        <v>21</v>
      </c>
      <c r="W34" s="775">
        <f t="shared" si="14"/>
        <v>100</v>
      </c>
      <c r="X34" s="1816"/>
      <c r="Y34" s="3172"/>
      <c r="Z34" s="1817" t="str">
        <f t="shared" si="18"/>
        <v>建筑结构</v>
      </c>
      <c r="AA34" s="1814">
        <f t="shared" si="15"/>
        <v>1</v>
      </c>
      <c r="AB34" s="1814">
        <f t="shared" si="16"/>
        <v>1</v>
      </c>
      <c r="AC34" s="1814">
        <f t="shared" si="17"/>
        <v>1</v>
      </c>
    </row>
    <row r="35" spans="1:29" ht="15">
      <c r="A35" s="472"/>
      <c r="B35" s="422" t="s">
        <v>2566</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70"/>
      <c r="Q35" s="1813" t="str">
        <f t="shared" si="11"/>
        <v>建筑品质</v>
      </c>
      <c r="R35" s="774" t="s">
        <v>21</v>
      </c>
      <c r="S35" s="775">
        <f t="shared" si="12"/>
        <v>100</v>
      </c>
      <c r="T35" s="774" t="s">
        <v>21</v>
      </c>
      <c r="U35" s="775">
        <f t="shared" si="13"/>
        <v>100</v>
      </c>
      <c r="V35" s="774" t="s">
        <v>21</v>
      </c>
      <c r="W35" s="775">
        <f t="shared" si="14"/>
        <v>100</v>
      </c>
      <c r="X35" s="1816"/>
      <c r="Y35" s="3172"/>
      <c r="Z35" s="1817" t="str">
        <f t="shared" si="18"/>
        <v>建筑品质</v>
      </c>
      <c r="AA35" s="1814">
        <f t="shared" si="15"/>
        <v>1</v>
      </c>
      <c r="AB35" s="1814">
        <f t="shared" si="16"/>
        <v>1</v>
      </c>
      <c r="AC35" s="1814">
        <f t="shared" si="17"/>
        <v>1</v>
      </c>
    </row>
    <row r="36" spans="1:29" ht="15">
      <c r="A36" s="472"/>
      <c r="B36" s="422" t="s">
        <v>2567</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70"/>
      <c r="Q36" s="1813" t="str">
        <f t="shared" si="11"/>
        <v>公共部分装修</v>
      </c>
      <c r="R36" s="774" t="s">
        <v>21</v>
      </c>
      <c r="S36" s="775">
        <f t="shared" si="12"/>
        <v>100</v>
      </c>
      <c r="T36" s="774" t="s">
        <v>21</v>
      </c>
      <c r="U36" s="775">
        <f t="shared" si="13"/>
        <v>100</v>
      </c>
      <c r="V36" s="774" t="s">
        <v>21</v>
      </c>
      <c r="W36" s="775">
        <f t="shared" si="14"/>
        <v>100</v>
      </c>
      <c r="X36" s="1816"/>
      <c r="Y36" s="3172"/>
      <c r="Z36" s="1817" t="str">
        <f t="shared" si="18"/>
        <v>公共部分装修</v>
      </c>
      <c r="AA36" s="1814">
        <f t="shared" si="15"/>
        <v>1</v>
      </c>
      <c r="AB36" s="1814">
        <f t="shared" si="16"/>
        <v>1</v>
      </c>
      <c r="AC36" s="1814">
        <f t="shared" si="17"/>
        <v>1</v>
      </c>
    </row>
    <row r="37" spans="1:29" s="117" customFormat="1" ht="15">
      <c r="A37" s="473"/>
      <c r="B37" s="422" t="s">
        <v>2568</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70"/>
      <c r="Q37" s="1798" t="str">
        <f t="shared" si="11"/>
        <v>成新度</v>
      </c>
      <c r="R37" s="770" t="s">
        <v>21</v>
      </c>
      <c r="S37" s="771">
        <f t="shared" si="12"/>
        <v>100</v>
      </c>
      <c r="T37" s="770" t="s">
        <v>21</v>
      </c>
      <c r="U37" s="771">
        <f t="shared" si="13"/>
        <v>100</v>
      </c>
      <c r="V37" s="770" t="s">
        <v>21</v>
      </c>
      <c r="W37" s="771">
        <f t="shared" si="14"/>
        <v>100</v>
      </c>
      <c r="X37" s="772"/>
      <c r="Y37" s="3172"/>
      <c r="Z37" s="55" t="str">
        <f t="shared" si="18"/>
        <v>成新度</v>
      </c>
      <c r="AA37" s="773">
        <f t="shared" si="15"/>
        <v>1</v>
      </c>
      <c r="AB37" s="773">
        <f t="shared" si="16"/>
        <v>1</v>
      </c>
      <c r="AC37" s="773">
        <f t="shared" si="17"/>
        <v>1</v>
      </c>
    </row>
    <row r="38" spans="1:29" ht="15">
      <c r="A38" s="472"/>
      <c r="B38" s="422" t="s">
        <v>2569</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70" t="s">
        <v>2563</v>
      </c>
      <c r="Q38" s="1813" t="str">
        <f t="shared" si="11"/>
        <v>物业管理</v>
      </c>
      <c r="R38" s="774" t="s">
        <v>21</v>
      </c>
      <c r="S38" s="775">
        <f t="shared" si="12"/>
        <v>100</v>
      </c>
      <c r="T38" s="774" t="s">
        <v>21</v>
      </c>
      <c r="U38" s="775">
        <f t="shared" si="13"/>
        <v>100</v>
      </c>
      <c r="V38" s="774" t="s">
        <v>21</v>
      </c>
      <c r="W38" s="775">
        <f t="shared" si="14"/>
        <v>100</v>
      </c>
      <c r="X38" s="1816"/>
      <c r="Y38" s="3172" t="s">
        <v>2563</v>
      </c>
      <c r="Z38" s="1817" t="str">
        <f t="shared" si="18"/>
        <v>物业管理</v>
      </c>
      <c r="AA38" s="1814">
        <f t="shared" si="15"/>
        <v>1</v>
      </c>
      <c r="AB38" s="1814">
        <f t="shared" si="16"/>
        <v>1</v>
      </c>
      <c r="AC38" s="1814">
        <f t="shared" si="17"/>
        <v>1</v>
      </c>
    </row>
    <row r="39" spans="1:29" ht="15">
      <c r="A39" s="472"/>
      <c r="B39" s="422" t="s">
        <v>2570</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70"/>
      <c r="Q39" s="1813" t="str">
        <f t="shared" si="11"/>
        <v>市政基础设施</v>
      </c>
      <c r="R39" s="774" t="s">
        <v>21</v>
      </c>
      <c r="S39" s="775">
        <f t="shared" si="12"/>
        <v>100</v>
      </c>
      <c r="T39" s="774" t="s">
        <v>21</v>
      </c>
      <c r="U39" s="775">
        <f t="shared" si="13"/>
        <v>100</v>
      </c>
      <c r="V39" s="774" t="s">
        <v>21</v>
      </c>
      <c r="W39" s="775">
        <f t="shared" si="14"/>
        <v>100</v>
      </c>
      <c r="X39" s="1816"/>
      <c r="Y39" s="3172"/>
      <c r="Z39" s="1817" t="str">
        <f t="shared" si="18"/>
        <v>市政基础设施</v>
      </c>
      <c r="AA39" s="1814">
        <f t="shared" si="15"/>
        <v>1</v>
      </c>
      <c r="AB39" s="1814">
        <f t="shared" si="16"/>
        <v>1</v>
      </c>
      <c r="AC39" s="1814">
        <f t="shared" si="17"/>
        <v>1</v>
      </c>
    </row>
    <row r="40" spans="1:29" ht="15">
      <c r="A40" s="472"/>
      <c r="B40" s="422" t="s">
        <v>2571</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70"/>
      <c r="Q40" s="1813" t="str">
        <f t="shared" si="11"/>
        <v>房型</v>
      </c>
      <c r="R40" s="774" t="s">
        <v>21</v>
      </c>
      <c r="S40" s="775">
        <f t="shared" si="12"/>
        <v>100</v>
      </c>
      <c r="T40" s="774" t="s">
        <v>21</v>
      </c>
      <c r="U40" s="775">
        <f t="shared" si="13"/>
        <v>100</v>
      </c>
      <c r="V40" s="774" t="s">
        <v>21</v>
      </c>
      <c r="W40" s="775">
        <f t="shared" si="14"/>
        <v>100</v>
      </c>
      <c r="X40" s="1816"/>
      <c r="Y40" s="317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70"/>
      <c r="Q41" s="776" t="str">
        <f t="shared" si="11"/>
        <v>单套/主力户型建筑面积</v>
      </c>
      <c r="R41" s="777" t="s">
        <v>21</v>
      </c>
      <c r="S41" s="778">
        <f t="shared" si="12"/>
        <v>100</v>
      </c>
      <c r="T41" s="777" t="s">
        <v>21</v>
      </c>
      <c r="U41" s="778">
        <f t="shared" si="13"/>
        <v>100</v>
      </c>
      <c r="V41" s="777" t="s">
        <v>21</v>
      </c>
      <c r="W41" s="778">
        <f t="shared" si="14"/>
        <v>100</v>
      </c>
      <c r="X41" s="779"/>
      <c r="Y41" s="3172"/>
      <c r="Z41" s="780" t="str">
        <f t="shared" si="18"/>
        <v>单套/主力户型建筑面积</v>
      </c>
      <c r="AA41" s="1814">
        <f t="shared" si="15"/>
        <v>1</v>
      </c>
      <c r="AB41" s="1814">
        <f t="shared" si="16"/>
        <v>1</v>
      </c>
      <c r="AC41" s="1814">
        <f t="shared" si="17"/>
        <v>1</v>
      </c>
    </row>
    <row r="42" spans="1:29" ht="15">
      <c r="A42" s="472"/>
      <c r="B42" s="422" t="s">
        <v>2573</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70"/>
      <c r="Q42" s="1813" t="str">
        <f t="shared" si="11"/>
        <v>内部装修</v>
      </c>
      <c r="R42" s="774" t="s">
        <v>21</v>
      </c>
      <c r="S42" s="775">
        <f t="shared" si="12"/>
        <v>100</v>
      </c>
      <c r="T42" s="774" t="s">
        <v>21</v>
      </c>
      <c r="U42" s="775">
        <f t="shared" si="13"/>
        <v>100</v>
      </c>
      <c r="V42" s="774" t="s">
        <v>21</v>
      </c>
      <c r="W42" s="775">
        <f t="shared" si="14"/>
        <v>100</v>
      </c>
      <c r="X42" s="1816"/>
      <c r="Y42" s="3172"/>
      <c r="Z42" s="1817" t="str">
        <f t="shared" si="18"/>
        <v>内部装修</v>
      </c>
      <c r="AA42" s="1814">
        <f t="shared" si="15"/>
        <v>1</v>
      </c>
      <c r="AB42" s="1814">
        <f t="shared" si="16"/>
        <v>1</v>
      </c>
      <c r="AC42" s="1814">
        <f t="shared" si="17"/>
        <v>1</v>
      </c>
    </row>
    <row r="43" spans="1:29" ht="15">
      <c r="A43" s="472"/>
      <c r="B43" s="422" t="s">
        <v>2574</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70"/>
      <c r="Q43" s="1813" t="str">
        <f t="shared" si="11"/>
        <v>内部装修维护情况</v>
      </c>
      <c r="R43" s="774" t="s">
        <v>21</v>
      </c>
      <c r="S43" s="775">
        <f t="shared" si="12"/>
        <v>100</v>
      </c>
      <c r="T43" s="774" t="s">
        <v>21</v>
      </c>
      <c r="U43" s="775">
        <f t="shared" si="13"/>
        <v>100</v>
      </c>
      <c r="V43" s="774" t="s">
        <v>21</v>
      </c>
      <c r="W43" s="775">
        <f t="shared" si="14"/>
        <v>100</v>
      </c>
      <c r="X43" s="1816"/>
      <c r="Y43" s="317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70"/>
      <c r="Q44" s="1798">
        <f t="shared" si="11"/>
        <v>111</v>
      </c>
      <c r="R44" s="770" t="s">
        <v>21</v>
      </c>
      <c r="S44" s="771">
        <f t="shared" si="12"/>
        <v>100</v>
      </c>
      <c r="T44" s="770" t="s">
        <v>21</v>
      </c>
      <c r="U44" s="771">
        <f t="shared" si="13"/>
        <v>100</v>
      </c>
      <c r="V44" s="770" t="s">
        <v>21</v>
      </c>
      <c r="W44" s="771">
        <f t="shared" si="14"/>
        <v>100</v>
      </c>
      <c r="X44" s="772"/>
      <c r="Y44" s="317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70"/>
      <c r="Q45" s="1813">
        <f t="shared" si="11"/>
        <v>111</v>
      </c>
      <c r="R45" s="774" t="s">
        <v>21</v>
      </c>
      <c r="S45" s="775">
        <f t="shared" si="12"/>
        <v>100</v>
      </c>
      <c r="T45" s="774" t="s">
        <v>21</v>
      </c>
      <c r="U45" s="775">
        <f t="shared" si="13"/>
        <v>100</v>
      </c>
      <c r="V45" s="774" t="s">
        <v>21</v>
      </c>
      <c r="W45" s="775">
        <f t="shared" si="14"/>
        <v>100</v>
      </c>
      <c r="X45" s="1816"/>
      <c r="Y45" s="3172"/>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71"/>
      <c r="Q46" s="1813">
        <f t="shared" si="11"/>
        <v>111</v>
      </c>
      <c r="R46" s="774" t="s">
        <v>20</v>
      </c>
      <c r="S46" s="775">
        <f t="shared" si="12"/>
        <v>100</v>
      </c>
      <c r="T46" s="774" t="s">
        <v>20</v>
      </c>
      <c r="U46" s="775">
        <f t="shared" si="13"/>
        <v>100</v>
      </c>
      <c r="V46" s="774" t="s">
        <v>20</v>
      </c>
      <c r="W46" s="775">
        <f t="shared" si="14"/>
        <v>100</v>
      </c>
      <c r="X46" s="1816"/>
      <c r="Y46" s="3173"/>
      <c r="Z46" s="1817">
        <f t="shared" si="18"/>
        <v>111</v>
      </c>
      <c r="AA46" s="1814">
        <f t="shared" si="15"/>
        <v>1</v>
      </c>
      <c r="AB46" s="1814">
        <f t="shared" si="16"/>
        <v>1</v>
      </c>
      <c r="AC46" s="1814">
        <f t="shared" si="17"/>
        <v>1</v>
      </c>
    </row>
    <row r="47" spans="1:29" ht="15">
      <c r="A47" s="479" t="s">
        <v>2575</v>
      </c>
      <c r="B47" s="480"/>
      <c r="C47" s="1410" t="s">
        <v>19</v>
      </c>
      <c r="D47" s="1411"/>
      <c r="E47" s="1412">
        <v>105156</v>
      </c>
      <c r="F47" s="1413"/>
      <c r="G47" s="1414">
        <v>102313</v>
      </c>
      <c r="H47" s="1415"/>
      <c r="I47" s="1412">
        <v>106963</v>
      </c>
      <c r="J47" s="1415"/>
      <c r="K47" s="2627"/>
      <c r="L47" s="1146"/>
      <c r="M47" s="1147"/>
      <c r="N47" s="1134"/>
      <c r="O47" s="1147"/>
      <c r="P47" s="3160" t="str">
        <f>A47</f>
        <v>成交单价（元/平方米）</v>
      </c>
      <c r="Q47" s="3160"/>
      <c r="R47" s="3161">
        <f>E47</f>
        <v>105156</v>
      </c>
      <c r="S47" s="3161"/>
      <c r="T47" s="3161">
        <f>G47</f>
        <v>102313</v>
      </c>
      <c r="U47" s="3161"/>
      <c r="V47" s="3161">
        <f>I47</f>
        <v>106963</v>
      </c>
      <c r="W47" s="3161"/>
      <c r="X47" s="759"/>
      <c r="Y47" s="781"/>
      <c r="Z47" s="759"/>
      <c r="AA47" s="759"/>
      <c r="AB47" s="759"/>
      <c r="AC47" s="759"/>
    </row>
    <row r="48" spans="1:29" ht="15.75" thickBot="1">
      <c r="A48" s="486" t="s">
        <v>2576</v>
      </c>
      <c r="B48" s="487"/>
      <c r="C48" s="1416">
        <f>R49</f>
        <v>100286</v>
      </c>
      <c r="D48" s="1417"/>
      <c r="E48" s="1418">
        <f>R48</f>
        <v>102272</v>
      </c>
      <c r="F48" s="1418"/>
      <c r="G48" s="1416">
        <f>T48</f>
        <v>101559</v>
      </c>
      <c r="H48" s="1417"/>
      <c r="I48" s="1418">
        <f>V48</f>
        <v>97027</v>
      </c>
      <c r="J48" s="1417"/>
      <c r="K48" s="2628"/>
      <c r="L48" s="1146"/>
      <c r="M48" s="1147"/>
      <c r="N48" s="1147"/>
      <c r="O48" s="1147"/>
      <c r="P48" s="3160" t="str">
        <f>A48</f>
        <v>比较价值（元/平方米）</v>
      </c>
      <c r="Q48" s="3160"/>
      <c r="R48" s="3161">
        <f>IF(F1="售价",ROUND(PRODUCT(R47,AA7:AA46),0),ROUND(PRODUCT(R47,AA7:AA46),1))</f>
        <v>102272</v>
      </c>
      <c r="S48" s="3161"/>
      <c r="T48" s="3161">
        <f>IF(F1="售价",ROUND(PRODUCT(T47,AB7:AB46),0),ROUND(PRODUCT(T47,AB7:AB46),1))</f>
        <v>101559</v>
      </c>
      <c r="U48" s="3161"/>
      <c r="V48" s="3161">
        <f>IF(F1="售价",ROUND(PRODUCT(V47,AC7:AC46),0),ROUND(PRODUCT(V47,AC7:AC46),1))</f>
        <v>97027</v>
      </c>
      <c r="W48" s="3161"/>
      <c r="X48" s="759"/>
      <c r="Y48" s="759"/>
      <c r="Z48" s="759"/>
      <c r="AA48" s="759"/>
      <c r="AB48" s="759"/>
      <c r="AC48" s="759"/>
    </row>
    <row r="49" spans="1:29" ht="15.75" thickBot="1">
      <c r="A49" s="492" t="s">
        <v>2577</v>
      </c>
      <c r="B49" s="493"/>
      <c r="C49" s="1419">
        <f>R49</f>
        <v>100286</v>
      </c>
      <c r="D49" s="1420"/>
      <c r="E49" s="1420"/>
      <c r="F49" s="1420"/>
      <c r="G49" s="1420"/>
      <c r="H49" s="1420"/>
      <c r="I49" s="1420"/>
      <c r="J49" s="1420"/>
      <c r="K49" s="2629"/>
      <c r="L49" s="1146"/>
      <c r="M49" s="1147"/>
      <c r="N49" s="1147"/>
      <c r="O49" s="1147"/>
      <c r="P49" s="3210" t="str">
        <f>A49</f>
        <v>估价对象XX用房的比较价值（楼面单价，元/平方米）</v>
      </c>
      <c r="Q49" s="3211"/>
      <c r="R49" s="3212">
        <f>IF(F1="售价",ROUND(AVERAGE(R48:V48),0),ROUND(AVERAGE(R48:V48),1))</f>
        <v>100286</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f>IF(E47&lt;E48,E48/E47-1,E47/E48-1)</f>
        <v>2.8199311639549363E-2</v>
      </c>
      <c r="F52" s="500" t="str">
        <f>IF(OR(E52&gt;=0.3,E52&lt;=-0.3),"超过30%","")</f>
        <v/>
      </c>
      <c r="G52" s="499">
        <f>IF(G47&lt;G48,G48/G47-1,G47/G48-1)</f>
        <v>7.4242558512784829E-3</v>
      </c>
      <c r="H52" s="500" t="str">
        <f>IF(OR(G52&gt;=0.3,G52&lt;=-0.3),"超过30%","")</f>
        <v/>
      </c>
      <c r="I52" s="499">
        <f>IF(I47&lt;I48,I48/I47-1,I47/I48-1)</f>
        <v>0.1024044853494388</v>
      </c>
      <c r="J52" s="500" t="str">
        <f>IF(OR(I52&gt;=0.3,I52&lt;=-0.3),"超过30%","")</f>
        <v/>
      </c>
      <c r="K52" s="1108"/>
      <c r="L52" s="1109"/>
      <c r="M52" s="1147"/>
      <c r="N52" s="1147"/>
      <c r="O52" s="1147"/>
    </row>
    <row r="53" spans="1:29" ht="13.5" customHeight="1">
      <c r="A53" s="1147"/>
      <c r="B53" s="1147"/>
      <c r="C53" s="497" t="s">
        <v>2579</v>
      </c>
      <c r="D53" s="501"/>
      <c r="E53" s="499">
        <f>IF(E48&lt;G48,G48/E48-1,E48/G48-1)</f>
        <v>7.0205496312487625E-3</v>
      </c>
      <c r="F53" s="500" t="str">
        <f>IF(OR(E53&gt;=0.2,E53&lt;=-0.2),"超过20%","")</f>
        <v/>
      </c>
      <c r="G53" s="499">
        <f>IF(G48&lt;I48,I48/G48-1,G48/I48-1)</f>
        <v>4.6708648108258588E-2</v>
      </c>
      <c r="H53" s="500" t="str">
        <f>IF(OR(G53&gt;=0.2,G53&lt;=-0.2),"超过20%","")</f>
        <v/>
      </c>
      <c r="I53" s="499">
        <f>IF(I48&lt;E48,E48/I48-1,I48/E48-1)</f>
        <v>5.4057118121759951E-2</v>
      </c>
      <c r="J53" s="500" t="str">
        <f>IF(OR(I53&gt;=0.2,I53&lt;=-0.2),"超过20%","")</f>
        <v/>
      </c>
      <c r="K53" s="1108"/>
      <c r="L53" s="1109"/>
      <c r="M53" s="1147"/>
      <c r="N53" s="1147"/>
      <c r="O53" s="1147"/>
    </row>
    <row r="54" spans="1:29" s="502" customFormat="1" ht="13.5" customHeight="1">
      <c r="A54" s="1148"/>
      <c r="B54" s="1148"/>
      <c r="C54" s="497" t="s">
        <v>2580</v>
      </c>
      <c r="D54" s="501"/>
      <c r="E54" s="499">
        <f>IF(E47&lt;G47,G47/E47-1,E47/G47-1)</f>
        <v>2.7787280208771081E-2</v>
      </c>
      <c r="F54" s="500" t="str">
        <f>IF(OR(E54&gt;=0.3,E54&lt;=-0.3),"超过30%","")</f>
        <v/>
      </c>
      <c r="G54" s="499">
        <f>IF(G47&lt;I47,I47/G47-1,G47/I47-1)</f>
        <v>4.5448769951032642E-2</v>
      </c>
      <c r="H54" s="500" t="str">
        <f>IF(OR(G54&gt;=0.3,G54&lt;=-0.3),"超过30%","")</f>
        <v/>
      </c>
      <c r="I54" s="499">
        <f>IF(I47&lt;E47,E47/I47-1,I47/E47-1)</f>
        <v>1.7183993305184719E-2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2"/>
      <c r="Q57" s="504"/>
    </row>
    <row r="58" spans="1:29" s="508" customFormat="1" ht="15">
      <c r="A58" s="505" t="s">
        <v>2582</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33"/>
      <c r="C59" s="1576">
        <v>100</v>
      </c>
      <c r="D59" s="511">
        <f>C59</f>
        <v>100</v>
      </c>
      <c r="E59" s="512"/>
      <c r="F59" s="512"/>
      <c r="G59" s="512"/>
      <c r="H59" s="512"/>
      <c r="I59" s="512"/>
      <c r="J59" s="512"/>
      <c r="K59" s="512"/>
      <c r="L59" s="512"/>
      <c r="M59" s="513"/>
      <c r="N59" s="512"/>
      <c r="O59" s="513"/>
      <c r="P59" s="2634"/>
    </row>
    <row r="60" spans="1:29" s="117" customFormat="1" ht="15.75" thickBot="1">
      <c r="A60" s="515" t="s">
        <v>2583</v>
      </c>
      <c r="B60" s="516"/>
      <c r="C60" s="517"/>
      <c r="D60" s="518"/>
      <c r="E60" s="518"/>
      <c r="F60" s="518"/>
      <c r="G60" s="518"/>
      <c r="H60" s="518"/>
      <c r="I60" s="518"/>
      <c r="J60" s="518"/>
      <c r="K60" s="518"/>
      <c r="L60" s="518"/>
      <c r="M60" s="519"/>
      <c r="N60" s="518"/>
      <c r="O60" s="519"/>
      <c r="P60" s="2634"/>
      <c r="Q60" s="504"/>
    </row>
    <row r="61" spans="1:29" s="117" customFormat="1" ht="15">
      <c r="A61" s="521" t="s">
        <v>2584</v>
      </c>
      <c r="B61" s="510"/>
      <c r="C61" s="522" t="s">
        <v>2585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2586</v>
      </c>
      <c r="B63" s="528" t="s">
        <v>2552</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2556</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0</v>
      </c>
      <c r="D68" s="549">
        <v>1</v>
      </c>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2095</v>
      </c>
      <c r="C82" s="539" t="s">
        <v>2602</v>
      </c>
      <c r="D82" s="539" t="s">
        <v>2603</v>
      </c>
      <c r="E82" s="539" t="s">
        <v>2604</v>
      </c>
      <c r="F82" s="539" t="s">
        <v>2605</v>
      </c>
      <c r="G82" s="539" t="s">
        <v>2606</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2608</v>
      </c>
      <c r="C86" s="2959"/>
      <c r="D86" s="2959"/>
      <c r="E86" s="2959"/>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2609</v>
      </c>
      <c r="C88" s="2959" t="s">
        <v>3115</v>
      </c>
      <c r="D88" s="2959" t="s">
        <v>3117</v>
      </c>
      <c r="E88" s="2959" t="s">
        <v>3118</v>
      </c>
      <c r="F88" s="2960" t="s">
        <v>3119</v>
      </c>
      <c r="G88" s="2959" t="s">
        <v>3121</v>
      </c>
      <c r="H88" s="554"/>
      <c r="I88" s="554"/>
      <c r="J88" s="554"/>
      <c r="K88" s="554"/>
      <c r="L88" s="554"/>
      <c r="M88" s="581"/>
      <c r="N88" s="1154"/>
      <c r="O88" s="1154"/>
      <c r="P88" s="2636"/>
      <c r="Q88" s="504"/>
    </row>
    <row r="89" spans="1:17" s="117" customFormat="1" ht="15.75" thickBot="1">
      <c r="A89" s="579"/>
      <c r="B89" s="543"/>
      <c r="C89" s="582">
        <v>100</v>
      </c>
      <c r="D89" s="544">
        <f t="shared" ref="D89:M89" si="25">C89-$K26</f>
        <v>97</v>
      </c>
      <c r="E89" s="544">
        <f t="shared" si="25"/>
        <v>94</v>
      </c>
      <c r="F89" s="544">
        <f t="shared" si="25"/>
        <v>91</v>
      </c>
      <c r="G89" s="544">
        <f t="shared" si="25"/>
        <v>88</v>
      </c>
      <c r="H89" s="544">
        <f t="shared" si="25"/>
        <v>85</v>
      </c>
      <c r="I89" s="544">
        <f t="shared" si="25"/>
        <v>82</v>
      </c>
      <c r="J89" s="544">
        <f t="shared" si="25"/>
        <v>79</v>
      </c>
      <c r="K89" s="544">
        <f t="shared" si="25"/>
        <v>76</v>
      </c>
      <c r="L89" s="544">
        <f t="shared" si="25"/>
        <v>73</v>
      </c>
      <c r="M89" s="544">
        <f t="shared" si="25"/>
        <v>70</v>
      </c>
      <c r="N89" s="1156"/>
      <c r="O89" s="1156"/>
      <c r="P89" s="2636"/>
      <c r="Q89" s="504"/>
    </row>
    <row r="90" spans="1:17" s="471" customFormat="1" ht="15.75" thickTop="1">
      <c r="A90" s="553"/>
      <c r="B90" s="538" t="str">
        <f>B27</f>
        <v>楼层</v>
      </c>
      <c r="C90" s="2959" t="s">
        <v>3111</v>
      </c>
      <c r="D90" s="2959" t="s">
        <v>3112</v>
      </c>
      <c r="E90" s="2959" t="s">
        <v>3113</v>
      </c>
      <c r="F90" s="554"/>
      <c r="G90" s="554"/>
      <c r="H90" s="555"/>
      <c r="I90" s="555"/>
      <c r="J90" s="555"/>
      <c r="K90" s="555"/>
      <c r="L90" s="556"/>
      <c r="M90" s="557"/>
      <c r="N90" s="1157"/>
      <c r="O90" s="1157"/>
      <c r="P90" s="2637"/>
      <c r="Q90" s="559"/>
    </row>
    <row r="91" spans="1:17" s="471" customFormat="1" ht="15.75" thickBot="1">
      <c r="A91" s="553"/>
      <c r="B91" s="543"/>
      <c r="C91" s="560">
        <v>100</v>
      </c>
      <c r="D91" s="560">
        <v>97</v>
      </c>
      <c r="E91" s="560">
        <v>94</v>
      </c>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2561</v>
      </c>
      <c r="B100" s="528" t="s">
        <v>2610</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2611</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7"/>
      <c r="O103" s="1157"/>
      <c r="P103" s="2637"/>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6"/>
      <c r="N104" s="1156"/>
      <c r="O104" s="1156"/>
      <c r="P104" s="2637"/>
      <c r="Q104" s="559"/>
    </row>
    <row r="105" spans="1:17" ht="15" thickTop="1">
      <c r="A105" s="599"/>
      <c r="B105" s="538" t="s">
        <v>2612</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2613</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2614</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2617</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2618</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7">
        <v>6</v>
      </c>
      <c r="C139" s="1088">
        <v>96</v>
      </c>
      <c r="D139" s="2654" t="s">
        <v>2629</v>
      </c>
      <c r="E139" s="1089">
        <v>100</v>
      </c>
      <c r="F139" s="1090">
        <v>102.5</v>
      </c>
      <c r="G139" s="2654" t="s">
        <v>2629</v>
      </c>
      <c r="H139" s="1091">
        <v>105</v>
      </c>
      <c r="I139" s="2655" t="s">
        <v>2630</v>
      </c>
      <c r="J139" s="1088">
        <v>20</v>
      </c>
      <c r="K139" s="1092">
        <f>C145/(J139-2)</f>
        <v>4.0555555555555553E-3</v>
      </c>
    </row>
    <row r="140" spans="1:17" ht="15">
      <c r="B140" s="1093">
        <v>5</v>
      </c>
      <c r="C140" s="1094">
        <v>100</v>
      </c>
      <c r="D140" s="1094"/>
      <c r="E140" s="1095"/>
      <c r="F140" s="1096">
        <v>102</v>
      </c>
      <c r="G140" s="1094"/>
      <c r="H140" s="1097"/>
      <c r="I140" s="2656" t="s">
        <v>2631</v>
      </c>
      <c r="J140" s="315">
        <f>ROUNDUP((J139-1)/2,0)</f>
        <v>10</v>
      </c>
      <c r="K140" s="1098">
        <v>100</v>
      </c>
    </row>
    <row r="141" spans="1:17" ht="15">
      <c r="B141" s="1093">
        <v>4</v>
      </c>
      <c r="C141" s="1094">
        <v>102</v>
      </c>
      <c r="D141" s="1094"/>
      <c r="E141" s="1095"/>
      <c r="F141" s="1096">
        <v>101.5</v>
      </c>
      <c r="G141" s="1094"/>
      <c r="H141" s="1097"/>
      <c r="I141" s="2656" t="s">
        <v>2632</v>
      </c>
      <c r="J141" s="315">
        <v>1</v>
      </c>
      <c r="K141" s="1099">
        <f>ROUND(100+(J141-J140)*K139*100,1)</f>
        <v>96.4</v>
      </c>
    </row>
    <row r="142" spans="1:17" ht="15">
      <c r="B142" s="1093">
        <v>3</v>
      </c>
      <c r="C142" s="1094">
        <v>103</v>
      </c>
      <c r="D142" s="1094"/>
      <c r="E142" s="1095"/>
      <c r="F142" s="1096">
        <v>101</v>
      </c>
      <c r="G142" s="1094"/>
      <c r="H142" s="1097"/>
      <c r="I142" s="2656" t="s">
        <v>2633</v>
      </c>
      <c r="J142" s="315">
        <f>J139</f>
        <v>20</v>
      </c>
      <c r="K142" s="1100">
        <v>95</v>
      </c>
    </row>
    <row r="143" spans="1:17" ht="15">
      <c r="B143" s="1093">
        <v>2</v>
      </c>
      <c r="C143" s="1094">
        <v>100</v>
      </c>
      <c r="D143" s="1094"/>
      <c r="E143" s="1095"/>
      <c r="F143" s="1096">
        <v>100.5</v>
      </c>
      <c r="G143" s="1094"/>
      <c r="H143" s="1097"/>
      <c r="I143" s="2656" t="s">
        <v>2634</v>
      </c>
      <c r="J143" s="1094">
        <v>15</v>
      </c>
      <c r="K143" s="1099">
        <f>ROUND(100+(J143-J140)*K139*100,1)</f>
        <v>102</v>
      </c>
    </row>
    <row r="144" spans="1:17" ht="15">
      <c r="B144" s="1093">
        <v>1</v>
      </c>
      <c r="C144" s="1094">
        <v>98</v>
      </c>
      <c r="D144" s="2657" t="s">
        <v>2635</v>
      </c>
      <c r="E144" s="1095">
        <v>102</v>
      </c>
      <c r="F144" s="1101">
        <v>100</v>
      </c>
      <c r="G144" s="2657" t="s">
        <v>2635</v>
      </c>
      <c r="H144" s="1097">
        <v>105</v>
      </c>
      <c r="I144" s="2656" t="s">
        <v>2634</v>
      </c>
      <c r="J144" s="1094">
        <v>18</v>
      </c>
      <c r="K144" s="1099">
        <f>ROUND(100+(J144-J140)*K139*100,1)</f>
        <v>103.2</v>
      </c>
    </row>
    <row r="145" spans="2:11" ht="15.75" thickBot="1">
      <c r="B145" s="2658" t="s">
        <v>2636</v>
      </c>
      <c r="C145" s="1102">
        <f>ROUND(MAX(C139:C144)/MIN(C139:C144)-1,3)</f>
        <v>7.2999999999999995E-2</v>
      </c>
      <c r="D145" s="1103"/>
      <c r="E145" s="1103"/>
      <c r="F145" s="2659" t="s">
        <v>2637</v>
      </c>
      <c r="G145" s="2660"/>
      <c r="H145" s="2661"/>
      <c r="I145" s="2662" t="s">
        <v>2634</v>
      </c>
      <c r="J145" s="1104">
        <v>8</v>
      </c>
      <c r="K145" s="1105">
        <f>ROUND(100+(J145-J140)*K139*100,1)</f>
        <v>99.2</v>
      </c>
    </row>
    <row r="147" spans="2:11">
      <c r="B147" s="2643" t="s">
        <v>2638</v>
      </c>
    </row>
    <row r="148" spans="2:11">
      <c r="B148" s="264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16" sqref="G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3107</v>
      </c>
      <c r="D1" s="1823" t="s">
        <v>70</v>
      </c>
      <c r="E1" s="1824" t="s">
        <v>1383</v>
      </c>
      <c r="F1" s="1286">
        <f ca="1">J53</f>
        <v>67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998</v>
      </c>
      <c r="C2" s="1848" t="s">
        <v>1587</v>
      </c>
      <c r="D2" s="1941">
        <f ca="1">C40+J29+L46</f>
        <v>9980095</v>
      </c>
      <c r="E2" s="1849" t="s">
        <v>1588</v>
      </c>
      <c r="F2" s="1850"/>
      <c r="G2" s="1851"/>
      <c r="H2" s="1843"/>
      <c r="I2" s="1843"/>
      <c r="J2" s="1843"/>
      <c r="K2" s="1844"/>
      <c r="L2" s="1843"/>
      <c r="M2" s="1843"/>
    </row>
    <row r="3" spans="1:37" ht="18" customHeight="1" thickBot="1">
      <c r="A3" s="1852" t="s">
        <v>1589</v>
      </c>
      <c r="B3" s="1853">
        <f ca="1">IF(ISERROR(D2/F43),0,ROUND(D2/F43,0))</f>
        <v>37933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408644</v>
      </c>
      <c r="D5" s="1825" t="s">
        <v>1597</v>
      </c>
      <c r="E5" s="1296"/>
      <c r="F5" s="1297"/>
      <c r="G5" s="1854"/>
      <c r="H5" s="344">
        <v>1</v>
      </c>
      <c r="I5" s="345" t="s">
        <v>1596</v>
      </c>
      <c r="J5" s="1295">
        <f ca="1">J6+J10+J12</f>
        <v>0</v>
      </c>
      <c r="K5" s="1825" t="s">
        <v>1597</v>
      </c>
      <c r="L5" s="1296"/>
      <c r="M5" s="1297"/>
    </row>
    <row r="6" spans="1:37" ht="18" customHeight="1">
      <c r="A6" s="1294" t="s">
        <v>1032</v>
      </c>
      <c r="B6" s="3156" t="s">
        <v>1399</v>
      </c>
      <c r="C6" s="1299">
        <f ca="1">ROUND(F6*F8*F7*(1-F9),0)</f>
        <v>408134</v>
      </c>
      <c r="D6" s="164" t="s">
        <v>3027</v>
      </c>
      <c r="E6" s="347" t="s">
        <v>1401</v>
      </c>
      <c r="F6" s="348">
        <f ca="1">INDIRECT("'数据-取费表'!u"&amp;$G$1)</f>
        <v>5</v>
      </c>
      <c r="G6" s="1854"/>
      <c r="H6" s="1294" t="s">
        <v>1032</v>
      </c>
      <c r="I6" s="3156" t="s">
        <v>1399</v>
      </c>
      <c r="J6" s="346">
        <f ca="1">ROUND(M6*M8*M7*(1-M9),0)</f>
        <v>0</v>
      </c>
      <c r="K6" s="1837" t="s">
        <v>3028</v>
      </c>
      <c r="L6" s="347" t="s">
        <v>1401</v>
      </c>
      <c r="M6" s="348">
        <f ca="1">INDIRECT("'数据-取费表'!z"&amp;$G$1)</f>
        <v>0</v>
      </c>
    </row>
    <row r="7" spans="1:37" ht="18" customHeight="1">
      <c r="A7" s="1298"/>
      <c r="B7" s="3157"/>
      <c r="C7" s="1300"/>
      <c r="D7" s="352"/>
      <c r="E7" s="1301" t="s">
        <v>1402</v>
      </c>
      <c r="F7" s="348">
        <f ca="1">IF(INDIRECT("'数据-取费表'!ah"&amp;$G$1)="",INDIRECT("'数据-取费表'!k"&amp;$G$1),INDIRECT("'数据-取费表'!ah"&amp;$G$1))</f>
        <v>263.10000000000002</v>
      </c>
      <c r="G7" s="1854"/>
      <c r="H7" s="349"/>
      <c r="I7" s="3157"/>
      <c r="J7" s="351"/>
      <c r="K7" s="352"/>
      <c r="L7" s="347" t="s">
        <v>1402</v>
      </c>
      <c r="M7" s="348">
        <f ca="1">F7</f>
        <v>263.10000000000002</v>
      </c>
    </row>
    <row r="8" spans="1:37" ht="18" customHeight="1">
      <c r="A8" s="349"/>
      <c r="B8" s="3157"/>
      <c r="C8" s="351"/>
      <c r="D8" s="352"/>
      <c r="E8" s="347" t="s">
        <v>1403</v>
      </c>
      <c r="F8" s="348">
        <f ca="1">INDIRECT("'数据-取费表'!ai"&amp;$G$1)</f>
        <v>365</v>
      </c>
      <c r="G8" s="1854"/>
      <c r="H8" s="349"/>
      <c r="I8" s="3157"/>
      <c r="J8" s="351"/>
      <c r="K8" s="352"/>
      <c r="L8" s="347" t="s">
        <v>1403</v>
      </c>
      <c r="M8" s="348">
        <f ca="1">INDIRECT("'数据-取费表'!ai"&amp;$G$1)</f>
        <v>365</v>
      </c>
    </row>
    <row r="9" spans="1:37" ht="18" customHeight="1">
      <c r="A9" s="349"/>
      <c r="B9" s="3158"/>
      <c r="C9" s="351"/>
      <c r="D9" s="352"/>
      <c r="E9" s="347" t="s">
        <v>1404</v>
      </c>
      <c r="F9" s="357">
        <f ca="1">INDIRECT("'数据-取费表'!w"&amp;$G$1)</f>
        <v>0.15</v>
      </c>
      <c r="G9" s="1854"/>
      <c r="H9" s="349"/>
      <c r="I9" s="3158"/>
      <c r="J9" s="351"/>
      <c r="K9" s="352"/>
      <c r="L9" s="358" t="s">
        <v>1404</v>
      </c>
      <c r="M9" s="359">
        <f ca="1">INDIRECT("'数据-取费表'!ab"&amp;$G$1)</f>
        <v>0</v>
      </c>
    </row>
    <row r="10" spans="1:37" ht="18" customHeight="1">
      <c r="A10" s="1294" t="s">
        <v>1036</v>
      </c>
      <c r="B10" s="1826" t="s">
        <v>1405</v>
      </c>
      <c r="C10" s="361">
        <f ca="1">ROUND(IF(F10="押一",C6/12*F11,IF(F10="押二",C6/12*2*F11,IF(F10="押三",C6/12*3*F11,C11*F11))),0)</f>
        <v>510</v>
      </c>
      <c r="D10" s="1827" t="s">
        <v>3038</v>
      </c>
      <c r="E10" s="358" t="s">
        <v>1406</v>
      </c>
      <c r="F10" s="1369" t="s">
        <v>3102</v>
      </c>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1091814</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920850</v>
      </c>
      <c r="D14" s="1803" t="s">
        <v>1414</v>
      </c>
      <c r="E14" s="1797"/>
      <c r="F14" s="364"/>
      <c r="G14" s="1854"/>
      <c r="H14" s="1204" t="s">
        <v>1032</v>
      </c>
      <c r="I14" s="347" t="s">
        <v>1415</v>
      </c>
      <c r="J14" s="24">
        <f ca="1">C29</f>
        <v>1399762</v>
      </c>
      <c r="K14" s="15"/>
      <c r="L14" s="982"/>
      <c r="M14" s="983"/>
    </row>
    <row r="15" spans="1:37" s="1861" customFormat="1" ht="18" customHeight="1" thickBot="1">
      <c r="A15" s="1204" t="s">
        <v>1033</v>
      </c>
      <c r="B15" s="347" t="s">
        <v>1416</v>
      </c>
      <c r="C15" s="24">
        <f ca="1">ROUND(C14*F15,0)</f>
        <v>27626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32754</v>
      </c>
      <c r="K16" s="1340" t="s">
        <v>1421</v>
      </c>
      <c r="L16" s="1341"/>
      <c r="M16" s="1297"/>
    </row>
    <row r="17" spans="1:37" s="1861" customFormat="1" ht="18" customHeight="1">
      <c r="A17" s="1204" t="s">
        <v>1386</v>
      </c>
      <c r="B17" s="347" t="s">
        <v>1422</v>
      </c>
      <c r="C17" s="24">
        <f ca="1">ROUND(F17*(F43+INDIRECT("'数据-取费表'!S"&amp;$G$1)),0)</f>
        <v>52620</v>
      </c>
      <c r="D17" s="347" t="s">
        <v>1423</v>
      </c>
      <c r="E17" s="347" t="s">
        <v>1424</v>
      </c>
      <c r="F17" s="26">
        <f>'数据-取费表'!B35</f>
        <v>200</v>
      </c>
      <c r="G17" s="1857"/>
      <c r="H17" s="1204" t="s">
        <v>1032</v>
      </c>
      <c r="I17" s="347" t="s">
        <v>1425</v>
      </c>
      <c r="J17" s="24">
        <f ca="1">ROUND(IF(项目基本情况!B11="自然人",J5*M17,J18+J19+J20),0)</f>
        <v>11758</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13813</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1014909</v>
      </c>
      <c r="D19" s="140" t="s">
        <v>1432</v>
      </c>
      <c r="E19" s="1821"/>
      <c r="F19" s="26"/>
      <c r="G19" s="1854"/>
      <c r="H19" s="1204" t="s">
        <v>1033</v>
      </c>
      <c r="I19" s="347" t="s">
        <v>1433</v>
      </c>
      <c r="J19" s="24">
        <f ca="1">IF(K19="按租金收入计税",ROUND(J5*M19,0),ROUND(C29*M19*0.7,0))</f>
        <v>11758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20298</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20996</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49172</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-32754</v>
      </c>
      <c r="K25" s="1348" t="s">
        <v>1460</v>
      </c>
      <c r="L25" s="1349"/>
      <c r="M25" s="1350"/>
    </row>
    <row r="26" spans="1:37" ht="18" customHeight="1">
      <c r="A26" s="1204" t="s">
        <v>1031</v>
      </c>
      <c r="B26" s="347" t="s">
        <v>1461</v>
      </c>
      <c r="C26" s="24">
        <f ca="1">ROUND((C19+C20)*F26,0)</f>
        <v>207041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1399762</v>
      </c>
      <c r="D29" s="1345"/>
      <c r="E29" s="1343"/>
      <c r="F29" s="1346"/>
      <c r="G29" s="1857"/>
      <c r="H29" s="380" t="s">
        <v>1030</v>
      </c>
      <c r="I29" s="381" t="s">
        <v>1475</v>
      </c>
      <c r="J29" s="382">
        <f ca="1">ROUND(J26/(1+F40)^F41,0)</f>
        <v>0</v>
      </c>
      <c r="K29" s="383" t="s">
        <v>1476</v>
      </c>
      <c r="L29" s="384"/>
      <c r="M29" s="385">
        <f ca="1">INDIRECT("'数据-取费表'!k"&amp;$G$1)</f>
        <v>263.10000000000002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97162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70442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21405</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49037</v>
      </c>
      <c r="D33" s="1831" t="s">
        <v>3103</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20996</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1638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4086.4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311482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9980095</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67</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37933</v>
      </c>
      <c r="D43" s="383" t="s">
        <v>1484</v>
      </c>
      <c r="E43" s="384" t="s">
        <v>1485</v>
      </c>
      <c r="F43" s="385">
        <f ca="1">INDIRECT("'数据-取费表'!k"&amp;$G$1)</f>
        <v>263.10000000000002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-14472647</v>
      </c>
      <c r="D45" s="1943" t="s">
        <v>1600</v>
      </c>
      <c r="E45" s="1869"/>
      <c r="F45" s="1869"/>
      <c r="O45" s="1872" t="s">
        <v>1515</v>
      </c>
      <c r="P45" s="1842"/>
      <c r="Q45" s="1842"/>
      <c r="R45" s="1842"/>
    </row>
    <row r="46" spans="1:18" s="1845" customFormat="1" ht="13.5" thickBot="1">
      <c r="A46" s="1873" t="s">
        <v>1516</v>
      </c>
      <c r="C46" s="1874">
        <f ca="1">ROUND(C45/10000,0)</f>
        <v>-1447</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3099</v>
      </c>
      <c r="K47" s="1885" t="s">
        <v>1523</v>
      </c>
      <c r="L47" s="1886">
        <f ca="1">INDIRECT("'数据-取费表'!d"&amp;$G$1)</f>
        <v>70</v>
      </c>
      <c r="M47" s="1841" t="str">
        <f>IF(ISNUMBER(FIND("住宅",C1)),"住宅","非住宅")</f>
        <v>住宅</v>
      </c>
      <c r="O47" s="1887" t="s">
        <v>1037</v>
      </c>
      <c r="P47" s="1888" t="s">
        <v>1524</v>
      </c>
      <c r="Q47" s="1889">
        <f ca="1">C40+J29</f>
        <v>9980095</v>
      </c>
      <c r="R47" s="1889" t="s">
        <v>1525</v>
      </c>
    </row>
    <row r="48" spans="1:18" s="1845" customFormat="1" ht="28.5" thickBot="1">
      <c r="A48" s="1363" t="s">
        <v>1132</v>
      </c>
      <c r="B48" s="345" t="s">
        <v>1397</v>
      </c>
      <c r="C48" s="1820">
        <f ca="1">C49+C53+C55</f>
        <v>0</v>
      </c>
      <c r="D48" s="1365"/>
      <c r="E48" s="1366"/>
      <c r="F48" s="1184"/>
      <c r="G48" s="792"/>
      <c r="H48" s="793"/>
      <c r="I48" s="1890" t="s">
        <v>1526</v>
      </c>
      <c r="J48" s="1891" t="s">
        <v>3100</v>
      </c>
      <c r="K48" s="1892" t="s">
        <v>1527</v>
      </c>
      <c r="L48" s="1893">
        <f ca="1">INDIRECT("'数据-取费表'!f"&amp;$G$1)</f>
        <v>57</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2006</v>
      </c>
      <c r="K49" s="1892" t="s">
        <v>1531</v>
      </c>
      <c r="L49" s="1896"/>
      <c r="O49" s="1897" t="s">
        <v>1039</v>
      </c>
      <c r="P49" s="1888" t="s">
        <v>1532</v>
      </c>
      <c r="Q49" s="1889">
        <f ca="1">C29</f>
        <v>1399762</v>
      </c>
      <c r="R49" s="1889" t="s">
        <v>1525</v>
      </c>
    </row>
    <row r="50" spans="1:18" s="1845" customFormat="1" ht="13.5" thickBot="1">
      <c r="A50" s="1198"/>
      <c r="B50" s="1201"/>
      <c r="C50" s="1202"/>
      <c r="D50" s="1175"/>
      <c r="E50" s="1280" t="s">
        <v>1402</v>
      </c>
      <c r="F50" s="1281">
        <f ca="1">F7</f>
        <v>263.10000000000002</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67</v>
      </c>
      <c r="K51" s="1903" t="s">
        <v>1537</v>
      </c>
      <c r="L51" s="1904">
        <f ca="1">ROUND(-PV(INDIRECT("'数据-取费表'!h"&amp;$G$1),L48,(C39-C13*C76),0),0)</f>
        <v>4464173</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67</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67</v>
      </c>
      <c r="K53" s="3154" t="s">
        <v>1544</v>
      </c>
      <c r="L53" s="3155"/>
      <c r="O53" s="1887" t="s">
        <v>1043</v>
      </c>
      <c r="P53" s="1888" t="s">
        <v>1545</v>
      </c>
      <c r="Q53" s="1889">
        <f ca="1">Q47+Q48</f>
        <v>9980095</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1091814</v>
      </c>
      <c r="D56" s="1917"/>
      <c r="E56" s="1918"/>
      <c r="F56" s="1910"/>
      <c r="I56" s="1919" t="s">
        <v>1550</v>
      </c>
      <c r="J56" s="1920" t="s">
        <v>3092</v>
      </c>
      <c r="K56" s="1890" t="s">
        <v>1551</v>
      </c>
      <c r="L56" s="1893" t="str">
        <f ca="1">IF(L48&lt;J51,"——",L48-J51)</f>
        <v>——</v>
      </c>
      <c r="O56" s="1887" t="s">
        <v>1037</v>
      </c>
      <c r="P56" s="1888" t="s">
        <v>1524</v>
      </c>
      <c r="Q56" s="1889">
        <f ca="1">C40+J29</f>
        <v>9980095</v>
      </c>
      <c r="R56" s="1889" t="s">
        <v>1525</v>
      </c>
    </row>
    <row r="57" spans="1:18" s="1845" customFormat="1" ht="24.75" thickBot="1">
      <c r="A57" s="1921"/>
      <c r="B57" s="1172" t="s">
        <v>1474</v>
      </c>
      <c r="C57" s="282">
        <f ca="1">C29</f>
        <v>1399762</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140214</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117580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117580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9980095</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20996</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1638</v>
      </c>
      <c r="D65" s="1186" t="s">
        <v>1450</v>
      </c>
      <c r="E65" s="1172" t="s">
        <v>1451</v>
      </c>
      <c r="F65" s="376">
        <f t="shared" ca="1" si="0"/>
        <v>1.5E-3</v>
      </c>
      <c r="I65" s="1932" t="s">
        <v>1575</v>
      </c>
      <c r="J65" s="1933">
        <v>40</v>
      </c>
      <c r="K65" s="1933">
        <v>30</v>
      </c>
      <c r="L65" s="1933">
        <v>50</v>
      </c>
      <c r="M65" s="1935">
        <v>0.02</v>
      </c>
      <c r="O65" s="1887" t="s">
        <v>1037</v>
      </c>
      <c r="P65" s="1888" t="s">
        <v>1576</v>
      </c>
      <c r="Q65" s="1889">
        <f ca="1">C40+J29</f>
        <v>9980095</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-140214</v>
      </c>
      <c r="D67" s="1185" t="s">
        <v>1460</v>
      </c>
      <c r="E67" s="1190"/>
      <c r="F67" s="1191"/>
      <c r="O67" s="1897" t="s">
        <v>1039</v>
      </c>
      <c r="P67" s="1888" t="s">
        <v>1558</v>
      </c>
      <c r="Q67" s="1936">
        <f ca="1">L51</f>
        <v>4464173</v>
      </c>
      <c r="R67" s="1889" t="s">
        <v>1578</v>
      </c>
    </row>
    <row r="68" spans="1:18" s="1845" customFormat="1" ht="16.5" thickBot="1">
      <c r="A68" s="1169" t="s">
        <v>1029</v>
      </c>
      <c r="B68" s="1170" t="s">
        <v>1481</v>
      </c>
      <c r="C68" s="346">
        <f ca="1">ROUND(C67*(1-((1+F70)/(1+F68))^F69)/(F68-F70),0)</f>
        <v>-4492552</v>
      </c>
      <c r="D68" s="1187" t="s">
        <v>1465</v>
      </c>
      <c r="E68" s="1172" t="s">
        <v>1466</v>
      </c>
      <c r="F68" s="357">
        <f ca="1">F40</f>
        <v>0.05</v>
      </c>
      <c r="O68" s="1897" t="s">
        <v>1040</v>
      </c>
      <c r="P68" s="1937" t="s">
        <v>1579</v>
      </c>
      <c r="Q68" s="1889">
        <f ca="1">ROUND(Q69-Q70*Q71,0)</f>
        <v>218678</v>
      </c>
      <c r="R68" s="1889" t="s">
        <v>1048</v>
      </c>
    </row>
    <row r="69" spans="1:18" s="1845" customFormat="1" ht="13.5" thickBot="1">
      <c r="A69" s="1173"/>
      <c r="B69" s="1174"/>
      <c r="C69" s="351"/>
      <c r="D69" s="1192" t="s">
        <v>1469</v>
      </c>
      <c r="E69" s="1172" t="s">
        <v>1470</v>
      </c>
      <c r="F69" s="379">
        <f ca="1">F41</f>
        <v>67</v>
      </c>
      <c r="O69" s="1897" t="s">
        <v>1045</v>
      </c>
      <c r="P69" s="1937" t="s">
        <v>1580</v>
      </c>
      <c r="Q69" s="1889">
        <f ca="1">C39</f>
        <v>311482</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1091814</v>
      </c>
      <c r="R70" s="1889" t="s">
        <v>1525</v>
      </c>
    </row>
    <row r="71" spans="1:18" s="1845" customFormat="1" ht="13.5" thickBot="1">
      <c r="A71" s="1193" t="s">
        <v>1030</v>
      </c>
      <c r="B71" s="1194" t="s">
        <v>1483</v>
      </c>
      <c r="C71" s="382">
        <f ca="1">ROUND(C68/F71,0)</f>
        <v>-17075</v>
      </c>
      <c r="D71" s="1195" t="s">
        <v>1484</v>
      </c>
      <c r="E71" s="1196" t="s">
        <v>1485</v>
      </c>
      <c r="F71" s="385">
        <f ca="1">F43</f>
        <v>263.10000000000002</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92804</v>
      </c>
      <c r="D75" s="1845"/>
      <c r="E75" s="1845"/>
      <c r="F75" s="1845"/>
      <c r="K75" s="1871"/>
      <c r="L75" s="1845"/>
      <c r="O75" s="1887" t="s">
        <v>1043</v>
      </c>
      <c r="P75" s="1888" t="s">
        <v>1545</v>
      </c>
      <c r="Q75" s="1889">
        <f ca="1">Q65+Q66</f>
        <v>9980095</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0.70199999999999996</v>
      </c>
    </row>
    <row r="80" spans="1:18">
      <c r="B80" s="386" t="s">
        <v>1507</v>
      </c>
      <c r="C80" s="318">
        <f ca="1">ROUND(C75/C39,3)</f>
        <v>0.29799999999999999</v>
      </c>
    </row>
    <row r="81" spans="2:3">
      <c r="B81" s="314" t="s">
        <v>1508</v>
      </c>
      <c r="C81" s="282"/>
    </row>
    <row r="82" spans="2:3">
      <c r="B82" s="317" t="s">
        <v>1509</v>
      </c>
      <c r="C82" s="319">
        <f ca="1">1-C83</f>
        <v>0.89100000000000001</v>
      </c>
    </row>
    <row r="83" spans="2:3">
      <c r="B83" s="317" t="s">
        <v>1510</v>
      </c>
      <c r="C83" s="318">
        <f ca="1">ROUND(C13/C40,3)</f>
        <v>0.109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2524</v>
      </c>
      <c r="B1" s="2568"/>
      <c r="C1" s="2568"/>
      <c r="D1" s="2568"/>
      <c r="E1" s="2569"/>
    </row>
    <row r="2" spans="1:6" ht="15.75">
      <c r="A2" s="2570" t="s">
        <v>2325</v>
      </c>
      <c r="B2" s="2571">
        <f ca="1">SUMIF(B6:B13,"&lt;&gt;#ref!",B6:B13)</f>
        <v>998</v>
      </c>
      <c r="C2" s="2572" t="s">
        <v>2517</v>
      </c>
      <c r="D2" s="2573" t="s">
        <v>2518</v>
      </c>
      <c r="E2" s="2574">
        <f>SUM(E6:E13)</f>
        <v>263.10000000000002</v>
      </c>
    </row>
    <row r="3" spans="1:6" ht="15.75">
      <c r="A3" s="2570" t="s">
        <v>1391</v>
      </c>
      <c r="B3" s="2571">
        <f ca="1">ROUND(B2*10000/E2,0)</f>
        <v>37932</v>
      </c>
      <c r="C3" s="2572" t="s">
        <v>2525</v>
      </c>
      <c r="D3" s="2575"/>
      <c r="E3" s="2576"/>
    </row>
    <row r="4" spans="1:6" ht="15.75">
      <c r="A4" s="2577"/>
      <c r="B4" s="2575"/>
      <c r="C4" s="2575"/>
      <c r="D4" s="2575"/>
      <c r="E4" s="2576"/>
    </row>
    <row r="5" spans="1:6" ht="15">
      <c r="A5" s="2578" t="s">
        <v>2519</v>
      </c>
      <c r="B5" s="3220" t="s">
        <v>2520</v>
      </c>
      <c r="C5" s="3220"/>
      <c r="D5" s="2579"/>
      <c r="E5" s="2580" t="s">
        <v>2521</v>
      </c>
      <c r="F5" s="2581" t="s">
        <v>2522</v>
      </c>
    </row>
    <row r="6" spans="1:6">
      <c r="A6" s="2582" t="str">
        <f>'数据-取费表'!AN6</f>
        <v>收益法 (元)</v>
      </c>
      <c r="B6" s="2581">
        <f ca="1">IF(F6="是",'数据-取费表'!AO6,0)</f>
        <v>998</v>
      </c>
      <c r="C6" s="2572" t="s">
        <v>2517</v>
      </c>
      <c r="D6" s="2575"/>
      <c r="E6" s="2583">
        <f>IF(OR(A6=0,F6="否"),0,'数据-取费表'!K6+'数据-取费表'!S6)</f>
        <v>263.10000000000002</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7" t="s">
        <v>1073</v>
      </c>
      <c r="B1" s="3238"/>
      <c r="C1" s="3239"/>
      <c r="D1" s="3240">
        <f>SUM(I10,I15,I20,I21,I23)</f>
        <v>0</v>
      </c>
      <c r="E1" s="3240"/>
      <c r="F1" s="3240"/>
      <c r="G1" s="3240"/>
      <c r="H1" s="3240"/>
      <c r="I1" s="3241"/>
    </row>
    <row r="2" spans="1:9">
      <c r="A2" s="3227" t="s">
        <v>1074</v>
      </c>
      <c r="B2" s="3228" t="s">
        <v>1075</v>
      </c>
      <c r="C2" s="3228"/>
      <c r="D2" s="1304" t="s">
        <v>1076</v>
      </c>
      <c r="E2" s="1304" t="s">
        <v>1077</v>
      </c>
      <c r="F2" s="1304" t="s">
        <v>1078</v>
      </c>
      <c r="G2" s="1304" t="s">
        <v>1079</v>
      </c>
      <c r="H2" s="1304" t="s">
        <v>1080</v>
      </c>
      <c r="I2" s="1305" t="s">
        <v>1081</v>
      </c>
    </row>
    <row r="3" spans="1:9">
      <c r="A3" s="3227"/>
      <c r="B3" s="3228" t="s">
        <v>1082</v>
      </c>
      <c r="C3" s="3228"/>
      <c r="D3" s="1306"/>
      <c r="E3" s="1304"/>
      <c r="F3" s="1307"/>
      <c r="G3" s="1307"/>
      <c r="H3" s="1308"/>
      <c r="I3" s="1309">
        <f>ROUND(D3*E3*F3*G3*H3/10000,0)</f>
        <v>0</v>
      </c>
    </row>
    <row r="4" spans="1:9">
      <c r="A4" s="3227"/>
      <c r="B4" s="3228" t="s">
        <v>1083</v>
      </c>
      <c r="C4" s="3228"/>
      <c r="D4" s="1306"/>
      <c r="E4" s="1304"/>
      <c r="F4" s="1307"/>
      <c r="G4" s="1307"/>
      <c r="H4" s="1308"/>
      <c r="I4" s="1309">
        <f t="shared" ref="I4:I9" si="0">ROUND(D4*E4*F4*G4*H4/10000,0)</f>
        <v>0</v>
      </c>
    </row>
    <row r="5" spans="1:9">
      <c r="A5" s="3227"/>
      <c r="B5" s="3228" t="s">
        <v>1084</v>
      </c>
      <c r="C5" s="3228"/>
      <c r="D5" s="1306"/>
      <c r="E5" s="1304"/>
      <c r="F5" s="1307"/>
      <c r="G5" s="1307"/>
      <c r="H5" s="1308"/>
      <c r="I5" s="1309">
        <f t="shared" si="0"/>
        <v>0</v>
      </c>
    </row>
    <row r="6" spans="1:9">
      <c r="A6" s="3227"/>
      <c r="B6" s="3228" t="s">
        <v>1085</v>
      </c>
      <c r="C6" s="3228"/>
      <c r="D6" s="1306"/>
      <c r="E6" s="1304"/>
      <c r="F6" s="1307"/>
      <c r="G6" s="1307"/>
      <c r="H6" s="1308"/>
      <c r="I6" s="1309">
        <f t="shared" si="0"/>
        <v>0</v>
      </c>
    </row>
    <row r="7" spans="1:9">
      <c r="A7" s="3227"/>
      <c r="B7" s="3228" t="s">
        <v>1086</v>
      </c>
      <c r="C7" s="3228"/>
      <c r="D7" s="1306"/>
      <c r="E7" s="1304"/>
      <c r="F7" s="1307"/>
      <c r="G7" s="1307"/>
      <c r="H7" s="1308"/>
      <c r="I7" s="1309">
        <f t="shared" si="0"/>
        <v>0</v>
      </c>
    </row>
    <row r="8" spans="1:9">
      <c r="A8" s="3227"/>
      <c r="B8" s="3228" t="s">
        <v>1087</v>
      </c>
      <c r="C8" s="3228"/>
      <c r="D8" s="1306"/>
      <c r="E8" s="1304"/>
      <c r="F8" s="1307"/>
      <c r="G8" s="1307"/>
      <c r="H8" s="1308"/>
      <c r="I8" s="1309">
        <f t="shared" si="0"/>
        <v>0</v>
      </c>
    </row>
    <row r="9" spans="1:9">
      <c r="A9" s="3227"/>
      <c r="B9" s="3228" t="s">
        <v>1088</v>
      </c>
      <c r="C9" s="3228"/>
      <c r="D9" s="1306"/>
      <c r="E9" s="1304"/>
      <c r="F9" s="1307"/>
      <c r="G9" s="1307"/>
      <c r="H9" s="1308"/>
      <c r="I9" s="1309">
        <f t="shared" si="0"/>
        <v>0</v>
      </c>
    </row>
    <row r="10" spans="1:9">
      <c r="A10" s="3227"/>
      <c r="B10" s="3229" t="s">
        <v>1089</v>
      </c>
      <c r="C10" s="3229"/>
      <c r="D10" s="1310"/>
      <c r="E10" s="1310" t="e">
        <f>ROUND(D1*10000/D10/H9,0)</f>
        <v>#DIV/0!</v>
      </c>
      <c r="F10" s="1311"/>
      <c r="G10" s="1311"/>
      <c r="H10" s="1312"/>
      <c r="I10" s="1313">
        <f>SUM(I3:I9)</f>
        <v>0</v>
      </c>
    </row>
    <row r="11" spans="1:9" ht="14.25">
      <c r="A11" s="3227" t="s">
        <v>1090</v>
      </c>
      <c r="B11" s="3228" t="s">
        <v>1091</v>
      </c>
      <c r="C11" s="3228"/>
      <c r="D11" s="1306" t="s">
        <v>1092</v>
      </c>
      <c r="E11" s="1306" t="s">
        <v>1093</v>
      </c>
      <c r="F11" s="1307" t="s">
        <v>1094</v>
      </c>
      <c r="G11" s="1307" t="s">
        <v>1080</v>
      </c>
      <c r="H11" s="1314" t="s">
        <v>1095</v>
      </c>
      <c r="I11" s="1305" t="s">
        <v>1081</v>
      </c>
    </row>
    <row r="12" spans="1:9">
      <c r="A12" s="3227"/>
      <c r="B12" s="3228" t="s">
        <v>1096</v>
      </c>
      <c r="C12" s="3228"/>
      <c r="D12" s="1306"/>
      <c r="E12" s="1306"/>
      <c r="F12" s="1307"/>
      <c r="G12" s="1308"/>
      <c r="H12" s="1315"/>
      <c r="I12" s="1305">
        <f>ROUND(D12*E12*F12*G12/10000,0)</f>
        <v>0</v>
      </c>
    </row>
    <row r="13" spans="1:9">
      <c r="A13" s="3227"/>
      <c r="B13" s="3228" t="s">
        <v>1097</v>
      </c>
      <c r="C13" s="3228"/>
      <c r="D13" s="1306"/>
      <c r="E13" s="1306"/>
      <c r="F13" s="1307"/>
      <c r="G13" s="1308"/>
      <c r="H13" s="1315"/>
      <c r="I13" s="1305">
        <f>ROUND(D13*E13*F13*G13/10000,0)</f>
        <v>0</v>
      </c>
    </row>
    <row r="14" spans="1:9">
      <c r="A14" s="3227"/>
      <c r="B14" s="3228" t="s">
        <v>1098</v>
      </c>
      <c r="C14" s="3228"/>
      <c r="D14" s="1306"/>
      <c r="E14" s="1306"/>
      <c r="F14" s="1307"/>
      <c r="G14" s="1308"/>
      <c r="H14" s="1315"/>
      <c r="I14" s="1305">
        <f>ROUND(D14*E14*F14*G14/10000,0)</f>
        <v>0</v>
      </c>
    </row>
    <row r="15" spans="1:9">
      <c r="A15" s="3227"/>
      <c r="B15" s="3229" t="s">
        <v>1089</v>
      </c>
      <c r="C15" s="3229"/>
      <c r="D15" s="1310"/>
      <c r="E15" s="1310">
        <f>SUM(E12:E14)</f>
        <v>0</v>
      </c>
      <c r="F15" s="1311"/>
      <c r="G15" s="1308"/>
      <c r="H15" s="1315"/>
      <c r="I15" s="1316">
        <f>SUM(I12:I14)</f>
        <v>0</v>
      </c>
    </row>
    <row r="16" spans="1:9" ht="24">
      <c r="A16" s="3227" t="s">
        <v>1099</v>
      </c>
      <c r="B16" s="3228" t="s">
        <v>1100</v>
      </c>
      <c r="C16" s="3228"/>
      <c r="D16" s="1306" t="s">
        <v>1076</v>
      </c>
      <c r="E16" s="1317" t="s">
        <v>1101</v>
      </c>
      <c r="F16" s="1307" t="s">
        <v>1102</v>
      </c>
      <c r="G16" s="1308" t="s">
        <v>1080</v>
      </c>
      <c r="H16" s="1314" t="s">
        <v>1095</v>
      </c>
      <c r="I16" s="1305" t="s">
        <v>1081</v>
      </c>
    </row>
    <row r="17" spans="1:9" ht="14.25">
      <c r="A17" s="3227"/>
      <c r="B17" s="3228" t="s">
        <v>1103</v>
      </c>
      <c r="C17" s="3228"/>
      <c r="D17" s="1306"/>
      <c r="E17" s="1306"/>
      <c r="F17" s="1307"/>
      <c r="G17" s="1308"/>
      <c r="H17" s="1318"/>
      <c r="I17" s="1319">
        <f>ROUND(D17*E17*F17*G17/10000,0)</f>
        <v>0</v>
      </c>
    </row>
    <row r="18" spans="1:9" ht="14.25">
      <c r="A18" s="3227"/>
      <c r="B18" s="3228" t="s">
        <v>1104</v>
      </c>
      <c r="C18" s="3228"/>
      <c r="D18" s="1306"/>
      <c r="E18" s="1306"/>
      <c r="F18" s="1307"/>
      <c r="G18" s="1308"/>
      <c r="H18" s="1318"/>
      <c r="I18" s="1319">
        <f>ROUND(D18*E18*F18*G18/10000,0)</f>
        <v>0</v>
      </c>
    </row>
    <row r="19" spans="1:9" ht="14.25">
      <c r="A19" s="3227"/>
      <c r="B19" s="3228" t="s">
        <v>1105</v>
      </c>
      <c r="C19" s="3228"/>
      <c r="D19" s="1306"/>
      <c r="E19" s="1306"/>
      <c r="F19" s="1307"/>
      <c r="G19" s="1308"/>
      <c r="H19" s="1318"/>
      <c r="I19" s="1319">
        <f>ROUND(D19*E19*F19*G19/10000,0)</f>
        <v>0</v>
      </c>
    </row>
    <row r="20" spans="1:9">
      <c r="A20" s="3227"/>
      <c r="B20" s="3229" t="s">
        <v>1089</v>
      </c>
      <c r="C20" s="3229"/>
      <c r="D20" s="1310">
        <f>SUM(D17:D19)</f>
        <v>0</v>
      </c>
      <c r="E20" s="1310"/>
      <c r="F20" s="1311"/>
      <c r="G20" s="1308"/>
      <c r="H20" s="1315"/>
      <c r="I20" s="1316">
        <f>SUM(I17:I19)</f>
        <v>0</v>
      </c>
    </row>
    <row r="21" spans="1:9">
      <c r="A21" s="3227" t="s">
        <v>1106</v>
      </c>
      <c r="B21" s="3230"/>
      <c r="C21" s="3230"/>
      <c r="D21" s="3230"/>
      <c r="E21" s="3230"/>
      <c r="F21" s="3230"/>
      <c r="G21" s="3230"/>
      <c r="H21" s="1768">
        <v>0.1</v>
      </c>
      <c r="I21" s="1313">
        <f>ROUND(I10*H21,0)</f>
        <v>0</v>
      </c>
    </row>
    <row r="22" spans="1:9" ht="14.25">
      <c r="A22" s="3231" t="s">
        <v>1107</v>
      </c>
      <c r="B22" s="3232"/>
      <c r="C22" s="3233"/>
      <c r="D22" s="1320" t="s">
        <v>1108</v>
      </c>
      <c r="E22" s="1320" t="s">
        <v>1109</v>
      </c>
      <c r="F22" s="1321" t="s">
        <v>1110</v>
      </c>
      <c r="G22" s="1321" t="s">
        <v>1111</v>
      </c>
      <c r="H22" s="1314" t="s">
        <v>1112</v>
      </c>
      <c r="I22" s="1305" t="s">
        <v>1113</v>
      </c>
    </row>
    <row r="23" spans="1:9" ht="14.25" thickBot="1">
      <c r="A23" s="3234"/>
      <c r="B23" s="3235"/>
      <c r="C23" s="3236"/>
      <c r="D23" s="1322"/>
      <c r="E23" s="1322"/>
      <c r="F23" s="1322"/>
      <c r="G23" s="1323"/>
      <c r="H23" s="1324"/>
      <c r="I23" s="1325">
        <f>ROUND(E23*D23*F23*(1-G23)/10000,0)</f>
        <v>0</v>
      </c>
    </row>
    <row r="26" spans="1:9">
      <c r="A26" s="1326" t="s">
        <v>1114</v>
      </c>
      <c r="B26" s="1326"/>
      <c r="C26" s="1326"/>
      <c r="D26" s="1326"/>
      <c r="E26" s="3224">
        <f>C27-C30-C31-C32</f>
        <v>0</v>
      </c>
      <c r="F26" s="3224"/>
      <c r="G26" s="3224"/>
      <c r="H26" s="1740" t="s">
        <v>1336</v>
      </c>
    </row>
    <row r="27" spans="1:9">
      <c r="A27" s="1327">
        <v>1</v>
      </c>
      <c r="B27" s="1328" t="s">
        <v>1115</v>
      </c>
      <c r="C27" s="1328">
        <f>C28+C29</f>
        <v>0</v>
      </c>
      <c r="D27" s="1328"/>
      <c r="E27" s="3225"/>
      <c r="F27" s="3225"/>
      <c r="G27" s="3225"/>
    </row>
    <row r="28" spans="1:9">
      <c r="A28" s="1329" t="s">
        <v>1116</v>
      </c>
      <c r="B28" s="1328" t="s">
        <v>1117</v>
      </c>
      <c r="C28" s="1328"/>
      <c r="D28" s="1328"/>
      <c r="E28" s="3225"/>
      <c r="F28" s="3225"/>
      <c r="G28" s="322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6"/>
      <c r="F32" s="3226"/>
      <c r="G32" s="3226"/>
    </row>
    <row r="33" spans="1:7" hidden="1">
      <c r="A33" s="3221" t="s">
        <v>1126</v>
      </c>
      <c r="B33" s="3222"/>
      <c r="C33" s="3222"/>
      <c r="D33" s="3223"/>
      <c r="E33" s="3224"/>
      <c r="F33" s="3224"/>
      <c r="G33" s="3224"/>
    </row>
    <row r="34" spans="1:7" hidden="1">
      <c r="A34" s="1331">
        <v>1</v>
      </c>
      <c r="B34" s="1328" t="s">
        <v>1127</v>
      </c>
      <c r="C34" s="1328"/>
      <c r="D34" s="1328"/>
      <c r="E34" s="3225"/>
      <c r="F34" s="3225"/>
      <c r="G34" s="3225"/>
    </row>
    <row r="35" spans="1:7" hidden="1">
      <c r="A35" s="1331">
        <v>2</v>
      </c>
      <c r="B35" s="1328" t="s">
        <v>1128</v>
      </c>
      <c r="C35" s="1328"/>
      <c r="D35" s="1328"/>
      <c r="E35" s="3225"/>
      <c r="F35" s="3225"/>
      <c r="G35" s="3225"/>
    </row>
    <row r="36" spans="1:7" hidden="1">
      <c r="A36" s="1331">
        <v>3</v>
      </c>
      <c r="B36" s="1328" t="s">
        <v>1129</v>
      </c>
      <c r="C36" s="1328"/>
      <c r="D36" s="1328"/>
      <c r="E36" s="3225"/>
      <c r="F36" s="3225"/>
      <c r="G36" s="3225"/>
    </row>
    <row r="37" spans="1:7" hidden="1">
      <c r="A37" s="1331">
        <v>4</v>
      </c>
      <c r="B37" s="1328" t="s">
        <v>1130</v>
      </c>
      <c r="C37" s="1328"/>
      <c r="D37" s="1328"/>
      <c r="E37" s="3225"/>
      <c r="F37" s="3225"/>
      <c r="G37" s="3225"/>
    </row>
    <row r="38" spans="1:7" hidden="1">
      <c r="A38" s="3221" t="s">
        <v>1131</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8" t="s">
        <v>2640</v>
      </c>
      <c r="C1" s="1637" t="s">
        <v>2528</v>
      </c>
      <c r="D1" s="1624"/>
      <c r="E1" s="2663"/>
      <c r="F1" s="2590"/>
      <c r="G1" s="1634" t="s">
        <v>2641</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2325</v>
      </c>
      <c r="B2" s="1421" t="e">
        <f ca="1">IF(C2="——",ROUND(C49*D3/10000,0),ROUND(C49*D3/10000,0)-D2)</f>
        <v>#DIV/0!</v>
      </c>
      <c r="C2" s="2592"/>
      <c r="D2" s="1368" t="e">
        <f ca="1">SUMIF(INDIRECT("'"&amp;F2&amp;"'"&amp;"!A:A"),"承租人权益价值",INDIRECT("'"&amp;F2&amp;"'"&amp;"!c:c"))</f>
        <v>#REF!</v>
      </c>
      <c r="E2" s="2593" t="s">
        <v>2326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2327</v>
      </c>
      <c r="B3" s="609" t="e">
        <f ca="1">IF(C2="——",C49,ROUND(B2*10000/D3,0))</f>
        <v>#DIV/0!</v>
      </c>
      <c r="C3" s="400" t="s">
        <v>2642</v>
      </c>
      <c r="D3" s="399">
        <f>IF(D1="",'数据-汇总表'!E3,SUMIF('数据-汇总表'!$C19:$C33,D1,'数据-汇总表'!$E19:$E33))</f>
        <v>263.10000000000002</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194" t="s">
        <v>2646</v>
      </c>
      <c r="AC4" s="3213" t="s">
        <v>2647</v>
      </c>
    </row>
    <row r="5" spans="1:29"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194"/>
      <c r="AC5" s="3206"/>
    </row>
    <row r="6" spans="1:29" ht="15.75" thickBot="1">
      <c r="A6" s="406"/>
      <c r="B6" s="407"/>
      <c r="C6" s="3195" t="s">
        <v>2544</v>
      </c>
      <c r="D6" s="3196"/>
      <c r="E6" s="3203" t="s">
        <v>2544</v>
      </c>
      <c r="F6" s="3204"/>
      <c r="G6" s="3195" t="s">
        <v>2544</v>
      </c>
      <c r="H6" s="3196"/>
      <c r="I6" s="3195" t="s">
        <v>2544</v>
      </c>
      <c r="J6" s="3196"/>
      <c r="K6" s="610" t="s">
        <v>2545</v>
      </c>
      <c r="L6" s="1133"/>
      <c r="M6" s="1134"/>
      <c r="N6" s="1134"/>
      <c r="O6" s="1134"/>
      <c r="P6" s="3217"/>
      <c r="Q6" s="3186"/>
      <c r="R6" s="3189"/>
      <c r="S6" s="3190"/>
      <c r="T6" s="3191"/>
      <c r="U6" s="3192"/>
      <c r="V6" s="3194"/>
      <c r="W6" s="3194"/>
      <c r="X6" s="1816"/>
      <c r="Y6" s="3191"/>
      <c r="Z6" s="3192"/>
      <c r="AA6" s="3207"/>
      <c r="AB6" s="3194"/>
      <c r="AC6" s="3207"/>
    </row>
    <row r="7" spans="1:29" s="117" customFormat="1" ht="15.75" thickBot="1">
      <c r="A7" s="408" t="s">
        <v>2546</v>
      </c>
      <c r="B7" s="409"/>
      <c r="C7" s="410">
        <f>'数据-取费表'!B2</f>
        <v>43483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2547</v>
      </c>
      <c r="Q7" s="3202"/>
      <c r="R7" s="770" t="s">
        <v>17</v>
      </c>
      <c r="S7" s="771">
        <f t="shared" ref="S7:S15" si="0">F7</f>
        <v>0</v>
      </c>
      <c r="T7" s="770" t="s">
        <v>17</v>
      </c>
      <c r="U7" s="771">
        <f t="shared" ref="U7:U15" si="1">H7</f>
        <v>0</v>
      </c>
      <c r="V7" s="770" t="s">
        <v>17</v>
      </c>
      <c r="W7" s="771">
        <f t="shared" ref="W7:W15" si="2">J7</f>
        <v>0</v>
      </c>
      <c r="X7" s="772"/>
      <c r="Y7" s="3201" t="s">
        <v>2547</v>
      </c>
      <c r="Z7" s="3200"/>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9"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9"/>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9"/>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2557</v>
      </c>
      <c r="B15" s="69" t="s">
        <v>2651</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2558</v>
      </c>
      <c r="Q15" s="1813" t="str">
        <f t="shared" si="6"/>
        <v>商业繁华度</v>
      </c>
      <c r="R15" s="774" t="s">
        <v>17</v>
      </c>
      <c r="S15" s="775">
        <f t="shared" si="0"/>
        <v>100</v>
      </c>
      <c r="T15" s="774" t="s">
        <v>17</v>
      </c>
      <c r="U15" s="775">
        <f t="shared" si="1"/>
        <v>100</v>
      </c>
      <c r="V15" s="774" t="s">
        <v>17</v>
      </c>
      <c r="W15" s="775">
        <f t="shared" si="2"/>
        <v>100</v>
      </c>
      <c r="X15" s="1816"/>
      <c r="Y15" s="3167"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68"/>
      <c r="Z16" s="1817"/>
      <c r="AA16" s="1814">
        <v>1</v>
      </c>
      <c r="AB16" s="1814">
        <v>1</v>
      </c>
      <c r="AC16" s="1814">
        <v>1</v>
      </c>
    </row>
    <row r="17" spans="1:29" ht="85.5">
      <c r="A17" s="428"/>
      <c r="B17" s="451" t="s">
        <v>2094</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66"/>
      <c r="Q18" s="1813"/>
      <c r="R18" s="774"/>
      <c r="S18" s="775"/>
      <c r="T18" s="774"/>
      <c r="U18" s="775"/>
      <c r="V18" s="774"/>
      <c r="W18" s="775"/>
      <c r="X18" s="1816"/>
      <c r="Y18" s="3168"/>
      <c r="Z18" s="1817"/>
      <c r="AA18" s="1814">
        <v>1</v>
      </c>
      <c r="AB18" s="1814">
        <v>1</v>
      </c>
      <c r="AC18" s="1814">
        <v>1</v>
      </c>
    </row>
    <row r="19" spans="1:29" ht="42.75">
      <c r="A19" s="428"/>
      <c r="B19" s="451" t="s">
        <v>2652</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66"/>
      <c r="Q20" s="1813"/>
      <c r="R20" s="774"/>
      <c r="S20" s="775"/>
      <c r="T20" s="774"/>
      <c r="U20" s="775"/>
      <c r="V20" s="774"/>
      <c r="W20" s="775"/>
      <c r="X20" s="1816"/>
      <c r="Y20" s="3168"/>
      <c r="Z20" s="1817"/>
      <c r="AA20" s="1814">
        <v>1</v>
      </c>
      <c r="AB20" s="1814">
        <v>1</v>
      </c>
      <c r="AC20" s="1814">
        <v>1</v>
      </c>
    </row>
    <row r="21" spans="1:29" ht="28.5">
      <c r="A21" s="428"/>
      <c r="B21" s="1387" t="s">
        <v>2653</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66"/>
      <c r="Q22" s="1813"/>
      <c r="R22" s="774"/>
      <c r="S22" s="775"/>
      <c r="T22" s="774"/>
      <c r="U22" s="775"/>
      <c r="V22" s="774"/>
      <c r="W22" s="775"/>
      <c r="X22" s="1816"/>
      <c r="Y22" s="3168"/>
      <c r="Z22" s="1817"/>
      <c r="AA22" s="1814">
        <v>1</v>
      </c>
      <c r="AB22" s="1814">
        <v>1</v>
      </c>
      <c r="AC22" s="1814">
        <v>1</v>
      </c>
    </row>
    <row r="23" spans="1:29" ht="57">
      <c r="A23" s="428"/>
      <c r="B23" s="451" t="s">
        <v>2099</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68"/>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66"/>
      <c r="Q24" s="1813"/>
      <c r="R24" s="774"/>
      <c r="S24" s="775"/>
      <c r="T24" s="774"/>
      <c r="U24" s="775"/>
      <c r="V24" s="774"/>
      <c r="W24" s="775"/>
      <c r="X24" s="1816"/>
      <c r="Y24" s="3168"/>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68"/>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68"/>
      <c r="Z26" s="1817" t="str">
        <f>Q26</f>
        <v>平面位置/可视性</v>
      </c>
      <c r="AA26" s="1814">
        <f t="shared" si="3"/>
        <v>1</v>
      </c>
      <c r="AB26" s="1814">
        <f t="shared" si="4"/>
        <v>1</v>
      </c>
      <c r="AC26" s="1814">
        <f t="shared" si="5"/>
        <v>1</v>
      </c>
    </row>
    <row r="27" spans="1:29" s="117" customFormat="1" ht="15">
      <c r="A27" s="431"/>
      <c r="B27" s="451" t="s">
        <v>2656</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68"/>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6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6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68"/>
      <c r="Z31" s="1817">
        <f t="shared" si="15"/>
        <v>111</v>
      </c>
      <c r="AA31" s="1814">
        <f t="shared" si="3"/>
        <v>1</v>
      </c>
      <c r="AB31" s="1814">
        <f t="shared" si="4"/>
        <v>1</v>
      </c>
      <c r="AC31" s="1814">
        <f t="shared" si="5"/>
        <v>1</v>
      </c>
    </row>
    <row r="32" spans="1:29" ht="15">
      <c r="A32" s="440" t="s">
        <v>2561</v>
      </c>
      <c r="B32" s="71" t="s">
        <v>2658</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69" t="s">
        <v>2563</v>
      </c>
      <c r="Q32" s="1813" t="str">
        <f t="shared" si="11"/>
        <v>商业类型</v>
      </c>
      <c r="R32" s="774" t="s">
        <v>17</v>
      </c>
      <c r="S32" s="775">
        <f t="shared" si="12"/>
        <v>100</v>
      </c>
      <c r="T32" s="774" t="s">
        <v>17</v>
      </c>
      <c r="U32" s="775">
        <f t="shared" si="13"/>
        <v>100</v>
      </c>
      <c r="V32" s="774" t="s">
        <v>17</v>
      </c>
      <c r="W32" s="775">
        <f t="shared" si="14"/>
        <v>100</v>
      </c>
      <c r="X32" s="1816"/>
      <c r="Y32" s="3172"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0"/>
      <c r="Q33" s="776" t="str">
        <f t="shared" si="11"/>
        <v>项目建筑规模</v>
      </c>
      <c r="R33" s="777" t="s">
        <v>17</v>
      </c>
      <c r="S33" s="778" t="e">
        <f t="shared" si="12"/>
        <v>#N/A</v>
      </c>
      <c r="T33" s="777" t="s">
        <v>17</v>
      </c>
      <c r="U33" s="778" t="e">
        <f t="shared" si="13"/>
        <v>#N/A</v>
      </c>
      <c r="V33" s="777" t="s">
        <v>17</v>
      </c>
      <c r="W33" s="778" t="e">
        <f t="shared" si="14"/>
        <v>#N/A</v>
      </c>
      <c r="X33" s="779"/>
      <c r="Y33" s="3172"/>
      <c r="Z33" s="780" t="str">
        <f t="shared" si="15"/>
        <v>项目建筑规模</v>
      </c>
      <c r="AA33" s="1814" t="e">
        <f t="shared" si="3"/>
        <v>#N/A</v>
      </c>
      <c r="AB33" s="1814" t="e">
        <f t="shared" si="4"/>
        <v>#N/A</v>
      </c>
      <c r="AC33" s="1814" t="e">
        <f t="shared" si="5"/>
        <v>#N/A</v>
      </c>
    </row>
    <row r="34" spans="1:29" ht="15">
      <c r="A34" s="472"/>
      <c r="B34" s="422" t="s">
        <v>2565</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70"/>
      <c r="Q34" s="1813" t="str">
        <f t="shared" si="11"/>
        <v>建筑结构</v>
      </c>
      <c r="R34" s="774" t="s">
        <v>17</v>
      </c>
      <c r="S34" s="775">
        <f t="shared" si="12"/>
        <v>100</v>
      </c>
      <c r="T34" s="774" t="s">
        <v>17</v>
      </c>
      <c r="U34" s="775">
        <f t="shared" si="13"/>
        <v>100</v>
      </c>
      <c r="V34" s="774" t="s">
        <v>17</v>
      </c>
      <c r="W34" s="775">
        <f t="shared" si="14"/>
        <v>100</v>
      </c>
      <c r="X34" s="1816"/>
      <c r="Y34" s="3172"/>
      <c r="Z34" s="1817" t="str">
        <f t="shared" si="15"/>
        <v>建筑结构</v>
      </c>
      <c r="AA34" s="1814">
        <f t="shared" si="3"/>
        <v>1</v>
      </c>
      <c r="AB34" s="1814">
        <f t="shared" si="4"/>
        <v>1</v>
      </c>
      <c r="AC34" s="1814">
        <f t="shared" si="5"/>
        <v>1</v>
      </c>
    </row>
    <row r="35" spans="1:29" ht="15">
      <c r="A35" s="472"/>
      <c r="B35" s="422" t="s">
        <v>2659</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70"/>
      <c r="Q35" s="1813" t="str">
        <f t="shared" si="11"/>
        <v>公共部分装修</v>
      </c>
      <c r="R35" s="774" t="s">
        <v>17</v>
      </c>
      <c r="S35" s="775">
        <f t="shared" si="12"/>
        <v>100</v>
      </c>
      <c r="T35" s="774" t="s">
        <v>17</v>
      </c>
      <c r="U35" s="775">
        <f t="shared" si="13"/>
        <v>100</v>
      </c>
      <c r="V35" s="774" t="s">
        <v>17</v>
      </c>
      <c r="W35" s="775">
        <f t="shared" si="14"/>
        <v>100</v>
      </c>
      <c r="X35" s="1816"/>
      <c r="Y35" s="3172"/>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0"/>
      <c r="Q36" s="1813" t="str">
        <f t="shared" si="11"/>
        <v>成新度</v>
      </c>
      <c r="R36" s="774" t="s">
        <v>17</v>
      </c>
      <c r="S36" s="775" t="e">
        <f t="shared" si="12"/>
        <v>#N/A</v>
      </c>
      <c r="T36" s="774" t="s">
        <v>17</v>
      </c>
      <c r="U36" s="775" t="e">
        <f t="shared" si="13"/>
        <v>#N/A</v>
      </c>
      <c r="V36" s="774" t="s">
        <v>17</v>
      </c>
      <c r="W36" s="775" t="e">
        <f t="shared" si="14"/>
        <v>#N/A</v>
      </c>
      <c r="X36" s="1816"/>
      <c r="Y36" s="3172"/>
      <c r="Z36" s="1817" t="str">
        <f t="shared" si="15"/>
        <v>成新度</v>
      </c>
      <c r="AA36" s="1814" t="e">
        <f t="shared" si="3"/>
        <v>#N/A</v>
      </c>
      <c r="AB36" s="1814" t="e">
        <f t="shared" si="4"/>
        <v>#N/A</v>
      </c>
      <c r="AC36" s="1814" t="e">
        <f t="shared" si="5"/>
        <v>#N/A</v>
      </c>
    </row>
    <row r="37" spans="1:29" s="117" customFormat="1" ht="15">
      <c r="A37" s="473"/>
      <c r="B37" s="422" t="s">
        <v>2661</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70"/>
      <c r="Q37" s="1798" t="str">
        <f t="shared" si="11"/>
        <v>市政基础设施</v>
      </c>
      <c r="R37" s="770" t="s">
        <v>17</v>
      </c>
      <c r="S37" s="771">
        <f t="shared" si="12"/>
        <v>100</v>
      </c>
      <c r="T37" s="770" t="s">
        <v>17</v>
      </c>
      <c r="U37" s="771">
        <f t="shared" si="13"/>
        <v>100</v>
      </c>
      <c r="V37" s="770" t="s">
        <v>17</v>
      </c>
      <c r="W37" s="771">
        <f t="shared" si="14"/>
        <v>100</v>
      </c>
      <c r="X37" s="772"/>
      <c r="Y37" s="3172"/>
      <c r="Z37" s="55" t="str">
        <f t="shared" si="15"/>
        <v>市政基础设施</v>
      </c>
      <c r="AA37" s="773">
        <f t="shared" si="3"/>
        <v>1</v>
      </c>
      <c r="AB37" s="773">
        <f t="shared" si="4"/>
        <v>1</v>
      </c>
      <c r="AC37" s="773">
        <f t="shared" si="5"/>
        <v>1</v>
      </c>
    </row>
    <row r="38" spans="1:29" ht="15">
      <c r="A38" s="472"/>
      <c r="B38" s="422" t="s">
        <v>2662</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70" t="s">
        <v>2563</v>
      </c>
      <c r="Q38" s="1813" t="str">
        <f t="shared" si="11"/>
        <v>业态</v>
      </c>
      <c r="R38" s="774" t="s">
        <v>17</v>
      </c>
      <c r="S38" s="775">
        <f t="shared" si="12"/>
        <v>100</v>
      </c>
      <c r="T38" s="774" t="s">
        <v>17</v>
      </c>
      <c r="U38" s="775">
        <f t="shared" si="13"/>
        <v>100</v>
      </c>
      <c r="V38" s="774" t="s">
        <v>17</v>
      </c>
      <c r="W38" s="775">
        <f t="shared" si="14"/>
        <v>100</v>
      </c>
      <c r="X38" s="1816"/>
      <c r="Y38" s="3172" t="s">
        <v>2563</v>
      </c>
      <c r="Z38" s="1817" t="str">
        <f t="shared" si="15"/>
        <v>业态</v>
      </c>
      <c r="AA38" s="1814">
        <f t="shared" si="3"/>
        <v>1</v>
      </c>
      <c r="AB38" s="1814">
        <f t="shared" si="4"/>
        <v>1</v>
      </c>
      <c r="AC38" s="1814">
        <f t="shared" si="5"/>
        <v>1</v>
      </c>
    </row>
    <row r="39" spans="1:29" ht="15">
      <c r="A39" s="472"/>
      <c r="B39" s="422" t="s">
        <v>2663</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70"/>
      <c r="Q39" s="1813" t="str">
        <f t="shared" si="11"/>
        <v>层高</v>
      </c>
      <c r="R39" s="774" t="s">
        <v>17</v>
      </c>
      <c r="S39" s="775">
        <f t="shared" si="12"/>
        <v>100</v>
      </c>
      <c r="T39" s="774" t="s">
        <v>17</v>
      </c>
      <c r="U39" s="775">
        <f t="shared" si="13"/>
        <v>100</v>
      </c>
      <c r="V39" s="774" t="s">
        <v>17</v>
      </c>
      <c r="W39" s="775">
        <f t="shared" si="14"/>
        <v>100</v>
      </c>
      <c r="X39" s="1816"/>
      <c r="Y39" s="317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0"/>
      <c r="Q40" s="1813" t="str">
        <f t="shared" si="11"/>
        <v>单套建筑面积</v>
      </c>
      <c r="R40" s="774" t="s">
        <v>17</v>
      </c>
      <c r="S40" s="775">
        <f t="shared" si="12"/>
        <v>100</v>
      </c>
      <c r="T40" s="774" t="s">
        <v>17</v>
      </c>
      <c r="U40" s="775">
        <f t="shared" si="13"/>
        <v>100</v>
      </c>
      <c r="V40" s="774" t="s">
        <v>17</v>
      </c>
      <c r="W40" s="775">
        <f t="shared" si="14"/>
        <v>100</v>
      </c>
      <c r="X40" s="1816"/>
      <c r="Y40" s="317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0"/>
      <c r="Q41" s="776" t="str">
        <f t="shared" si="11"/>
        <v>进深比</v>
      </c>
      <c r="R41" s="777" t="s">
        <v>17</v>
      </c>
      <c r="S41" s="778">
        <f t="shared" si="12"/>
        <v>100</v>
      </c>
      <c r="T41" s="777" t="s">
        <v>17</v>
      </c>
      <c r="U41" s="778">
        <f t="shared" si="13"/>
        <v>100</v>
      </c>
      <c r="V41" s="777" t="s">
        <v>17</v>
      </c>
      <c r="W41" s="778">
        <f t="shared" si="14"/>
        <v>100</v>
      </c>
      <c r="X41" s="779"/>
      <c r="Y41" s="3172"/>
      <c r="Z41" s="780" t="str">
        <f t="shared" si="15"/>
        <v>进深比</v>
      </c>
      <c r="AA41" s="1814">
        <f t="shared" si="3"/>
        <v>1</v>
      </c>
      <c r="AB41" s="1814">
        <f t="shared" si="4"/>
        <v>1</v>
      </c>
      <c r="AC41" s="1814">
        <f t="shared" si="5"/>
        <v>1</v>
      </c>
    </row>
    <row r="42" spans="1:29" ht="15">
      <c r="A42" s="472"/>
      <c r="B42" s="422" t="s">
        <v>2666</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70"/>
      <c r="Q42" s="1813" t="str">
        <f t="shared" si="11"/>
        <v>内部装修</v>
      </c>
      <c r="R42" s="774" t="s">
        <v>17</v>
      </c>
      <c r="S42" s="775">
        <f t="shared" si="12"/>
        <v>100</v>
      </c>
      <c r="T42" s="774" t="s">
        <v>17</v>
      </c>
      <c r="U42" s="775">
        <f t="shared" si="13"/>
        <v>100</v>
      </c>
      <c r="V42" s="774" t="s">
        <v>17</v>
      </c>
      <c r="W42" s="775">
        <f t="shared" si="14"/>
        <v>100</v>
      </c>
      <c r="X42" s="1816"/>
      <c r="Y42" s="3172"/>
      <c r="Z42" s="1817" t="str">
        <f t="shared" si="15"/>
        <v>内部装修</v>
      </c>
      <c r="AA42" s="1814">
        <f t="shared" si="3"/>
        <v>1</v>
      </c>
      <c r="AB42" s="1814">
        <f t="shared" si="4"/>
        <v>1</v>
      </c>
      <c r="AC42" s="1814">
        <f t="shared" si="5"/>
        <v>1</v>
      </c>
    </row>
    <row r="43" spans="1:29" ht="15">
      <c r="A43" s="472"/>
      <c r="B43" s="422" t="s">
        <v>2574</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70"/>
      <c r="Q43" s="1813" t="str">
        <f t="shared" si="11"/>
        <v>内部装修维护情况</v>
      </c>
      <c r="R43" s="774" t="s">
        <v>17</v>
      </c>
      <c r="S43" s="775">
        <f t="shared" si="12"/>
        <v>100</v>
      </c>
      <c r="T43" s="774" t="s">
        <v>17</v>
      </c>
      <c r="U43" s="775">
        <f t="shared" si="13"/>
        <v>100</v>
      </c>
      <c r="V43" s="774" t="s">
        <v>17</v>
      </c>
      <c r="W43" s="775">
        <f t="shared" si="14"/>
        <v>100</v>
      </c>
      <c r="X43" s="1816"/>
      <c r="Y43" s="317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0"/>
      <c r="Q44" s="1798">
        <f t="shared" si="11"/>
        <v>111</v>
      </c>
      <c r="R44" s="770" t="s">
        <v>17</v>
      </c>
      <c r="S44" s="771">
        <f t="shared" si="12"/>
        <v>100</v>
      </c>
      <c r="T44" s="770" t="s">
        <v>17</v>
      </c>
      <c r="U44" s="771">
        <f t="shared" si="13"/>
        <v>100</v>
      </c>
      <c r="V44" s="770" t="s">
        <v>17</v>
      </c>
      <c r="W44" s="771">
        <f t="shared" si="14"/>
        <v>100</v>
      </c>
      <c r="X44" s="772"/>
      <c r="Y44" s="317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0"/>
      <c r="Q45" s="1813">
        <f t="shared" si="11"/>
        <v>111</v>
      </c>
      <c r="R45" s="774" t="s">
        <v>17</v>
      </c>
      <c r="S45" s="775">
        <f t="shared" si="12"/>
        <v>100</v>
      </c>
      <c r="T45" s="774" t="s">
        <v>17</v>
      </c>
      <c r="U45" s="775">
        <f t="shared" si="13"/>
        <v>100</v>
      </c>
      <c r="V45" s="774" t="s">
        <v>17</v>
      </c>
      <c r="W45" s="775">
        <f t="shared" si="14"/>
        <v>100</v>
      </c>
      <c r="X45" s="1816"/>
      <c r="Y45" s="3172"/>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160" t="str">
        <f>A47</f>
        <v>成交单价（元/平方米）</v>
      </c>
      <c r="Q47" s="3160"/>
      <c r="R47" s="3194">
        <f>E47</f>
        <v>0</v>
      </c>
      <c r="S47" s="3194"/>
      <c r="T47" s="3194">
        <f>G47</f>
        <v>0</v>
      </c>
      <c r="U47" s="3194"/>
      <c r="V47" s="3194">
        <f>I47</f>
        <v>0</v>
      </c>
      <c r="W47" s="3194"/>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60" t="str">
        <f>A48</f>
        <v>比较价值（元/平方米）</v>
      </c>
      <c r="Q48" s="3160"/>
      <c r="R48" s="3161" t="e">
        <f>IF(F1="售价",ROUND(PRODUCT(R47,AA7:AA46),0),ROUND(PRODUCT(R47,AA7:AA46),1))</f>
        <v>#DIV/0!</v>
      </c>
      <c r="S48" s="3161"/>
      <c r="T48" s="3161" t="e">
        <f>IF(F1="售价",ROUND(PRODUCT(T47,AB7:AB46),0),ROUND(PRODUCT(T47,AB7:AB46),1))</f>
        <v>#DIV/0!</v>
      </c>
      <c r="U48" s="3161"/>
      <c r="V48" s="3161" t="e">
        <f>IF(F1="售价",ROUND(PRODUCT(V47,AC7:AC46),0),ROUND(PRODUCT(V47,AC7:AC46),1))</f>
        <v>#DIV/0!</v>
      </c>
      <c r="W48" s="3161"/>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2546</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2583</v>
      </c>
      <c r="B60" s="516"/>
      <c r="C60" s="517"/>
      <c r="D60" s="518"/>
      <c r="E60" s="518"/>
      <c r="F60" s="518"/>
      <c r="G60" s="518"/>
      <c r="H60" s="518"/>
      <c r="I60" s="518"/>
      <c r="J60" s="518"/>
      <c r="K60" s="518"/>
      <c r="L60" s="518"/>
      <c r="M60" s="519"/>
      <c r="N60" s="518"/>
      <c r="O60" s="519"/>
      <c r="P60" s="2634"/>
      <c r="Q60" s="504"/>
    </row>
    <row r="61" spans="1:29" s="117" customFormat="1" ht="15">
      <c r="A61" s="521" t="s">
        <v>2548</v>
      </c>
      <c r="B61" s="510"/>
      <c r="C61" s="522" t="s">
        <v>2650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2586</v>
      </c>
      <c r="B63" s="528" t="s">
        <v>2552</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2678</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2561</v>
      </c>
      <c r="B100" s="528" t="s">
        <v>2679</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2612</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2614</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2682</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2618</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估价对象为房地产，为所有。根据，估价对象（分摊）出让国有建设用地使用权面积为0平方米，建筑面积为263.1平方米。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估价对象为房地产,属开发建设的，该项目尚在开发建设中。根据，估价对象（分摊）出让国有建设用地使用权面积为0平方米，规划建筑面积为263.1平方米。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2019年1月18日（评估专业人员实地查勘之日）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5" t="s">
        <v>2700</v>
      </c>
      <c r="C1" s="1623" t="s">
        <v>2528</v>
      </c>
      <c r="D1" s="1624"/>
      <c r="E1" s="1633"/>
      <c r="F1" s="2590"/>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92"/>
      <c r="D2" s="1127" t="e">
        <f ca="1">SUMIF(INDIRECT("'"&amp;F2&amp;"'"&amp;"!A:A"),"承租人权益价值",INDIRECT("'"&amp;F2&amp;"'"&amp;"!c:c"))</f>
        <v>#REF!</v>
      </c>
      <c r="E2" s="2593" t="s">
        <v>2326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263.10000000000002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206" t="s">
        <v>2646</v>
      </c>
      <c r="AC4" s="3213" t="s">
        <v>2647</v>
      </c>
    </row>
    <row r="5" spans="1:29"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206"/>
      <c r="AC5" s="3206"/>
    </row>
    <row r="6" spans="1:29" ht="15.75" thickBot="1">
      <c r="A6" s="406"/>
      <c r="B6" s="407"/>
      <c r="C6" s="3195" t="s">
        <v>2544</v>
      </c>
      <c r="D6" s="3196"/>
      <c r="E6" s="3203" t="s">
        <v>2544</v>
      </c>
      <c r="F6" s="3204"/>
      <c r="G6" s="3195" t="s">
        <v>2544</v>
      </c>
      <c r="H6" s="3196"/>
      <c r="I6" s="3195" t="s">
        <v>2544</v>
      </c>
      <c r="J6" s="3196"/>
      <c r="K6" s="610" t="s">
        <v>2545</v>
      </c>
      <c r="L6" s="1133"/>
      <c r="M6" s="1134"/>
      <c r="N6" s="1134"/>
      <c r="O6" s="1134"/>
      <c r="P6" s="3217"/>
      <c r="Q6" s="3186"/>
      <c r="R6" s="3189"/>
      <c r="S6" s="3190"/>
      <c r="T6" s="3191"/>
      <c r="U6" s="3192"/>
      <c r="V6" s="3194"/>
      <c r="W6" s="3194"/>
      <c r="X6" s="1816"/>
      <c r="Y6" s="3191"/>
      <c r="Z6" s="3192"/>
      <c r="AA6" s="3207"/>
      <c r="AB6" s="3207"/>
      <c r="AC6" s="3207"/>
    </row>
    <row r="7" spans="1:29" s="117" customFormat="1" ht="15.75" thickBot="1">
      <c r="A7" s="408" t="s">
        <v>2546</v>
      </c>
      <c r="B7" s="409"/>
      <c r="C7" s="410">
        <f>'数据-取费表'!B2</f>
        <v>43483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1" t="s">
        <v>2547</v>
      </c>
      <c r="Q7" s="3202"/>
      <c r="R7" s="770" t="s">
        <v>17</v>
      </c>
      <c r="S7" s="771">
        <f t="shared" ref="S7:S15" si="0">F7</f>
        <v>0</v>
      </c>
      <c r="T7" s="770" t="s">
        <v>17</v>
      </c>
      <c r="U7" s="771">
        <f t="shared" ref="U7:U15" si="1">H7</f>
        <v>0</v>
      </c>
      <c r="V7" s="770" t="s">
        <v>17</v>
      </c>
      <c r="W7" s="771">
        <f t="shared" ref="W7:W15" si="2">J7</f>
        <v>0</v>
      </c>
      <c r="X7" s="772"/>
      <c r="Y7" s="3201" t="s">
        <v>2547</v>
      </c>
      <c r="Z7" s="320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0"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2557</v>
      </c>
      <c r="B15" s="69" t="s">
        <v>2701</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7" t="s">
        <v>2558</v>
      </c>
      <c r="Q15" s="1813" t="str">
        <f t="shared" si="6"/>
        <v>产业集聚程度</v>
      </c>
      <c r="R15" s="774" t="s">
        <v>17</v>
      </c>
      <c r="S15" s="775">
        <f t="shared" si="0"/>
        <v>100</v>
      </c>
      <c r="T15" s="774" t="s">
        <v>17</v>
      </c>
      <c r="U15" s="775">
        <f t="shared" si="1"/>
        <v>100</v>
      </c>
      <c r="V15" s="774" t="s">
        <v>17</v>
      </c>
      <c r="W15" s="775">
        <f t="shared" si="2"/>
        <v>100</v>
      </c>
      <c r="X15" s="1816"/>
      <c r="Y15" s="316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451" t="s">
        <v>2094</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68"/>
      <c r="Q18" s="1813"/>
      <c r="R18" s="774"/>
      <c r="S18" s="775"/>
      <c r="T18" s="774"/>
      <c r="U18" s="775"/>
      <c r="V18" s="774"/>
      <c r="W18" s="775"/>
      <c r="X18" s="1816"/>
      <c r="Y18" s="3168"/>
      <c r="Z18" s="1817"/>
      <c r="AA18" s="1814">
        <v>1</v>
      </c>
      <c r="AB18" s="1814">
        <v>1</v>
      </c>
      <c r="AC18" s="1814">
        <v>1</v>
      </c>
    </row>
    <row r="19" spans="1:29" ht="42.75">
      <c r="A19" s="428"/>
      <c r="B19" s="451" t="s">
        <v>2686</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8"/>
      <c r="Q19" s="1813" t="str">
        <f>B19</f>
        <v>公共配套设施</v>
      </c>
      <c r="R19" s="774" t="s">
        <v>17</v>
      </c>
      <c r="S19" s="775">
        <f>F19</f>
        <v>100</v>
      </c>
      <c r="T19" s="774" t="s">
        <v>17</v>
      </c>
      <c r="U19" s="775">
        <f>H19</f>
        <v>100</v>
      </c>
      <c r="V19" s="774" t="s">
        <v>17</v>
      </c>
      <c r="W19" s="775">
        <f>J19</f>
        <v>100</v>
      </c>
      <c r="X19" s="1816"/>
      <c r="Y19" s="3168"/>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68"/>
      <c r="Q20" s="1813"/>
      <c r="R20" s="774"/>
      <c r="S20" s="775"/>
      <c r="T20" s="774"/>
      <c r="U20" s="775"/>
      <c r="V20" s="774"/>
      <c r="W20" s="775"/>
      <c r="X20" s="1816"/>
      <c r="Y20" s="3168"/>
      <c r="Z20" s="1817"/>
      <c r="AA20" s="1814">
        <v>1</v>
      </c>
      <c r="AB20" s="1814">
        <v>1</v>
      </c>
      <c r="AC20" s="1814">
        <v>1</v>
      </c>
    </row>
    <row r="21" spans="1:29" ht="28.5">
      <c r="A21" s="428"/>
      <c r="B21" s="1387" t="s">
        <v>2687</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8"/>
      <c r="Q21" s="1813" t="str">
        <f>B21</f>
        <v>基础设施水平</v>
      </c>
      <c r="R21" s="774" t="s">
        <v>17</v>
      </c>
      <c r="S21" s="775">
        <f>F21</f>
        <v>100</v>
      </c>
      <c r="T21" s="774" t="s">
        <v>17</v>
      </c>
      <c r="U21" s="775">
        <f>H21</f>
        <v>100</v>
      </c>
      <c r="V21" s="774" t="s">
        <v>17</v>
      </c>
      <c r="W21" s="775">
        <f>J21</f>
        <v>100</v>
      </c>
      <c r="X21" s="1816"/>
      <c r="Y21" s="3168"/>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68"/>
      <c r="Q22" s="1813"/>
      <c r="R22" s="774"/>
      <c r="S22" s="775"/>
      <c r="T22" s="774"/>
      <c r="U22" s="775"/>
      <c r="V22" s="774"/>
      <c r="W22" s="775"/>
      <c r="X22" s="1816"/>
      <c r="Y22" s="3168"/>
      <c r="Z22" s="1817"/>
      <c r="AA22" s="1814">
        <v>1</v>
      </c>
      <c r="AB22" s="1814">
        <v>1</v>
      </c>
      <c r="AC22" s="1814">
        <v>1</v>
      </c>
    </row>
    <row r="23" spans="1:29" ht="71.25">
      <c r="A23" s="428"/>
      <c r="B23" s="451" t="s">
        <v>2688</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8"/>
      <c r="Q23" s="1813" t="str">
        <f>B23</f>
        <v>环境质量</v>
      </c>
      <c r="R23" s="774" t="s">
        <v>17</v>
      </c>
      <c r="S23" s="775">
        <f>F23</f>
        <v>100</v>
      </c>
      <c r="T23" s="774" t="s">
        <v>17</v>
      </c>
      <c r="U23" s="775">
        <f>H23</f>
        <v>100</v>
      </c>
      <c r="V23" s="774" t="s">
        <v>17</v>
      </c>
      <c r="W23" s="775">
        <f>J23</f>
        <v>100</v>
      </c>
      <c r="X23" s="1816"/>
      <c r="Y23" s="3168"/>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68"/>
      <c r="Q24" s="1813"/>
      <c r="R24" s="774"/>
      <c r="S24" s="775"/>
      <c r="T24" s="774"/>
      <c r="U24" s="775"/>
      <c r="V24" s="774"/>
      <c r="W24" s="775"/>
      <c r="X24" s="1816"/>
      <c r="Y24" s="316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8"/>
      <c r="Q25" s="1813">
        <f>B25</f>
        <v>111</v>
      </c>
      <c r="R25" s="774" t="s">
        <v>17</v>
      </c>
      <c r="S25" s="775">
        <f>F25</f>
        <v>100</v>
      </c>
      <c r="T25" s="774" t="s">
        <v>17</v>
      </c>
      <c r="U25" s="775">
        <f>H25</f>
        <v>100</v>
      </c>
      <c r="V25" s="774" t="s">
        <v>17</v>
      </c>
      <c r="W25" s="775">
        <f>J25</f>
        <v>100</v>
      </c>
      <c r="X25" s="1816"/>
      <c r="Y25" s="316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8"/>
      <c r="Q26" s="1813">
        <f t="shared" ref="Q26:Q40" si="11">B26</f>
        <v>111</v>
      </c>
      <c r="R26" s="774" t="s">
        <v>17</v>
      </c>
      <c r="S26" s="775">
        <f>F26</f>
        <v>100</v>
      </c>
      <c r="T26" s="774" t="s">
        <v>17</v>
      </c>
      <c r="U26" s="775">
        <f>H26</f>
        <v>100</v>
      </c>
      <c r="V26" s="774" t="s">
        <v>17</v>
      </c>
      <c r="W26" s="775">
        <f>J26</f>
        <v>100</v>
      </c>
      <c r="X26" s="1816"/>
      <c r="Y26" s="316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8"/>
      <c r="Q27" s="1798">
        <f t="shared" si="11"/>
        <v>111</v>
      </c>
      <c r="R27" s="770" t="s">
        <v>17</v>
      </c>
      <c r="S27" s="771">
        <f>F27</f>
        <v>100</v>
      </c>
      <c r="T27" s="770" t="s">
        <v>17</v>
      </c>
      <c r="U27" s="771">
        <f>H27</f>
        <v>100</v>
      </c>
      <c r="V27" s="770" t="s">
        <v>17</v>
      </c>
      <c r="W27" s="771">
        <f>J27</f>
        <v>100</v>
      </c>
      <c r="X27" s="772"/>
      <c r="Y27" s="316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8"/>
      <c r="Q28" s="1813">
        <f t="shared" si="11"/>
        <v>111</v>
      </c>
      <c r="R28" s="774" t="s">
        <v>17</v>
      </c>
      <c r="S28" s="775">
        <f t="shared" ref="S28:S40" si="12">F28</f>
        <v>100</v>
      </c>
      <c r="T28" s="774" t="s">
        <v>17</v>
      </c>
      <c r="U28" s="775">
        <f t="shared" ref="U28:U40" si="13">H28</f>
        <v>100</v>
      </c>
      <c r="V28" s="774" t="s">
        <v>17</v>
      </c>
      <c r="W28" s="775">
        <f t="shared" ref="W28:W40" si="14">J28</f>
        <v>100</v>
      </c>
      <c r="X28" s="1816"/>
      <c r="Y28" s="3168"/>
      <c r="Z28" s="1817">
        <f t="shared" ref="Z28:Z40" si="15">Q28</f>
        <v>111</v>
      </c>
      <c r="AA28" s="1814">
        <f t="shared" si="3"/>
        <v>1</v>
      </c>
      <c r="AB28" s="1814">
        <f t="shared" si="4"/>
        <v>1</v>
      </c>
      <c r="AC28" s="1814">
        <f t="shared" si="5"/>
        <v>1</v>
      </c>
    </row>
    <row r="29" spans="1:29" ht="28.5">
      <c r="A29" s="466" t="s">
        <v>2561</v>
      </c>
      <c r="B29" s="71" t="s">
        <v>2691</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42" t="s">
        <v>2563</v>
      </c>
      <c r="Q29" s="1813" t="str">
        <f t="shared" si="11"/>
        <v>建筑类型</v>
      </c>
      <c r="R29" s="774" t="s">
        <v>17</v>
      </c>
      <c r="S29" s="775">
        <f t="shared" si="12"/>
        <v>100</v>
      </c>
      <c r="T29" s="774" t="s">
        <v>17</v>
      </c>
      <c r="U29" s="775">
        <f t="shared" si="13"/>
        <v>100</v>
      </c>
      <c r="V29" s="774" t="s">
        <v>17</v>
      </c>
      <c r="W29" s="775">
        <f t="shared" si="14"/>
        <v>100</v>
      </c>
      <c r="X29" s="1816"/>
      <c r="Y29" s="317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2"/>
      <c r="Q30" s="776" t="str">
        <f t="shared" si="11"/>
        <v>项目建筑规模</v>
      </c>
      <c r="R30" s="777" t="s">
        <v>17</v>
      </c>
      <c r="S30" s="778" t="e">
        <f t="shared" si="12"/>
        <v>#N/A</v>
      </c>
      <c r="T30" s="777" t="s">
        <v>17</v>
      </c>
      <c r="U30" s="778" t="e">
        <f t="shared" si="13"/>
        <v>#N/A</v>
      </c>
      <c r="V30" s="777" t="s">
        <v>17</v>
      </c>
      <c r="W30" s="778" t="e">
        <f t="shared" si="14"/>
        <v>#N/A</v>
      </c>
      <c r="X30" s="779"/>
      <c r="Y30" s="317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2"/>
      <c r="Q31" s="1813" t="str">
        <f t="shared" si="11"/>
        <v>建筑结构</v>
      </c>
      <c r="R31" s="774" t="s">
        <v>17</v>
      </c>
      <c r="S31" s="775">
        <f t="shared" si="12"/>
        <v>100</v>
      </c>
      <c r="T31" s="774" t="s">
        <v>17</v>
      </c>
      <c r="U31" s="775">
        <f t="shared" si="13"/>
        <v>100</v>
      </c>
      <c r="V31" s="774" t="s">
        <v>17</v>
      </c>
      <c r="W31" s="775">
        <f t="shared" si="14"/>
        <v>100</v>
      </c>
      <c r="X31" s="1816"/>
      <c r="Y31" s="317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2"/>
      <c r="Q32" s="1813" t="str">
        <f t="shared" si="11"/>
        <v>公共部分装修</v>
      </c>
      <c r="R32" s="774" t="s">
        <v>17</v>
      </c>
      <c r="S32" s="775">
        <f t="shared" si="12"/>
        <v>100</v>
      </c>
      <c r="T32" s="774" t="s">
        <v>17</v>
      </c>
      <c r="U32" s="775">
        <f t="shared" si="13"/>
        <v>100</v>
      </c>
      <c r="V32" s="774" t="s">
        <v>17</v>
      </c>
      <c r="W32" s="775">
        <f t="shared" si="14"/>
        <v>100</v>
      </c>
      <c r="X32" s="1816"/>
      <c r="Y32" s="317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2"/>
      <c r="Q33" s="1813" t="str">
        <f t="shared" si="11"/>
        <v>成新度</v>
      </c>
      <c r="R33" s="774" t="s">
        <v>17</v>
      </c>
      <c r="S33" s="775" t="e">
        <f t="shared" si="12"/>
        <v>#N/A</v>
      </c>
      <c r="T33" s="774" t="s">
        <v>17</v>
      </c>
      <c r="U33" s="775" t="e">
        <f t="shared" si="13"/>
        <v>#N/A</v>
      </c>
      <c r="V33" s="774" t="s">
        <v>17</v>
      </c>
      <c r="W33" s="775" t="e">
        <f t="shared" si="14"/>
        <v>#N/A</v>
      </c>
      <c r="X33" s="1816"/>
      <c r="Y33" s="317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2"/>
      <c r="Q34" s="1798" t="str">
        <f t="shared" si="11"/>
        <v>物业管理</v>
      </c>
      <c r="R34" s="770" t="s">
        <v>17</v>
      </c>
      <c r="S34" s="771">
        <f t="shared" si="12"/>
        <v>100</v>
      </c>
      <c r="T34" s="770" t="s">
        <v>17</v>
      </c>
      <c r="U34" s="771">
        <f t="shared" si="13"/>
        <v>100</v>
      </c>
      <c r="V34" s="770" t="s">
        <v>17</v>
      </c>
      <c r="W34" s="771">
        <f t="shared" si="14"/>
        <v>100</v>
      </c>
      <c r="X34" s="772"/>
      <c r="Y34" s="317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2" t="s">
        <v>2563</v>
      </c>
      <c r="Q35" s="1813" t="str">
        <f t="shared" si="11"/>
        <v>市政基础设施</v>
      </c>
      <c r="R35" s="774" t="s">
        <v>17</v>
      </c>
      <c r="S35" s="775">
        <f t="shared" si="12"/>
        <v>100</v>
      </c>
      <c r="T35" s="774" t="s">
        <v>17</v>
      </c>
      <c r="U35" s="775">
        <f t="shared" si="13"/>
        <v>100</v>
      </c>
      <c r="V35" s="774" t="s">
        <v>17</v>
      </c>
      <c r="W35" s="775">
        <f t="shared" si="14"/>
        <v>100</v>
      </c>
      <c r="X35" s="1816"/>
      <c r="Y35" s="317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2"/>
      <c r="Q36" s="1813" t="str">
        <f t="shared" si="11"/>
        <v>内部装修</v>
      </c>
      <c r="R36" s="774" t="s">
        <v>17</v>
      </c>
      <c r="S36" s="775">
        <f t="shared" si="12"/>
        <v>100</v>
      </c>
      <c r="T36" s="774" t="s">
        <v>17</v>
      </c>
      <c r="U36" s="775">
        <f t="shared" si="13"/>
        <v>100</v>
      </c>
      <c r="V36" s="774" t="s">
        <v>17</v>
      </c>
      <c r="W36" s="775">
        <f t="shared" si="14"/>
        <v>100</v>
      </c>
      <c r="X36" s="1816"/>
      <c r="Y36" s="317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2"/>
      <c r="Q37" s="1813" t="str">
        <f t="shared" si="11"/>
        <v>内部装修状况</v>
      </c>
      <c r="R37" s="774" t="s">
        <v>17</v>
      </c>
      <c r="S37" s="775">
        <f t="shared" si="12"/>
        <v>100</v>
      </c>
      <c r="T37" s="774" t="s">
        <v>17</v>
      </c>
      <c r="U37" s="775">
        <f t="shared" si="13"/>
        <v>100</v>
      </c>
      <c r="V37" s="774" t="s">
        <v>17</v>
      </c>
      <c r="W37" s="775">
        <f t="shared" si="14"/>
        <v>100</v>
      </c>
      <c r="X37" s="1816"/>
      <c r="Y37" s="317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2"/>
      <c r="Q38" s="776">
        <f t="shared" si="11"/>
        <v>111</v>
      </c>
      <c r="R38" s="777" t="s">
        <v>17</v>
      </c>
      <c r="S38" s="778">
        <f t="shared" si="12"/>
        <v>100</v>
      </c>
      <c r="T38" s="777" t="s">
        <v>17</v>
      </c>
      <c r="U38" s="778">
        <f t="shared" si="13"/>
        <v>100</v>
      </c>
      <c r="V38" s="777" t="s">
        <v>17</v>
      </c>
      <c r="W38" s="778">
        <f t="shared" si="14"/>
        <v>100</v>
      </c>
      <c r="X38" s="779"/>
      <c r="Y38" s="317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2"/>
      <c r="Q39" s="1813">
        <f t="shared" si="11"/>
        <v>111</v>
      </c>
      <c r="R39" s="774" t="s">
        <v>17</v>
      </c>
      <c r="S39" s="775">
        <f t="shared" si="12"/>
        <v>100</v>
      </c>
      <c r="T39" s="774" t="s">
        <v>17</v>
      </c>
      <c r="U39" s="775">
        <f t="shared" si="13"/>
        <v>100</v>
      </c>
      <c r="V39" s="774" t="s">
        <v>17</v>
      </c>
      <c r="W39" s="775">
        <f t="shared" si="14"/>
        <v>100</v>
      </c>
      <c r="X39" s="1816"/>
      <c r="Y39" s="3172"/>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3"/>
      <c r="Q40" s="1813">
        <f t="shared" si="11"/>
        <v>111</v>
      </c>
      <c r="R40" s="774" t="s">
        <v>17</v>
      </c>
      <c r="S40" s="775">
        <f t="shared" si="12"/>
        <v>100</v>
      </c>
      <c r="T40" s="774" t="s">
        <v>17</v>
      </c>
      <c r="U40" s="775">
        <f t="shared" si="13"/>
        <v>100</v>
      </c>
      <c r="V40" s="774" t="s">
        <v>17</v>
      </c>
      <c r="W40" s="775">
        <f t="shared" si="14"/>
        <v>100</v>
      </c>
      <c r="X40" s="1816"/>
      <c r="Y40" s="317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60" t="str">
        <f>A41</f>
        <v>成交单价（元/平方米）</v>
      </c>
      <c r="Q41" s="3160"/>
      <c r="R41" s="3161">
        <f>E41</f>
        <v>0</v>
      </c>
      <c r="S41" s="3161"/>
      <c r="T41" s="3161">
        <f>G41</f>
        <v>0</v>
      </c>
      <c r="U41" s="3161"/>
      <c r="V41" s="3161">
        <f>I41</f>
        <v>0</v>
      </c>
      <c r="W41" s="3161"/>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60" t="str">
        <f>A42</f>
        <v>比较价值（元/平方米）</v>
      </c>
      <c r="Q42" s="3160"/>
      <c r="R42" s="3161" t="e">
        <f>IF(F1="售价",ROUND(PRODUCT(R41,AA7:AA40),0),ROUND(PRODUCT(R41,AA7:AA40),1))</f>
        <v>#DIV/0!</v>
      </c>
      <c r="S42" s="3161"/>
      <c r="T42" s="3161" t="e">
        <f>IF(F1="售价",ROUND(PRODUCT(T41,AB7:AB40),0),ROUND(PRODUCT(T41,AB7:AB40),1))</f>
        <v>#DIV/0!</v>
      </c>
      <c r="U42" s="3161"/>
      <c r="V42" s="3161" t="e">
        <f>IF(F1="售价",ROUND(PRODUCT(V41,AC7:AC40),0),ROUND(PRODUCT(V41,AC7:AC40),1))</f>
        <v>#DIV/0!</v>
      </c>
      <c r="W42" s="3161"/>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10" t="str">
        <f>A43</f>
        <v>估价对象XX用房的比较价值（楼面单价，元/平方米）</v>
      </c>
      <c r="Q43" s="3211"/>
      <c r="R43" s="3212" t="e">
        <f>IF(F1="售价",ROUND(AVERAGE(R42:V42),0),ROUND(AVERAGE(R42:V42),1))</f>
        <v>#DIV/0!</v>
      </c>
      <c r="S43" s="3212"/>
      <c r="T43" s="3212"/>
      <c r="U43" s="3212"/>
      <c r="V43" s="3212"/>
      <c r="W43" s="321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90"/>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92"/>
      <c r="D2" s="1127" t="e">
        <f ca="1">SUMIF(INDIRECT("'"&amp;F2&amp;"'"&amp;"!A:A"),"承租人权益价值",INDIRECT("'"&amp;F2&amp;"'"&amp;"!c:c"))</f>
        <v>#REF!</v>
      </c>
      <c r="E2" s="2593" t="s">
        <v>2326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206" t="s">
        <v>2646</v>
      </c>
      <c r="AC4" s="3213" t="s">
        <v>2647</v>
      </c>
    </row>
    <row r="5" spans="1:29"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206"/>
      <c r="AC5" s="3206"/>
    </row>
    <row r="6" spans="1:29" ht="15.75" thickBot="1">
      <c r="A6" s="406"/>
      <c r="B6" s="407"/>
      <c r="C6" s="3195" t="s">
        <v>2544</v>
      </c>
      <c r="D6" s="3196"/>
      <c r="E6" s="3203" t="s">
        <v>2544</v>
      </c>
      <c r="F6" s="3204"/>
      <c r="G6" s="3195" t="s">
        <v>2544</v>
      </c>
      <c r="H6" s="3196"/>
      <c r="I6" s="3195" t="s">
        <v>2544</v>
      </c>
      <c r="J6" s="3196"/>
      <c r="K6" s="610" t="s">
        <v>2545</v>
      </c>
      <c r="L6" s="1133"/>
      <c r="M6" s="1134"/>
      <c r="N6" s="1134"/>
      <c r="O6" s="1134"/>
      <c r="P6" s="3217"/>
      <c r="Q6" s="3186"/>
      <c r="R6" s="3189"/>
      <c r="S6" s="3190"/>
      <c r="T6" s="3191"/>
      <c r="U6" s="3192"/>
      <c r="V6" s="3194"/>
      <c r="W6" s="3194"/>
      <c r="X6" s="1816"/>
      <c r="Y6" s="3191"/>
      <c r="Z6" s="3192"/>
      <c r="AA6" s="3207"/>
      <c r="AB6" s="3207"/>
      <c r="AC6" s="3207"/>
    </row>
    <row r="7" spans="1:29" s="117" customFormat="1" ht="15.75" thickBot="1">
      <c r="A7" s="408" t="s">
        <v>2546</v>
      </c>
      <c r="B7" s="409"/>
      <c r="C7" s="410">
        <f>'数据-取费表'!B2</f>
        <v>43483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2547</v>
      </c>
      <c r="Q7" s="3202"/>
      <c r="R7" s="770" t="s">
        <v>17</v>
      </c>
      <c r="S7" s="771">
        <f t="shared" ref="S7:S14" si="0">F7</f>
        <v>0</v>
      </c>
      <c r="T7" s="770" t="s">
        <v>17</v>
      </c>
      <c r="U7" s="771">
        <f t="shared" ref="U7:U14" si="1">H7</f>
        <v>0</v>
      </c>
      <c r="V7" s="770" t="s">
        <v>17</v>
      </c>
      <c r="W7" s="771">
        <f t="shared" ref="W7:W14" si="2">J7</f>
        <v>0</v>
      </c>
      <c r="X7" s="772"/>
      <c r="Y7" s="3201" t="s">
        <v>2547</v>
      </c>
      <c r="Z7" s="3200"/>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0" t="s">
        <v>2553</v>
      </c>
      <c r="Q9" s="1798" t="str">
        <f t="shared" ref="Q9:Q14" si="6">B9</f>
        <v>用途</v>
      </c>
      <c r="R9" s="770" t="s">
        <v>17</v>
      </c>
      <c r="S9" s="771">
        <f t="shared" si="0"/>
        <v>100</v>
      </c>
      <c r="T9" s="770" t="s">
        <v>17</v>
      </c>
      <c r="U9" s="771">
        <f t="shared" si="1"/>
        <v>100</v>
      </c>
      <c r="V9" s="770" t="s">
        <v>17</v>
      </c>
      <c r="W9" s="771">
        <f t="shared" si="2"/>
        <v>100</v>
      </c>
      <c r="X9" s="772"/>
      <c r="Y9" s="300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0"/>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2557</v>
      </c>
      <c r="B14" s="629" t="s">
        <v>2707</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7" t="s">
        <v>2558</v>
      </c>
      <c r="Q14" s="1813" t="str">
        <f t="shared" si="6"/>
        <v>交通便捷度</v>
      </c>
      <c r="R14" s="774" t="s">
        <v>17</v>
      </c>
      <c r="S14" s="775">
        <f t="shared" si="0"/>
        <v>100</v>
      </c>
      <c r="T14" s="774" t="s">
        <v>17</v>
      </c>
      <c r="U14" s="775">
        <f t="shared" si="1"/>
        <v>100</v>
      </c>
      <c r="V14" s="774" t="s">
        <v>17</v>
      </c>
      <c r="W14" s="775">
        <f t="shared" si="2"/>
        <v>100</v>
      </c>
      <c r="X14" s="1816"/>
      <c r="Y14" s="316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8"/>
      <c r="Q15" s="1813"/>
      <c r="R15" s="774"/>
      <c r="S15" s="775"/>
      <c r="T15" s="774"/>
      <c r="U15" s="775"/>
      <c r="V15" s="774"/>
      <c r="W15" s="775"/>
      <c r="X15" s="1816"/>
      <c r="Y15" s="3168"/>
      <c r="Z15" s="1817"/>
      <c r="AA15" s="1814">
        <v>1</v>
      </c>
      <c r="AB15" s="1814">
        <v>1</v>
      </c>
      <c r="AC15" s="1814">
        <v>1</v>
      </c>
    </row>
    <row r="16" spans="1:29" ht="42.75">
      <c r="A16" s="404"/>
      <c r="B16" s="631" t="s">
        <v>2686</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68"/>
      <c r="Q17" s="1813"/>
      <c r="R17" s="774"/>
      <c r="S17" s="775"/>
      <c r="T17" s="774"/>
      <c r="U17" s="775"/>
      <c r="V17" s="774"/>
      <c r="W17" s="775"/>
      <c r="X17" s="1816"/>
      <c r="Y17" s="3168"/>
      <c r="Z17" s="1817"/>
      <c r="AA17" s="1814">
        <v>1</v>
      </c>
      <c r="AB17" s="1814">
        <v>1</v>
      </c>
      <c r="AC17" s="1814">
        <v>1</v>
      </c>
    </row>
    <row r="18" spans="1:29" ht="28.5">
      <c r="A18" s="404"/>
      <c r="B18" s="633" t="s">
        <v>2687</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68"/>
      <c r="Q19" s="1813"/>
      <c r="R19" s="774"/>
      <c r="S19" s="775"/>
      <c r="T19" s="774"/>
      <c r="U19" s="775"/>
      <c r="V19" s="774"/>
      <c r="W19" s="775"/>
      <c r="X19" s="1816"/>
      <c r="Y19" s="3168"/>
      <c r="Z19" s="1817"/>
      <c r="AA19" s="1814">
        <v>1</v>
      </c>
      <c r="AB19" s="1814">
        <v>1</v>
      </c>
      <c r="AC19" s="1814">
        <v>1</v>
      </c>
    </row>
    <row r="20" spans="1:29" ht="57">
      <c r="A20" s="404"/>
      <c r="B20" s="631" t="s">
        <v>2708</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8"/>
      <c r="Q21" s="1813"/>
      <c r="R21" s="774"/>
      <c r="S21" s="775"/>
      <c r="T21" s="774"/>
      <c r="U21" s="775"/>
      <c r="V21" s="774"/>
      <c r="W21" s="775"/>
      <c r="X21" s="1816"/>
      <c r="Y21" s="316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8"/>
      <c r="Q24" s="1813">
        <f t="shared" ref="Q24:Q36"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652" t="s">
        <v>2561</v>
      </c>
      <c r="B26" s="70" t="s">
        <v>2710</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2"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2"/>
      <c r="Q27" s="776" t="str">
        <f t="shared" si="11"/>
        <v>项目停车位配比</v>
      </c>
      <c r="R27" s="777" t="s">
        <v>17</v>
      </c>
      <c r="S27" s="778">
        <f t="shared" si="12"/>
        <v>100</v>
      </c>
      <c r="T27" s="777" t="s">
        <v>17</v>
      </c>
      <c r="U27" s="778">
        <f t="shared" si="13"/>
        <v>100</v>
      </c>
      <c r="V27" s="777" t="s">
        <v>17</v>
      </c>
      <c r="W27" s="778">
        <f t="shared" si="14"/>
        <v>100</v>
      </c>
      <c r="X27" s="779"/>
      <c r="Y27" s="317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2"/>
      <c r="Q28" s="1813" t="str">
        <f t="shared" si="11"/>
        <v>公共部分装修</v>
      </c>
      <c r="R28" s="774" t="s">
        <v>17</v>
      </c>
      <c r="S28" s="775">
        <f t="shared" si="12"/>
        <v>100</v>
      </c>
      <c r="T28" s="774" t="s">
        <v>17</v>
      </c>
      <c r="U28" s="775">
        <f t="shared" si="13"/>
        <v>100</v>
      </c>
      <c r="V28" s="774" t="s">
        <v>17</v>
      </c>
      <c r="W28" s="775">
        <f t="shared" si="14"/>
        <v>100</v>
      </c>
      <c r="X28" s="1816"/>
      <c r="Y28" s="317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2"/>
      <c r="Q29" s="1813" t="str">
        <f t="shared" si="11"/>
        <v>成新率</v>
      </c>
      <c r="R29" s="774" t="s">
        <v>17</v>
      </c>
      <c r="S29" s="775" t="e">
        <f t="shared" si="12"/>
        <v>#N/A</v>
      </c>
      <c r="T29" s="774" t="s">
        <v>17</v>
      </c>
      <c r="U29" s="775" t="e">
        <f t="shared" si="13"/>
        <v>#N/A</v>
      </c>
      <c r="V29" s="774" t="s">
        <v>17</v>
      </c>
      <c r="W29" s="775" t="e">
        <f t="shared" si="14"/>
        <v>#N/A</v>
      </c>
      <c r="X29" s="1816"/>
      <c r="Y29" s="317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2"/>
      <c r="Q30" s="1813" t="str">
        <f t="shared" si="11"/>
        <v>物业等级</v>
      </c>
      <c r="R30" s="774" t="s">
        <v>17</v>
      </c>
      <c r="S30" s="775">
        <f t="shared" si="12"/>
        <v>100</v>
      </c>
      <c r="T30" s="774" t="s">
        <v>17</v>
      </c>
      <c r="U30" s="775">
        <f t="shared" si="13"/>
        <v>100</v>
      </c>
      <c r="V30" s="774" t="s">
        <v>17</v>
      </c>
      <c r="W30" s="775">
        <f t="shared" si="14"/>
        <v>100</v>
      </c>
      <c r="X30" s="1816"/>
      <c r="Y30" s="317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2"/>
      <c r="Q31" s="1798" t="str">
        <f t="shared" si="11"/>
        <v>停车位面积</v>
      </c>
      <c r="R31" s="770" t="s">
        <v>17</v>
      </c>
      <c r="S31" s="771" t="e">
        <f t="shared" si="12"/>
        <v>#N/A</v>
      </c>
      <c r="T31" s="770" t="s">
        <v>17</v>
      </c>
      <c r="U31" s="771" t="e">
        <f t="shared" si="13"/>
        <v>#N/A</v>
      </c>
      <c r="V31" s="770" t="s">
        <v>17</v>
      </c>
      <c r="W31" s="771" t="e">
        <f t="shared" si="14"/>
        <v>#N/A</v>
      </c>
      <c r="X31" s="772"/>
      <c r="Y31" s="317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2" t="s">
        <v>2563</v>
      </c>
      <c r="Q32" s="1813" t="str">
        <f t="shared" si="11"/>
        <v>车位类型</v>
      </c>
      <c r="R32" s="774" t="s">
        <v>17</v>
      </c>
      <c r="S32" s="775">
        <f t="shared" si="12"/>
        <v>100</v>
      </c>
      <c r="T32" s="774" t="s">
        <v>17</v>
      </c>
      <c r="U32" s="775">
        <f t="shared" si="13"/>
        <v>100</v>
      </c>
      <c r="V32" s="774" t="s">
        <v>17</v>
      </c>
      <c r="W32" s="775">
        <f t="shared" si="14"/>
        <v>100</v>
      </c>
      <c r="X32" s="1816"/>
      <c r="Y32" s="317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2"/>
      <c r="Q33" s="1813" t="str">
        <f t="shared" si="11"/>
        <v>是否直接入户</v>
      </c>
      <c r="R33" s="774" t="s">
        <v>17</v>
      </c>
      <c r="S33" s="775">
        <f t="shared" si="12"/>
        <v>100</v>
      </c>
      <c r="T33" s="774" t="s">
        <v>17</v>
      </c>
      <c r="U33" s="775">
        <f t="shared" si="13"/>
        <v>100</v>
      </c>
      <c r="V33" s="774" t="s">
        <v>17</v>
      </c>
      <c r="W33" s="775">
        <f t="shared" si="14"/>
        <v>100</v>
      </c>
      <c r="X33" s="1816"/>
      <c r="Y33" s="317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2"/>
      <c r="Q35" s="776">
        <f t="shared" si="11"/>
        <v>111</v>
      </c>
      <c r="R35" s="777" t="s">
        <v>17</v>
      </c>
      <c r="S35" s="778">
        <f t="shared" si="12"/>
        <v>100</v>
      </c>
      <c r="T35" s="777" t="s">
        <v>17</v>
      </c>
      <c r="U35" s="778">
        <f t="shared" si="13"/>
        <v>100</v>
      </c>
      <c r="V35" s="777" t="s">
        <v>17</v>
      </c>
      <c r="W35" s="778">
        <f t="shared" si="14"/>
        <v>100</v>
      </c>
      <c r="X35" s="779"/>
      <c r="Y35" s="317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2"/>
      <c r="Q36" s="1813">
        <f t="shared" si="11"/>
        <v>111</v>
      </c>
      <c r="R36" s="774" t="s">
        <v>17</v>
      </c>
      <c r="S36" s="775">
        <f t="shared" si="12"/>
        <v>100</v>
      </c>
      <c r="T36" s="774" t="s">
        <v>17</v>
      </c>
      <c r="U36" s="775">
        <f t="shared" si="13"/>
        <v>100</v>
      </c>
      <c r="V36" s="774" t="s">
        <v>17</v>
      </c>
      <c r="W36" s="775">
        <f t="shared" si="14"/>
        <v>100</v>
      </c>
      <c r="X36" s="1816"/>
      <c r="Y36" s="3172"/>
      <c r="Z36" s="1817">
        <f t="shared" si="15"/>
        <v>111</v>
      </c>
      <c r="AA36" s="1814">
        <f t="shared" si="3"/>
        <v>1</v>
      </c>
      <c r="AB36" s="1814">
        <f t="shared" si="4"/>
        <v>1</v>
      </c>
      <c r="AC36" s="1814">
        <f t="shared" si="5"/>
        <v>1</v>
      </c>
    </row>
    <row r="37" spans="1:29" ht="15">
      <c r="A37" s="479" t="s">
        <v>2718</v>
      </c>
      <c r="B37" s="2701" t="s">
        <v>2719</v>
      </c>
      <c r="C37" s="1410" t="s">
        <v>1</v>
      </c>
      <c r="D37" s="1411"/>
      <c r="E37" s="1412"/>
      <c r="F37" s="1413"/>
      <c r="G37" s="1414"/>
      <c r="H37" s="1415"/>
      <c r="I37" s="1412"/>
      <c r="J37" s="1415"/>
      <c r="K37" s="619"/>
      <c r="L37" s="1146"/>
      <c r="M37" s="1147"/>
      <c r="N37" s="1134"/>
      <c r="O37" s="1147"/>
      <c r="P37" s="3160" t="str">
        <f>A37</f>
        <v>成交单价</v>
      </c>
      <c r="Q37" s="3160"/>
      <c r="R37" s="3161">
        <f>E37</f>
        <v>0</v>
      </c>
      <c r="S37" s="3161"/>
      <c r="T37" s="3161">
        <f>G37</f>
        <v>0</v>
      </c>
      <c r="U37" s="3161"/>
      <c r="V37" s="3161">
        <f>I37</f>
        <v>0</v>
      </c>
      <c r="W37" s="3161"/>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0" t="str">
        <f>A38</f>
        <v>比较价值（元/平方米）</v>
      </c>
      <c r="Q38" s="3160"/>
      <c r="R38" s="3161" t="e">
        <f>IF(F1="售价",ROUND(PRODUCT(R37,AA7:AA36),0),ROUND(PRODUCT(R37,AA7:AA36),1))</f>
        <v>#DIV/0!</v>
      </c>
      <c r="S38" s="3161"/>
      <c r="T38" s="3161" t="e">
        <f>IF(F1="售价",ROUND(PRODUCT(T37,AB7:AB36),0),ROUND(PRODUCT(T37,AB7:AB36),1))</f>
        <v>#DIV/0!</v>
      </c>
      <c r="U38" s="3161"/>
      <c r="V38" s="3161" t="e">
        <f>IF(F1="售价",ROUND(PRODUCT(V37,AC7:AC36),0),ROUND(PRODUCT(V37,AC7:AC36),1))</f>
        <v>#DIV/0!</v>
      </c>
      <c r="W38" s="3161"/>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90"/>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92"/>
      <c r="D2" s="1127" t="e">
        <f ca="1">SUMIF(INDIRECT("'"&amp;F2&amp;"'"&amp;"!A:A"),"承租人权益价值",INDIRECT("'"&amp;F2&amp;"'"&amp;"!c:c"))</f>
        <v>#REF!</v>
      </c>
      <c r="E2" s="2593" t="s">
        <v>2326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206" t="s">
        <v>2646</v>
      </c>
      <c r="AC4" s="3213" t="s">
        <v>2647</v>
      </c>
    </row>
    <row r="5" spans="1:29"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206"/>
      <c r="AC5" s="3206"/>
    </row>
    <row r="6" spans="1:29" ht="15.75" thickBot="1">
      <c r="A6" s="406"/>
      <c r="B6" s="407"/>
      <c r="C6" s="3195" t="s">
        <v>2544</v>
      </c>
      <c r="D6" s="3196"/>
      <c r="E6" s="3203" t="s">
        <v>2544</v>
      </c>
      <c r="F6" s="3204"/>
      <c r="G6" s="3195" t="s">
        <v>2544</v>
      </c>
      <c r="H6" s="3196"/>
      <c r="I6" s="3195" t="s">
        <v>2544</v>
      </c>
      <c r="J6" s="3196"/>
      <c r="K6" s="610" t="s">
        <v>2545</v>
      </c>
      <c r="L6" s="1133"/>
      <c r="M6" s="1134"/>
      <c r="N6" s="1134"/>
      <c r="O6" s="1134"/>
      <c r="P6" s="3217"/>
      <c r="Q6" s="3186"/>
      <c r="R6" s="3189"/>
      <c r="S6" s="3190"/>
      <c r="T6" s="3191"/>
      <c r="U6" s="3192"/>
      <c r="V6" s="3194"/>
      <c r="W6" s="3194"/>
      <c r="X6" s="1816"/>
      <c r="Y6" s="3191"/>
      <c r="Z6" s="3192"/>
      <c r="AA6" s="3207"/>
      <c r="AB6" s="3207"/>
      <c r="AC6" s="3207"/>
    </row>
    <row r="7" spans="1:29" s="117" customFormat="1" ht="15.75" thickBot="1">
      <c r="A7" s="408" t="s">
        <v>2546</v>
      </c>
      <c r="B7" s="409"/>
      <c r="C7" s="410">
        <f>'数据-取费表'!B2</f>
        <v>43483</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1" t="s">
        <v>2547</v>
      </c>
      <c r="Q7" s="3202"/>
      <c r="R7" s="770" t="s">
        <v>17</v>
      </c>
      <c r="S7" s="771">
        <f t="shared" ref="S7:S14" si="0">F7</f>
        <v>0</v>
      </c>
      <c r="T7" s="770" t="s">
        <v>17</v>
      </c>
      <c r="U7" s="771">
        <f t="shared" ref="U7:U14" si="1">H7</f>
        <v>0</v>
      </c>
      <c r="V7" s="770" t="s">
        <v>17</v>
      </c>
      <c r="W7" s="771">
        <f t="shared" ref="W7:W14" si="2">J7</f>
        <v>0</v>
      </c>
      <c r="X7" s="772"/>
      <c r="Y7" s="3201" t="s">
        <v>2547</v>
      </c>
      <c r="Z7" s="320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0" t="s">
        <v>2553</v>
      </c>
      <c r="Q9" s="1798" t="str">
        <f t="shared" ref="Q9:Q14" si="6">B9</f>
        <v>用途</v>
      </c>
      <c r="R9" s="770" t="s">
        <v>17</v>
      </c>
      <c r="S9" s="771">
        <f t="shared" si="0"/>
        <v>100</v>
      </c>
      <c r="T9" s="770" t="s">
        <v>17</v>
      </c>
      <c r="U9" s="771">
        <f t="shared" si="1"/>
        <v>100</v>
      </c>
      <c r="V9" s="770" t="s">
        <v>17</v>
      </c>
      <c r="W9" s="771">
        <f t="shared" si="2"/>
        <v>100</v>
      </c>
      <c r="X9" s="772"/>
      <c r="Y9" s="300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0"/>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2557</v>
      </c>
      <c r="B14" s="69" t="s">
        <v>2707</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7" t="s">
        <v>2558</v>
      </c>
      <c r="Q14" s="1813" t="str">
        <f t="shared" si="6"/>
        <v>交通便捷度</v>
      </c>
      <c r="R14" s="774" t="s">
        <v>17</v>
      </c>
      <c r="S14" s="775">
        <f t="shared" si="0"/>
        <v>100</v>
      </c>
      <c r="T14" s="774" t="s">
        <v>17</v>
      </c>
      <c r="U14" s="775">
        <f t="shared" si="1"/>
        <v>100</v>
      </c>
      <c r="V14" s="774" t="s">
        <v>17</v>
      </c>
      <c r="W14" s="775">
        <f t="shared" si="2"/>
        <v>100</v>
      </c>
      <c r="X14" s="1816"/>
      <c r="Y14" s="316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8"/>
      <c r="Q15" s="1813"/>
      <c r="R15" s="774"/>
      <c r="S15" s="775"/>
      <c r="T15" s="774"/>
      <c r="U15" s="775"/>
      <c r="V15" s="774"/>
      <c r="W15" s="775"/>
      <c r="X15" s="1816"/>
      <c r="Y15" s="3168"/>
      <c r="Z15" s="1817"/>
      <c r="AA15" s="1814">
        <v>1</v>
      </c>
      <c r="AB15" s="1814">
        <v>1</v>
      </c>
      <c r="AC15" s="1814">
        <v>1</v>
      </c>
    </row>
    <row r="16" spans="1:29" ht="42.75">
      <c r="A16" s="428"/>
      <c r="B16" s="451" t="s">
        <v>2686</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8"/>
      <c r="Q16" s="1813" t="str">
        <f>B16</f>
        <v>公共配套设施</v>
      </c>
      <c r="R16" s="774" t="s">
        <v>17</v>
      </c>
      <c r="S16" s="775">
        <f>F16</f>
        <v>100</v>
      </c>
      <c r="T16" s="774" t="s">
        <v>17</v>
      </c>
      <c r="U16" s="775">
        <f>H16</f>
        <v>100</v>
      </c>
      <c r="V16" s="774" t="s">
        <v>17</v>
      </c>
      <c r="W16" s="775">
        <f>J16</f>
        <v>100</v>
      </c>
      <c r="X16" s="1816"/>
      <c r="Y16" s="3168"/>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68"/>
      <c r="Q17" s="1813"/>
      <c r="R17" s="774"/>
      <c r="S17" s="775"/>
      <c r="T17" s="774"/>
      <c r="U17" s="775"/>
      <c r="V17" s="774"/>
      <c r="W17" s="775"/>
      <c r="X17" s="1816"/>
      <c r="Y17" s="3168"/>
      <c r="Z17" s="1817"/>
      <c r="AA17" s="1814">
        <v>1</v>
      </c>
      <c r="AB17" s="1814">
        <v>1</v>
      </c>
      <c r="AC17" s="1814">
        <v>1</v>
      </c>
    </row>
    <row r="18" spans="1:29" ht="28.5">
      <c r="A18" s="428"/>
      <c r="B18" s="1387" t="s">
        <v>2687</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8"/>
      <c r="Q18" s="1813" t="str">
        <f>B18</f>
        <v>基础设施水平</v>
      </c>
      <c r="R18" s="774" t="s">
        <v>17</v>
      </c>
      <c r="S18" s="775">
        <f>F18</f>
        <v>100</v>
      </c>
      <c r="T18" s="774" t="s">
        <v>17</v>
      </c>
      <c r="U18" s="775">
        <f>H18</f>
        <v>100</v>
      </c>
      <c r="V18" s="774" t="s">
        <v>17</v>
      </c>
      <c r="W18" s="775">
        <f>J18</f>
        <v>100</v>
      </c>
      <c r="X18" s="1816"/>
      <c r="Y18" s="3168"/>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68"/>
      <c r="Q19" s="1813"/>
      <c r="R19" s="774"/>
      <c r="S19" s="775"/>
      <c r="T19" s="774"/>
      <c r="U19" s="775"/>
      <c r="V19" s="774"/>
      <c r="W19" s="775"/>
      <c r="X19" s="1816"/>
      <c r="Y19" s="3168"/>
      <c r="Z19" s="1817"/>
      <c r="AA19" s="1814">
        <v>1</v>
      </c>
      <c r="AB19" s="1814">
        <v>1</v>
      </c>
      <c r="AC19" s="1814">
        <v>1</v>
      </c>
    </row>
    <row r="20" spans="1:29" ht="57">
      <c r="A20" s="428"/>
      <c r="B20" s="451" t="s">
        <v>2708</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8"/>
      <c r="Q20" s="1813" t="str">
        <f>B20</f>
        <v>自然及人文环境</v>
      </c>
      <c r="R20" s="774" t="s">
        <v>17</v>
      </c>
      <c r="S20" s="775">
        <f>F20</f>
        <v>100</v>
      </c>
      <c r="T20" s="774" t="s">
        <v>17</v>
      </c>
      <c r="U20" s="775">
        <f>H20</f>
        <v>100</v>
      </c>
      <c r="V20" s="774" t="s">
        <v>17</v>
      </c>
      <c r="W20" s="775">
        <f>J20</f>
        <v>100</v>
      </c>
      <c r="X20" s="1816"/>
      <c r="Y20" s="316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8"/>
      <c r="Q21" s="1813"/>
      <c r="R21" s="774"/>
      <c r="S21" s="775"/>
      <c r="T21" s="774"/>
      <c r="U21" s="775"/>
      <c r="V21" s="774"/>
      <c r="W21" s="775"/>
      <c r="X21" s="1816"/>
      <c r="Y21" s="316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8"/>
      <c r="Q22" s="1813" t="str">
        <f>B22</f>
        <v>楼层</v>
      </c>
      <c r="R22" s="774" t="s">
        <v>17</v>
      </c>
      <c r="S22" s="775">
        <f>F22</f>
        <v>100</v>
      </c>
      <c r="T22" s="774" t="s">
        <v>17</v>
      </c>
      <c r="U22" s="775">
        <f>H22</f>
        <v>100</v>
      </c>
      <c r="V22" s="774" t="s">
        <v>17</v>
      </c>
      <c r="W22" s="775">
        <f>J22</f>
        <v>100</v>
      </c>
      <c r="X22" s="1816"/>
      <c r="Y22" s="3168"/>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8"/>
      <c r="Q23" s="1813">
        <f>B23</f>
        <v>111</v>
      </c>
      <c r="R23" s="774" t="s">
        <v>17</v>
      </c>
      <c r="S23" s="775">
        <f>F23</f>
        <v>100</v>
      </c>
      <c r="T23" s="774" t="s">
        <v>17</v>
      </c>
      <c r="U23" s="775">
        <f>H23</f>
        <v>100</v>
      </c>
      <c r="V23" s="774" t="s">
        <v>17</v>
      </c>
      <c r="W23" s="775">
        <f>J23</f>
        <v>100</v>
      </c>
      <c r="X23" s="1816"/>
      <c r="Y23" s="3168"/>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8"/>
      <c r="Q24" s="1813">
        <f t="shared" ref="Q24:Q34" si="11">B24</f>
        <v>111</v>
      </c>
      <c r="R24" s="774" t="s">
        <v>17</v>
      </c>
      <c r="S24" s="775">
        <f>F24</f>
        <v>100</v>
      </c>
      <c r="T24" s="774" t="s">
        <v>17</v>
      </c>
      <c r="U24" s="775">
        <f>H24</f>
        <v>100</v>
      </c>
      <c r="V24" s="774" t="s">
        <v>17</v>
      </c>
      <c r="W24" s="775">
        <f>J24</f>
        <v>100</v>
      </c>
      <c r="X24" s="1816"/>
      <c r="Y24" s="3168"/>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68"/>
      <c r="Q25" s="1798">
        <f t="shared" si="11"/>
        <v>111</v>
      </c>
      <c r="R25" s="770" t="s">
        <v>17</v>
      </c>
      <c r="S25" s="771">
        <f>F25</f>
        <v>100</v>
      </c>
      <c r="T25" s="770" t="s">
        <v>17</v>
      </c>
      <c r="U25" s="771">
        <f>H25</f>
        <v>100</v>
      </c>
      <c r="V25" s="770" t="s">
        <v>17</v>
      </c>
      <c r="W25" s="771">
        <f>J25</f>
        <v>100</v>
      </c>
      <c r="X25" s="772"/>
      <c r="Y25" s="3168"/>
      <c r="Z25" s="55">
        <f>Q25</f>
        <v>111</v>
      </c>
      <c r="AA25" s="1814">
        <f>D25/F25</f>
        <v>1</v>
      </c>
      <c r="AB25" s="1814">
        <f>D25/H25</f>
        <v>1</v>
      </c>
      <c r="AC25" s="1814">
        <f>D25/J25</f>
        <v>1</v>
      </c>
    </row>
    <row r="26" spans="1:29" ht="28.5">
      <c r="A26" s="466" t="s">
        <v>2561</v>
      </c>
      <c r="B26" s="71" t="s">
        <v>2712</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42"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2"/>
      <c r="Q27" s="776" t="str">
        <f t="shared" si="11"/>
        <v>成新率</v>
      </c>
      <c r="R27" s="777" t="s">
        <v>17</v>
      </c>
      <c r="S27" s="778" t="e">
        <f t="shared" si="12"/>
        <v>#N/A</v>
      </c>
      <c r="T27" s="777" t="s">
        <v>17</v>
      </c>
      <c r="U27" s="778" t="e">
        <f t="shared" si="13"/>
        <v>#N/A</v>
      </c>
      <c r="V27" s="777" t="s">
        <v>17</v>
      </c>
      <c r="W27" s="778" t="e">
        <f t="shared" si="14"/>
        <v>#N/A</v>
      </c>
      <c r="X27" s="779"/>
      <c r="Y27" s="317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2"/>
      <c r="Q28" s="1813" t="str">
        <f t="shared" si="11"/>
        <v>物业等级</v>
      </c>
      <c r="R28" s="774" t="s">
        <v>17</v>
      </c>
      <c r="S28" s="775">
        <f t="shared" si="12"/>
        <v>100</v>
      </c>
      <c r="T28" s="774" t="s">
        <v>17</v>
      </c>
      <c r="U28" s="775">
        <f t="shared" si="13"/>
        <v>100</v>
      </c>
      <c r="V28" s="774" t="s">
        <v>17</v>
      </c>
      <c r="W28" s="775">
        <f t="shared" si="14"/>
        <v>100</v>
      </c>
      <c r="X28" s="1816"/>
      <c r="Y28" s="317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2"/>
      <c r="Q29" s="1813" t="str">
        <f t="shared" si="11"/>
        <v>有无电梯</v>
      </c>
      <c r="R29" s="774" t="s">
        <v>17</v>
      </c>
      <c r="S29" s="775">
        <f t="shared" si="12"/>
        <v>100</v>
      </c>
      <c r="T29" s="774" t="s">
        <v>17</v>
      </c>
      <c r="U29" s="775">
        <f t="shared" si="13"/>
        <v>100</v>
      </c>
      <c r="V29" s="774" t="s">
        <v>17</v>
      </c>
      <c r="W29" s="775">
        <f t="shared" si="14"/>
        <v>100</v>
      </c>
      <c r="X29" s="1816"/>
      <c r="Y29" s="317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2"/>
      <c r="Q30" s="1813" t="str">
        <f t="shared" si="11"/>
        <v>建筑面积</v>
      </c>
      <c r="R30" s="774" t="s">
        <v>17</v>
      </c>
      <c r="S30" s="775" t="e">
        <f t="shared" si="12"/>
        <v>#N/A</v>
      </c>
      <c r="T30" s="774" t="s">
        <v>17</v>
      </c>
      <c r="U30" s="775" t="e">
        <f t="shared" si="13"/>
        <v>#N/A</v>
      </c>
      <c r="V30" s="774" t="s">
        <v>17</v>
      </c>
      <c r="W30" s="775" t="e">
        <f t="shared" si="14"/>
        <v>#N/A</v>
      </c>
      <c r="X30" s="1816"/>
      <c r="Y30" s="317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2"/>
      <c r="Q31" s="1798" t="str">
        <f t="shared" si="11"/>
        <v>是否封闭</v>
      </c>
      <c r="R31" s="770" t="s">
        <v>17</v>
      </c>
      <c r="S31" s="771">
        <f t="shared" si="12"/>
        <v>100</v>
      </c>
      <c r="T31" s="770" t="s">
        <v>17</v>
      </c>
      <c r="U31" s="771">
        <f t="shared" si="13"/>
        <v>100</v>
      </c>
      <c r="V31" s="770" t="s">
        <v>17</v>
      </c>
      <c r="W31" s="771">
        <f t="shared" si="14"/>
        <v>100</v>
      </c>
      <c r="X31" s="772"/>
      <c r="Y31" s="317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2" t="s">
        <v>2563</v>
      </c>
      <c r="Q32" s="1813">
        <f t="shared" si="11"/>
        <v>111</v>
      </c>
      <c r="R32" s="774" t="s">
        <v>17</v>
      </c>
      <c r="S32" s="775">
        <f t="shared" si="12"/>
        <v>100</v>
      </c>
      <c r="T32" s="774" t="s">
        <v>17</v>
      </c>
      <c r="U32" s="775">
        <f t="shared" si="13"/>
        <v>100</v>
      </c>
      <c r="V32" s="774" t="s">
        <v>17</v>
      </c>
      <c r="W32" s="775">
        <f t="shared" si="14"/>
        <v>100</v>
      </c>
      <c r="X32" s="1816"/>
      <c r="Y32" s="3172" t="s">
        <v>2563</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2"/>
      <c r="Q33" s="1813">
        <f t="shared" si="11"/>
        <v>111</v>
      </c>
      <c r="R33" s="774" t="s">
        <v>17</v>
      </c>
      <c r="S33" s="775">
        <f t="shared" si="12"/>
        <v>100</v>
      </c>
      <c r="T33" s="774" t="s">
        <v>17</v>
      </c>
      <c r="U33" s="775">
        <f t="shared" si="13"/>
        <v>100</v>
      </c>
      <c r="V33" s="774" t="s">
        <v>17</v>
      </c>
      <c r="W33" s="775">
        <f t="shared" si="14"/>
        <v>100</v>
      </c>
      <c r="X33" s="1816"/>
      <c r="Y33" s="3172"/>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2"/>
      <c r="Q34" s="1813">
        <f t="shared" si="11"/>
        <v>111</v>
      </c>
      <c r="R34" s="774" t="s">
        <v>17</v>
      </c>
      <c r="S34" s="775">
        <f t="shared" si="12"/>
        <v>100</v>
      </c>
      <c r="T34" s="774" t="s">
        <v>17</v>
      </c>
      <c r="U34" s="775">
        <f t="shared" si="13"/>
        <v>100</v>
      </c>
      <c r="V34" s="774" t="s">
        <v>17</v>
      </c>
      <c r="W34" s="775">
        <f t="shared" si="14"/>
        <v>100</v>
      </c>
      <c r="X34" s="1816"/>
      <c r="Y34" s="317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60" t="str">
        <f>A35</f>
        <v>成交单价（元/平方米）</v>
      </c>
      <c r="Q35" s="3160"/>
      <c r="R35" s="3161">
        <f>E35</f>
        <v>0</v>
      </c>
      <c r="S35" s="3161"/>
      <c r="T35" s="3161">
        <f>G35</f>
        <v>0</v>
      </c>
      <c r="U35" s="3161"/>
      <c r="V35" s="3161">
        <f>I35</f>
        <v>0</v>
      </c>
      <c r="W35" s="3161"/>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60" t="str">
        <f>A36</f>
        <v>比较价值（元/平方米）</v>
      </c>
      <c r="Q36" s="3160"/>
      <c r="R36" s="3161" t="e">
        <f>IF(F1="售价",ROUND(PRODUCT(R35,AA7:AA34),0),ROUND(PRODUCT(R35,AA7:AA34),1))</f>
        <v>#DIV/0!</v>
      </c>
      <c r="S36" s="3161"/>
      <c r="T36" s="3161" t="e">
        <f>IF(F1="售价",ROUND(PRODUCT(T35,AB7:AB34),0),ROUND(PRODUCT(T35,AB7:AB34),1))</f>
        <v>#DIV/0!</v>
      </c>
      <c r="U36" s="3161"/>
      <c r="V36" s="3161" t="e">
        <f>IF(F1="售价",ROUND(PRODUCT(V35,AC7:AC34),0),ROUND(PRODUCT(V35,AC7:AC34),1))</f>
        <v>#DIV/0!</v>
      </c>
      <c r="W36" s="3161"/>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206" t="s">
        <v>2646</v>
      </c>
      <c r="AC4" s="3213" t="s">
        <v>2647</v>
      </c>
    </row>
    <row r="5" spans="1:30"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206"/>
      <c r="AC5" s="3206"/>
    </row>
    <row r="6" spans="1:30" ht="15.75" thickBot="1">
      <c r="A6" s="406"/>
      <c r="B6" s="407"/>
      <c r="C6" s="3195" t="s">
        <v>2544</v>
      </c>
      <c r="D6" s="3196"/>
      <c r="E6" s="3203" t="s">
        <v>2544</v>
      </c>
      <c r="F6" s="3204"/>
      <c r="G6" s="3195" t="s">
        <v>2544</v>
      </c>
      <c r="H6" s="3196"/>
      <c r="I6" s="3195" t="s">
        <v>2544</v>
      </c>
      <c r="J6" s="3196"/>
      <c r="K6" s="610" t="s">
        <v>2545</v>
      </c>
      <c r="L6" s="1133"/>
      <c r="M6" s="1134"/>
      <c r="N6" s="1134"/>
      <c r="O6" s="1134"/>
      <c r="P6" s="3217"/>
      <c r="Q6" s="3186"/>
      <c r="R6" s="3189"/>
      <c r="S6" s="3190"/>
      <c r="T6" s="3191"/>
      <c r="U6" s="3192"/>
      <c r="V6" s="3194"/>
      <c r="W6" s="3194"/>
      <c r="X6" s="1816"/>
      <c r="Y6" s="3191"/>
      <c r="Z6" s="3192"/>
      <c r="AA6" s="3207"/>
      <c r="AB6" s="3207"/>
      <c r="AC6" s="3207"/>
    </row>
    <row r="7" spans="1:30" s="117" customFormat="1" ht="15.75" thickBot="1">
      <c r="A7" s="408" t="s">
        <v>2546</v>
      </c>
      <c r="B7" s="409"/>
      <c r="C7" s="410">
        <f>'数据-取费表'!B2</f>
        <v>43483</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01" t="s">
        <v>2547</v>
      </c>
      <c r="Q7" s="3202"/>
      <c r="R7" s="770" t="s">
        <v>17</v>
      </c>
      <c r="S7" s="771">
        <f t="shared" ref="S7:S15" si="0">F7</f>
        <v>0</v>
      </c>
      <c r="T7" s="770" t="s">
        <v>17</v>
      </c>
      <c r="U7" s="771">
        <f t="shared" ref="U7:U15" si="1">H7</f>
        <v>0</v>
      </c>
      <c r="V7" s="770" t="s">
        <v>17</v>
      </c>
      <c r="W7" s="771">
        <f t="shared" ref="W7:W15" si="2">J7</f>
        <v>0</v>
      </c>
      <c r="X7" s="772"/>
      <c r="Y7" s="3201" t="s">
        <v>2547</v>
      </c>
      <c r="Z7" s="3200"/>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45" si="3">D8/F8</f>
        <v>#DIV/0!</v>
      </c>
      <c r="AB8" s="773" t="e">
        <f t="shared" ref="AB8:AB45" si="4">D8/H8</f>
        <v>#DIV/0!</v>
      </c>
      <c r="AC8" s="773" t="e">
        <f t="shared" ref="AC8:AC45" si="5">D8/J8</f>
        <v>#DIV/0!</v>
      </c>
    </row>
    <row r="9" spans="1:30" s="117" customFormat="1">
      <c r="A9" s="415" t="s">
        <v>2551</v>
      </c>
      <c r="B9" s="71" t="s">
        <v>2552</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0"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60"/>
      <c r="Q10" s="1798" t="str">
        <f t="shared" si="6"/>
        <v>土地使用年限（年）</v>
      </c>
      <c r="R10" s="770" t="s">
        <v>17</v>
      </c>
      <c r="S10" s="771">
        <f t="shared" si="0"/>
        <v>104</v>
      </c>
      <c r="T10" s="770" t="s">
        <v>17</v>
      </c>
      <c r="U10" s="771">
        <f t="shared" si="1"/>
        <v>104</v>
      </c>
      <c r="V10" s="770" t="s">
        <v>17</v>
      </c>
      <c r="W10" s="771">
        <f t="shared" si="2"/>
        <v>104</v>
      </c>
      <c r="X10" s="772"/>
      <c r="Y10" s="3009"/>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6"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0"/>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2557</v>
      </c>
      <c r="B15" s="69" t="s">
        <v>2082</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7" t="s">
        <v>2558</v>
      </c>
      <c r="Q15" s="1813" t="str">
        <f t="shared" si="6"/>
        <v>居住社区成熟度</v>
      </c>
      <c r="R15" s="774" t="s">
        <v>17</v>
      </c>
      <c r="S15" s="775">
        <f t="shared" si="0"/>
        <v>100</v>
      </c>
      <c r="T15" s="774" t="s">
        <v>17</v>
      </c>
      <c r="U15" s="775">
        <f t="shared" si="1"/>
        <v>100</v>
      </c>
      <c r="V15" s="774" t="s">
        <v>17</v>
      </c>
      <c r="W15" s="775">
        <f t="shared" si="2"/>
        <v>100</v>
      </c>
      <c r="X15" s="1816"/>
      <c r="Y15" s="3167" t="s">
        <v>2558</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71.25">
      <c r="A17" s="428"/>
      <c r="B17" s="451" t="s">
        <v>2651</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8"/>
      <c r="Q17" s="1813" t="str">
        <f>B17</f>
        <v>商业繁华度</v>
      </c>
      <c r="R17" s="774" t="s">
        <v>17</v>
      </c>
      <c r="S17" s="775">
        <f>F17</f>
        <v>100</v>
      </c>
      <c r="T17" s="774" t="s">
        <v>17</v>
      </c>
      <c r="U17" s="775">
        <f>H17</f>
        <v>100</v>
      </c>
      <c r="V17" s="774" t="s">
        <v>17</v>
      </c>
      <c r="W17" s="775">
        <f>J17</f>
        <v>100</v>
      </c>
      <c r="X17" s="1816"/>
      <c r="Y17" s="3168"/>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71.25">
      <c r="A19" s="428"/>
      <c r="B19" s="451" t="s">
        <v>2685</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8"/>
      <c r="Q19" s="1813" t="str">
        <f>B19</f>
        <v>办公集聚程度</v>
      </c>
      <c r="R19" s="774" t="s">
        <v>17</v>
      </c>
      <c r="S19" s="775">
        <f>F19</f>
        <v>100</v>
      </c>
      <c r="T19" s="774" t="s">
        <v>17</v>
      </c>
      <c r="U19" s="775">
        <f>H19</f>
        <v>100</v>
      </c>
      <c r="V19" s="774" t="s">
        <v>17</v>
      </c>
      <c r="W19" s="775">
        <f>J19</f>
        <v>100</v>
      </c>
      <c r="X19" s="1816"/>
      <c r="Y19" s="3168"/>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68"/>
      <c r="Q20" s="1813"/>
      <c r="R20" s="774"/>
      <c r="S20" s="775"/>
      <c r="T20" s="774"/>
      <c r="U20" s="775"/>
      <c r="V20" s="774"/>
      <c r="W20" s="775"/>
      <c r="X20" s="1816"/>
      <c r="Y20" s="3168"/>
      <c r="Z20" s="1817"/>
      <c r="AA20" s="1814">
        <v>1</v>
      </c>
      <c r="AB20" s="1814">
        <v>1</v>
      </c>
      <c r="AC20" s="1814">
        <v>1</v>
      </c>
    </row>
    <row r="21" spans="1:29" ht="85.5">
      <c r="A21" s="428"/>
      <c r="B21" s="451" t="s">
        <v>2707</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8"/>
      <c r="Q21" s="1813" t="str">
        <f>B21</f>
        <v>交通便捷度</v>
      </c>
      <c r="R21" s="774" t="s">
        <v>17</v>
      </c>
      <c r="S21" s="775">
        <f>F21</f>
        <v>100</v>
      </c>
      <c r="T21" s="774" t="s">
        <v>17</v>
      </c>
      <c r="U21" s="775">
        <f>H21</f>
        <v>100</v>
      </c>
      <c r="V21" s="774" t="s">
        <v>17</v>
      </c>
      <c r="W21" s="775">
        <f>J21</f>
        <v>100</v>
      </c>
      <c r="X21" s="1816"/>
      <c r="Y21" s="3168"/>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8"/>
      <c r="Q23" s="1813" t="str">
        <f t="shared" ref="Q23:Q37" si="8">B23</f>
        <v>区域土地利用方向</v>
      </c>
      <c r="R23" s="774" t="s">
        <v>17</v>
      </c>
      <c r="S23" s="775">
        <f>F23</f>
        <v>100</v>
      </c>
      <c r="T23" s="774" t="s">
        <v>17</v>
      </c>
      <c r="U23" s="775">
        <f>H23</f>
        <v>100</v>
      </c>
      <c r="V23" s="774" t="s">
        <v>17</v>
      </c>
      <c r="W23" s="775">
        <f>J23</f>
        <v>100</v>
      </c>
      <c r="X23" s="1816"/>
      <c r="Y23" s="3168"/>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68"/>
      <c r="Q24" s="1813"/>
      <c r="R24" s="774"/>
      <c r="S24" s="775"/>
      <c r="T24" s="774"/>
      <c r="U24" s="775"/>
      <c r="V24" s="774"/>
      <c r="W24" s="775"/>
      <c r="X24" s="1816"/>
      <c r="Y24" s="3168"/>
      <c r="Z24" s="1817"/>
      <c r="AA24" s="1814"/>
      <c r="AB24" s="1814"/>
      <c r="AC24" s="1814"/>
    </row>
    <row r="25" spans="1:29" ht="57">
      <c r="A25" s="404"/>
      <c r="B25" s="1387" t="s">
        <v>2747</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8"/>
      <c r="Q25" s="1813" t="str">
        <f t="shared" si="8"/>
        <v>自然及人文环境状况</v>
      </c>
      <c r="R25" s="774" t="s">
        <v>17</v>
      </c>
      <c r="S25" s="775">
        <f>F25</f>
        <v>100</v>
      </c>
      <c r="T25" s="774" t="s">
        <v>17</v>
      </c>
      <c r="U25" s="775">
        <f>H25</f>
        <v>100</v>
      </c>
      <c r="V25" s="774" t="s">
        <v>17</v>
      </c>
      <c r="W25" s="775">
        <f>J25</f>
        <v>100</v>
      </c>
      <c r="X25" s="1816"/>
      <c r="Y25" s="3168"/>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68"/>
      <c r="Q26" s="1813"/>
      <c r="R26" s="774"/>
      <c r="S26" s="775"/>
      <c r="T26" s="774"/>
      <c r="U26" s="775"/>
      <c r="V26" s="774"/>
      <c r="W26" s="775"/>
      <c r="X26" s="1816"/>
      <c r="Y26" s="3168"/>
      <c r="Z26" s="1817"/>
      <c r="AA26" s="1814">
        <v>1</v>
      </c>
      <c r="AB26" s="1814">
        <v>1</v>
      </c>
      <c r="AC26" s="1814">
        <v>1</v>
      </c>
    </row>
    <row r="27" spans="1:29" s="117" customFormat="1" ht="42.75">
      <c r="A27" s="649"/>
      <c r="B27" s="1387" t="s">
        <v>2652</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8"/>
      <c r="Q27" s="1798" t="str">
        <f t="shared" si="8"/>
        <v>公共配套设施</v>
      </c>
      <c r="R27" s="770" t="s">
        <v>17</v>
      </c>
      <c r="S27" s="771">
        <f>F27</f>
        <v>100</v>
      </c>
      <c r="T27" s="770" t="s">
        <v>17</v>
      </c>
      <c r="U27" s="771">
        <f>H27</f>
        <v>100</v>
      </c>
      <c r="V27" s="770" t="s">
        <v>17</v>
      </c>
      <c r="W27" s="771">
        <f>J27</f>
        <v>100</v>
      </c>
      <c r="X27" s="772"/>
      <c r="Y27" s="3168"/>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68"/>
      <c r="Q28" s="1798"/>
      <c r="R28" s="770"/>
      <c r="S28" s="771"/>
      <c r="T28" s="770"/>
      <c r="U28" s="771"/>
      <c r="V28" s="770"/>
      <c r="W28" s="771"/>
      <c r="X28" s="772"/>
      <c r="Y28" s="3168"/>
      <c r="Z28" s="55"/>
      <c r="AA28" s="1814">
        <v>1</v>
      </c>
      <c r="AB28" s="1814">
        <v>1</v>
      </c>
      <c r="AC28" s="1814">
        <v>1</v>
      </c>
    </row>
    <row r="29" spans="1:29" s="117" customFormat="1" ht="28.5">
      <c r="A29" s="649"/>
      <c r="B29" s="1387" t="s">
        <v>2653</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8"/>
      <c r="Q29" s="1798" t="str">
        <f t="shared" ref="Q29" si="9">B29</f>
        <v>基础设施水平</v>
      </c>
      <c r="R29" s="770" t="s">
        <v>17</v>
      </c>
      <c r="S29" s="771">
        <f>F29</f>
        <v>100</v>
      </c>
      <c r="T29" s="770" t="s">
        <v>17</v>
      </c>
      <c r="U29" s="771">
        <f>H29</f>
        <v>100</v>
      </c>
      <c r="V29" s="770" t="s">
        <v>17</v>
      </c>
      <c r="W29" s="771">
        <f>J29</f>
        <v>100</v>
      </c>
      <c r="X29" s="772"/>
      <c r="Y29" s="3168"/>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68"/>
      <c r="Q30" s="1798"/>
      <c r="R30" s="770"/>
      <c r="S30" s="771"/>
      <c r="T30" s="770"/>
      <c r="U30" s="771"/>
      <c r="V30" s="770"/>
      <c r="W30" s="771"/>
      <c r="X30" s="772"/>
      <c r="Y30" s="316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8"/>
      <c r="Q32" s="1813" t="str">
        <f t="shared" si="8"/>
        <v>毗邻道路的类型与等级</v>
      </c>
      <c r="R32" s="774" t="s">
        <v>17</v>
      </c>
      <c r="S32" s="775">
        <f t="shared" si="10"/>
        <v>100</v>
      </c>
      <c r="T32" s="774" t="s">
        <v>17</v>
      </c>
      <c r="U32" s="775">
        <f t="shared" si="11"/>
        <v>100</v>
      </c>
      <c r="V32" s="774" t="s">
        <v>17</v>
      </c>
      <c r="W32" s="775">
        <f t="shared" si="12"/>
        <v>100</v>
      </c>
      <c r="X32" s="1816"/>
      <c r="Y32" s="3168"/>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68"/>
      <c r="Q33" s="1813"/>
      <c r="R33" s="774"/>
      <c r="S33" s="775"/>
      <c r="T33" s="774"/>
      <c r="U33" s="775"/>
      <c r="V33" s="774"/>
      <c r="W33" s="775"/>
      <c r="X33" s="1816"/>
      <c r="Y33" s="316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8"/>
      <c r="Q34" s="1813" t="str">
        <f t="shared" si="8"/>
        <v>土地级别</v>
      </c>
      <c r="R34" s="774" t="s">
        <v>17</v>
      </c>
      <c r="S34" s="775">
        <f t="shared" si="10"/>
        <v>100</v>
      </c>
      <c r="T34" s="774" t="s">
        <v>17</v>
      </c>
      <c r="U34" s="775">
        <f t="shared" si="11"/>
        <v>100</v>
      </c>
      <c r="V34" s="774" t="s">
        <v>17</v>
      </c>
      <c r="W34" s="775">
        <f t="shared" si="12"/>
        <v>100</v>
      </c>
      <c r="X34" s="1816"/>
      <c r="Y34" s="316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8"/>
      <c r="Q35" s="1813">
        <f t="shared" si="8"/>
        <v>111</v>
      </c>
      <c r="R35" s="774" t="s">
        <v>17</v>
      </c>
      <c r="S35" s="775">
        <f t="shared" si="10"/>
        <v>100</v>
      </c>
      <c r="T35" s="774" t="s">
        <v>17</v>
      </c>
      <c r="U35" s="775">
        <f t="shared" si="11"/>
        <v>100</v>
      </c>
      <c r="V35" s="774" t="s">
        <v>17</v>
      </c>
      <c r="W35" s="775">
        <f t="shared" si="12"/>
        <v>100</v>
      </c>
      <c r="X35" s="1816"/>
      <c r="Y35" s="316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2" t="s">
        <v>2563</v>
      </c>
      <c r="Q36" s="1813">
        <f t="shared" si="8"/>
        <v>111</v>
      </c>
      <c r="R36" s="774" t="s">
        <v>17</v>
      </c>
      <c r="S36" s="775">
        <f t="shared" si="10"/>
        <v>100</v>
      </c>
      <c r="T36" s="774" t="s">
        <v>17</v>
      </c>
      <c r="U36" s="775">
        <f t="shared" si="11"/>
        <v>100</v>
      </c>
      <c r="V36" s="774" t="s">
        <v>17</v>
      </c>
      <c r="W36" s="775">
        <f t="shared" si="12"/>
        <v>100</v>
      </c>
      <c r="X36" s="1816"/>
      <c r="Y36" s="317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2"/>
      <c r="Q37" s="1813">
        <f t="shared" si="8"/>
        <v>111</v>
      </c>
      <c r="R37" s="777" t="s">
        <v>17</v>
      </c>
      <c r="S37" s="778">
        <f t="shared" si="10"/>
        <v>100</v>
      </c>
      <c r="T37" s="777" t="s">
        <v>17</v>
      </c>
      <c r="U37" s="778">
        <f t="shared" si="11"/>
        <v>100</v>
      </c>
      <c r="V37" s="777" t="s">
        <v>17</v>
      </c>
      <c r="W37" s="778">
        <f t="shared" si="12"/>
        <v>100</v>
      </c>
      <c r="X37" s="779"/>
      <c r="Y37" s="317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2"/>
      <c r="Q38" s="1813" t="str">
        <f>B38</f>
        <v>宗地面积</v>
      </c>
      <c r="R38" s="774" t="s">
        <v>17</v>
      </c>
      <c r="S38" s="775" t="e">
        <f t="shared" si="10"/>
        <v>#N/A</v>
      </c>
      <c r="T38" s="774" t="s">
        <v>17</v>
      </c>
      <c r="U38" s="775" t="e">
        <f t="shared" si="11"/>
        <v>#N/A</v>
      </c>
      <c r="V38" s="774" t="s">
        <v>17</v>
      </c>
      <c r="W38" s="775" t="e">
        <f t="shared" si="12"/>
        <v>#N/A</v>
      </c>
      <c r="X38" s="1816"/>
      <c r="Y38" s="3172"/>
      <c r="Z38" s="1817" t="str">
        <f t="shared" si="13"/>
        <v>宗地面积</v>
      </c>
      <c r="AA38" s="1814" t="e">
        <f t="shared" si="3"/>
        <v>#N/A</v>
      </c>
      <c r="AB38" s="1814" t="e">
        <f t="shared" si="4"/>
        <v>#N/A</v>
      </c>
      <c r="AC38" s="1814" t="e">
        <f t="shared" si="5"/>
        <v>#N/A</v>
      </c>
    </row>
    <row r="39" spans="1:29" ht="15">
      <c r="A39" s="472"/>
      <c r="B39" s="422" t="s">
        <v>2750</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2"/>
      <c r="Q39" s="1813" t="str">
        <f t="shared" ref="Q39:Q45" si="14">B39</f>
        <v>宗地形状</v>
      </c>
      <c r="R39" s="774" t="s">
        <v>17</v>
      </c>
      <c r="S39" s="775">
        <f t="shared" si="10"/>
        <v>100</v>
      </c>
      <c r="T39" s="774" t="s">
        <v>17</v>
      </c>
      <c r="U39" s="775">
        <f t="shared" si="11"/>
        <v>100</v>
      </c>
      <c r="V39" s="774" t="s">
        <v>17</v>
      </c>
      <c r="W39" s="775">
        <f t="shared" si="12"/>
        <v>100</v>
      </c>
      <c r="X39" s="1816"/>
      <c r="Y39" s="3172"/>
      <c r="Z39" s="1817" t="str">
        <f t="shared" si="13"/>
        <v>宗地形状</v>
      </c>
      <c r="AA39" s="1814">
        <f t="shared" si="3"/>
        <v>1</v>
      </c>
      <c r="AB39" s="1814">
        <f t="shared" si="4"/>
        <v>1</v>
      </c>
      <c r="AC39" s="1814">
        <f t="shared" si="5"/>
        <v>1</v>
      </c>
    </row>
    <row r="40" spans="1:29" ht="15">
      <c r="A40" s="472"/>
      <c r="B40" s="422" t="s">
        <v>2751</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2"/>
      <c r="Q40" s="1813" t="str">
        <f t="shared" si="14"/>
        <v>临街宽度及深度</v>
      </c>
      <c r="R40" s="774" t="s">
        <v>17</v>
      </c>
      <c r="S40" s="775">
        <f t="shared" si="10"/>
        <v>100</v>
      </c>
      <c r="T40" s="774" t="s">
        <v>17</v>
      </c>
      <c r="U40" s="775">
        <f t="shared" si="11"/>
        <v>100</v>
      </c>
      <c r="V40" s="774" t="s">
        <v>17</v>
      </c>
      <c r="W40" s="775">
        <f t="shared" si="12"/>
        <v>100</v>
      </c>
      <c r="X40" s="1816"/>
      <c r="Y40" s="3172"/>
      <c r="Z40" s="1817" t="str">
        <f t="shared" si="13"/>
        <v>临街宽度及深度</v>
      </c>
      <c r="AA40" s="1814">
        <f t="shared" si="3"/>
        <v>1</v>
      </c>
      <c r="AB40" s="1814">
        <f t="shared" si="4"/>
        <v>1</v>
      </c>
      <c r="AC40" s="1814">
        <f t="shared" si="5"/>
        <v>1</v>
      </c>
    </row>
    <row r="41" spans="1:29" s="117" customFormat="1" ht="15">
      <c r="A41" s="473"/>
      <c r="B41" s="422" t="s">
        <v>2752</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2"/>
      <c r="Q41" s="1813" t="str">
        <f t="shared" si="14"/>
        <v>宗地开发程度</v>
      </c>
      <c r="R41" s="770" t="s">
        <v>17</v>
      </c>
      <c r="S41" s="771">
        <f t="shared" si="10"/>
        <v>100</v>
      </c>
      <c r="T41" s="770" t="s">
        <v>17</v>
      </c>
      <c r="U41" s="771">
        <f t="shared" si="11"/>
        <v>100</v>
      </c>
      <c r="V41" s="770" t="s">
        <v>17</v>
      </c>
      <c r="W41" s="771">
        <f t="shared" si="12"/>
        <v>100</v>
      </c>
      <c r="X41" s="772"/>
      <c r="Y41" s="3172"/>
      <c r="Z41" s="55" t="str">
        <f t="shared" si="13"/>
        <v>宗地开发程度</v>
      </c>
      <c r="AA41" s="773">
        <f t="shared" si="3"/>
        <v>1</v>
      </c>
      <c r="AB41" s="773">
        <f t="shared" si="4"/>
        <v>1</v>
      </c>
      <c r="AC41" s="773">
        <f t="shared" si="5"/>
        <v>1</v>
      </c>
    </row>
    <row r="42" spans="1:29" ht="15">
      <c r="A42" s="472"/>
      <c r="B42" s="422" t="s">
        <v>2753</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2" t="s">
        <v>2563</v>
      </c>
      <c r="Q42" s="1813" t="str">
        <f t="shared" si="14"/>
        <v>工程地质条件</v>
      </c>
      <c r="R42" s="774" t="s">
        <v>17</v>
      </c>
      <c r="S42" s="775">
        <f t="shared" si="10"/>
        <v>100</v>
      </c>
      <c r="T42" s="774" t="s">
        <v>17</v>
      </c>
      <c r="U42" s="775">
        <f t="shared" si="11"/>
        <v>100</v>
      </c>
      <c r="V42" s="774" t="s">
        <v>17</v>
      </c>
      <c r="W42" s="775">
        <f t="shared" si="12"/>
        <v>100</v>
      </c>
      <c r="X42" s="1816"/>
      <c r="Y42" s="317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2"/>
      <c r="Q43" s="1813">
        <f t="shared" si="14"/>
        <v>111</v>
      </c>
      <c r="R43" s="774" t="s">
        <v>17</v>
      </c>
      <c r="S43" s="775">
        <f t="shared" si="10"/>
        <v>100</v>
      </c>
      <c r="T43" s="774" t="s">
        <v>17</v>
      </c>
      <c r="U43" s="775">
        <f t="shared" si="11"/>
        <v>100</v>
      </c>
      <c r="V43" s="774" t="s">
        <v>17</v>
      </c>
      <c r="W43" s="775">
        <f t="shared" si="12"/>
        <v>100</v>
      </c>
      <c r="X43" s="1816"/>
      <c r="Y43" s="317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2"/>
      <c r="Q44" s="1813">
        <f t="shared" si="14"/>
        <v>111</v>
      </c>
      <c r="R44" s="774" t="s">
        <v>17</v>
      </c>
      <c r="S44" s="775">
        <f t="shared" si="10"/>
        <v>100</v>
      </c>
      <c r="T44" s="774" t="s">
        <v>17</v>
      </c>
      <c r="U44" s="775">
        <f t="shared" si="11"/>
        <v>100</v>
      </c>
      <c r="V44" s="774" t="s">
        <v>17</v>
      </c>
      <c r="W44" s="775">
        <f t="shared" si="12"/>
        <v>100</v>
      </c>
      <c r="X44" s="1816"/>
      <c r="Y44" s="3172"/>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2"/>
      <c r="Q45" s="1813">
        <f t="shared" si="14"/>
        <v>111</v>
      </c>
      <c r="R45" s="777" t="s">
        <v>17</v>
      </c>
      <c r="S45" s="778">
        <f t="shared" si="10"/>
        <v>100</v>
      </c>
      <c r="T45" s="777" t="s">
        <v>17</v>
      </c>
      <c r="U45" s="778">
        <f t="shared" si="11"/>
        <v>100</v>
      </c>
      <c r="V45" s="777" t="s">
        <v>17</v>
      </c>
      <c r="W45" s="778">
        <f t="shared" si="12"/>
        <v>100</v>
      </c>
      <c r="X45" s="779"/>
      <c r="Y45" s="3172"/>
      <c r="Z45" s="780">
        <f t="shared" si="13"/>
        <v>111</v>
      </c>
      <c r="AA45" s="1814">
        <f t="shared" si="3"/>
        <v>1</v>
      </c>
      <c r="AB45" s="1814">
        <f t="shared" si="4"/>
        <v>1</v>
      </c>
      <c r="AC45" s="1814">
        <f t="shared" si="5"/>
        <v>1</v>
      </c>
    </row>
    <row r="46" spans="1:29" ht="15">
      <c r="A46" s="479" t="s">
        <v>2718</v>
      </c>
      <c r="B46" s="2710" t="s">
        <v>2754</v>
      </c>
      <c r="C46" s="682" t="s">
        <v>1</v>
      </c>
      <c r="D46" s="481"/>
      <c r="E46" s="482"/>
      <c r="F46" s="483"/>
      <c r="G46" s="484"/>
      <c r="H46" s="485"/>
      <c r="I46" s="482"/>
      <c r="J46" s="485"/>
      <c r="K46" s="783"/>
      <c r="L46" s="1146"/>
      <c r="M46" s="1147"/>
      <c r="N46" s="1134"/>
      <c r="O46" s="1147"/>
      <c r="P46" s="3160" t="str">
        <f>A46</f>
        <v>成交单价</v>
      </c>
      <c r="Q46" s="3160"/>
      <c r="R46" s="3194">
        <f>E46</f>
        <v>0</v>
      </c>
      <c r="S46" s="3194"/>
      <c r="T46" s="3194">
        <f>G46</f>
        <v>0</v>
      </c>
      <c r="U46" s="3194"/>
      <c r="V46" s="3194">
        <f>I46</f>
        <v>0</v>
      </c>
      <c r="W46" s="3194"/>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60" t="str">
        <f>A47</f>
        <v>比较价值（元/平方米）</v>
      </c>
      <c r="Q47" s="3160"/>
      <c r="R47" s="3243" t="e">
        <f>ROUND(PRODUCT(R46,AA7:AA45),0)</f>
        <v>#DIV/0!</v>
      </c>
      <c r="S47" s="3243"/>
      <c r="T47" s="3243" t="e">
        <f>ROUND(PRODUCT(T46,AB7:AB45),0)</f>
        <v>#DIV/0!</v>
      </c>
      <c r="U47" s="3243"/>
      <c r="V47" s="3243" t="e">
        <f>ROUND(PRODUCT(V46,AC7:AC45),0)</f>
        <v>#DIV/0!</v>
      </c>
      <c r="W47" s="3243"/>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10" t="str">
        <f>A48</f>
        <v>估价对象XX用房的比较价值（楼面单价，元/平方米）</v>
      </c>
      <c r="Q48" s="3211"/>
      <c r="R48" s="3244" t="e">
        <f>ROUND(AVERAGE(R47:V47),0)</f>
        <v>#DIV/0!</v>
      </c>
      <c r="S48" s="3244"/>
      <c r="T48" s="3244"/>
      <c r="U48" s="3244"/>
      <c r="V48" s="3244"/>
      <c r="W48" s="324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1" t="s">
        <v>2758</v>
      </c>
      <c r="D55" s="2712" t="s">
        <v>2759</v>
      </c>
      <c r="E55" s="686" t="s">
        <v>2760</v>
      </c>
      <c r="F55" s="1110" t="s">
        <v>2761</v>
      </c>
      <c r="G55" s="3177" t="s">
        <v>2762</v>
      </c>
      <c r="H55" s="3245"/>
      <c r="I55" s="144" t="s">
        <v>2763</v>
      </c>
      <c r="J55" s="2713">
        <f>项目基本情况!F35</f>
        <v>0</v>
      </c>
      <c r="K55" s="2714" t="s">
        <v>2764</v>
      </c>
      <c r="L55" s="1109"/>
      <c r="M55" s="1147"/>
      <c r="N55" s="1147"/>
      <c r="O55" s="1147"/>
    </row>
    <row r="56" spans="1:15" s="692" customFormat="1">
      <c r="A56" s="688" t="s">
        <v>2765</v>
      </c>
      <c r="B56" s="689" t="e">
        <f>C48</f>
        <v>#DIV/0!</v>
      </c>
      <c r="C56" s="690">
        <v>1</v>
      </c>
      <c r="D56" s="1166">
        <v>1</v>
      </c>
      <c r="E56" s="690">
        <f>'数据-汇总表'!E8+'数据-汇总表'!E9</f>
        <v>263.10000000000002</v>
      </c>
      <c r="F56" s="1106" t="e">
        <f t="shared" ref="F56:F65" si="15">ROUND(B56*E56/10000,0)</f>
        <v>#DIV/0!</v>
      </c>
      <c r="G56" s="3159"/>
      <c r="H56" s="3160"/>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46"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46"/>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46"/>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46"/>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5"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0.25</v>
      </c>
      <c r="D63" s="1167">
        <v>0.25</v>
      </c>
      <c r="E63" s="261">
        <f>'数据-汇总表'!E13</f>
        <v>0</v>
      </c>
      <c r="F63" s="1106" t="e">
        <f t="shared" si="15"/>
        <v>#DIV/0!</v>
      </c>
      <c r="G63" s="1112" t="s">
        <v>2776</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5"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6"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263.10000000000002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7"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8" t="s">
        <v>2781</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77" t="s">
        <v>2644</v>
      </c>
      <c r="D4" s="3178"/>
      <c r="E4" s="3179" t="s">
        <v>2645</v>
      </c>
      <c r="F4" s="3180"/>
      <c r="G4" s="3177" t="s">
        <v>2646</v>
      </c>
      <c r="H4" s="3178"/>
      <c r="I4" s="3177" t="s">
        <v>2647</v>
      </c>
      <c r="J4" s="3178"/>
      <c r="K4" s="610" t="s">
        <v>2648</v>
      </c>
      <c r="L4" s="1133"/>
      <c r="M4" s="1134"/>
      <c r="N4" s="1134"/>
      <c r="O4" s="1134"/>
      <c r="P4" s="3214" t="s">
        <v>2649</v>
      </c>
      <c r="Q4" s="3215"/>
      <c r="R4" s="3218" t="s">
        <v>2645</v>
      </c>
      <c r="S4" s="3219"/>
      <c r="T4" s="3218" t="s">
        <v>2646</v>
      </c>
      <c r="U4" s="3219"/>
      <c r="V4" s="3194" t="s">
        <v>2647</v>
      </c>
      <c r="W4" s="3194"/>
      <c r="X4" s="1816"/>
      <c r="Y4" s="3218" t="s">
        <v>2649</v>
      </c>
      <c r="Z4" s="3219"/>
      <c r="AA4" s="3213" t="s">
        <v>2645</v>
      </c>
      <c r="AB4" s="3206" t="s">
        <v>2646</v>
      </c>
      <c r="AC4" s="3213" t="s">
        <v>2647</v>
      </c>
    </row>
    <row r="5" spans="1:29" ht="15">
      <c r="A5" s="404"/>
      <c r="B5" s="405"/>
      <c r="C5" s="3197" t="s">
        <v>2540</v>
      </c>
      <c r="D5" s="3198"/>
      <c r="E5" s="3208" t="s">
        <v>2541</v>
      </c>
      <c r="F5" s="3209"/>
      <c r="G5" s="3197" t="s">
        <v>2542</v>
      </c>
      <c r="H5" s="3198"/>
      <c r="I5" s="3197" t="s">
        <v>2543</v>
      </c>
      <c r="J5" s="3198"/>
      <c r="K5" s="610"/>
      <c r="L5" s="1133"/>
      <c r="M5" s="1134"/>
      <c r="N5" s="1134"/>
      <c r="O5" s="1134"/>
      <c r="P5" s="3216"/>
      <c r="Q5" s="3184"/>
      <c r="R5" s="3189"/>
      <c r="S5" s="3190"/>
      <c r="T5" s="3189"/>
      <c r="U5" s="3190"/>
      <c r="V5" s="3194"/>
      <c r="W5" s="3194"/>
      <c r="X5" s="1816"/>
      <c r="Y5" s="3189"/>
      <c r="Z5" s="3190"/>
      <c r="AA5" s="3206"/>
      <c r="AB5" s="3206"/>
      <c r="AC5" s="3206"/>
    </row>
    <row r="6" spans="1:29" ht="15.75" thickBot="1">
      <c r="A6" s="406"/>
      <c r="B6" s="407"/>
      <c r="C6" s="3247" t="s">
        <v>2795</v>
      </c>
      <c r="D6" s="3248"/>
      <c r="E6" s="3249" t="s">
        <v>2795</v>
      </c>
      <c r="F6" s="3250"/>
      <c r="G6" s="3247" t="s">
        <v>2795</v>
      </c>
      <c r="H6" s="3248"/>
      <c r="I6" s="3247" t="s">
        <v>2795</v>
      </c>
      <c r="J6" s="3248"/>
      <c r="K6" s="610" t="s">
        <v>2545</v>
      </c>
      <c r="L6" s="1133"/>
      <c r="M6" s="1134"/>
      <c r="N6" s="1134"/>
      <c r="O6" s="1134"/>
      <c r="P6" s="3217"/>
      <c r="Q6" s="3186"/>
      <c r="R6" s="3189"/>
      <c r="S6" s="3190"/>
      <c r="T6" s="3191"/>
      <c r="U6" s="3192"/>
      <c r="V6" s="3194"/>
      <c r="W6" s="3194"/>
      <c r="X6" s="1816"/>
      <c r="Y6" s="3191"/>
      <c r="Z6" s="3192"/>
      <c r="AA6" s="3207"/>
      <c r="AB6" s="3207"/>
      <c r="AC6" s="3207"/>
    </row>
    <row r="7" spans="1:29" s="117" customFormat="1" ht="15.75" thickBot="1">
      <c r="A7" s="408" t="s">
        <v>2546</v>
      </c>
      <c r="B7" s="409"/>
      <c r="C7" s="410">
        <f>'数据-取费表'!B2</f>
        <v>43483</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1" t="s">
        <v>2547</v>
      </c>
      <c r="Q7" s="3202"/>
      <c r="R7" s="770" t="s">
        <v>17</v>
      </c>
      <c r="S7" s="771">
        <f t="shared" ref="S7:S15" si="0">F7</f>
        <v>0</v>
      </c>
      <c r="T7" s="770" t="s">
        <v>17</v>
      </c>
      <c r="U7" s="771">
        <f t="shared" ref="U7:U15" si="1">H7</f>
        <v>0</v>
      </c>
      <c r="V7" s="770" t="s">
        <v>17</v>
      </c>
      <c r="W7" s="771">
        <f t="shared" ref="W7:W15" si="2">J7</f>
        <v>0</v>
      </c>
      <c r="X7" s="772"/>
      <c r="Y7" s="3201" t="s">
        <v>2547</v>
      </c>
      <c r="Z7" s="320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1" t="s">
        <v>2550</v>
      </c>
      <c r="Q8" s="3200"/>
      <c r="R8" s="770" t="s">
        <v>17</v>
      </c>
      <c r="S8" s="771">
        <f t="shared" si="0"/>
        <v>0</v>
      </c>
      <c r="T8" s="770" t="s">
        <v>17</v>
      </c>
      <c r="U8" s="771">
        <f t="shared" si="1"/>
        <v>0</v>
      </c>
      <c r="V8" s="770" t="s">
        <v>17</v>
      </c>
      <c r="W8" s="771">
        <f t="shared" si="2"/>
        <v>0</v>
      </c>
      <c r="X8" s="772"/>
      <c r="Y8" s="3201" t="s">
        <v>2550</v>
      </c>
      <c r="Z8" s="3200"/>
      <c r="AA8" s="773" t="e">
        <f t="shared" ref="AA8:AA40" si="3">D8/F8</f>
        <v>#DIV/0!</v>
      </c>
      <c r="AB8" s="773" t="e">
        <f t="shared" ref="AB8:AB40" si="4">D8/H8</f>
        <v>#DIV/0!</v>
      </c>
      <c r="AC8" s="773" t="e">
        <f t="shared" ref="AC8:AC40" si="5">D8/J8</f>
        <v>#DIV/0!</v>
      </c>
    </row>
    <row r="9" spans="1:29" s="117" customFormat="1">
      <c r="A9" s="415" t="s">
        <v>2551</v>
      </c>
      <c r="B9" s="71" t="s">
        <v>2552</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0" t="s">
        <v>2553</v>
      </c>
      <c r="Q9" s="1798" t="str">
        <f t="shared" ref="Q9:Q15" si="6">B9</f>
        <v>用途</v>
      </c>
      <c r="R9" s="770" t="s">
        <v>17</v>
      </c>
      <c r="S9" s="771">
        <f t="shared" si="0"/>
        <v>100</v>
      </c>
      <c r="T9" s="770" t="s">
        <v>17</v>
      </c>
      <c r="U9" s="771">
        <f t="shared" si="1"/>
        <v>100</v>
      </c>
      <c r="V9" s="770" t="s">
        <v>17</v>
      </c>
      <c r="W9" s="771">
        <f t="shared" si="2"/>
        <v>100</v>
      </c>
      <c r="X9" s="772"/>
      <c r="Y9" s="300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60"/>
      <c r="Q10" s="1798" t="str">
        <f t="shared" si="6"/>
        <v>土地使用年限（年）</v>
      </c>
      <c r="R10" s="770" t="s">
        <v>17</v>
      </c>
      <c r="S10" s="771">
        <f t="shared" si="0"/>
        <v>104</v>
      </c>
      <c r="T10" s="770" t="s">
        <v>17</v>
      </c>
      <c r="U10" s="771">
        <f t="shared" si="1"/>
        <v>104</v>
      </c>
      <c r="V10" s="770" t="s">
        <v>17</v>
      </c>
      <c r="W10" s="771">
        <f t="shared" si="2"/>
        <v>104</v>
      </c>
      <c r="X10" s="772"/>
      <c r="Y10" s="3009"/>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2557</v>
      </c>
      <c r="B15" s="629" t="s">
        <v>2796</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7" t="s">
        <v>2558</v>
      </c>
      <c r="Q15" s="1813" t="str">
        <f t="shared" si="6"/>
        <v>产业集聚程度</v>
      </c>
      <c r="R15" s="774" t="s">
        <v>17</v>
      </c>
      <c r="S15" s="775">
        <f t="shared" si="0"/>
        <v>100</v>
      </c>
      <c r="T15" s="774" t="s">
        <v>17</v>
      </c>
      <c r="U15" s="775">
        <f t="shared" si="1"/>
        <v>100</v>
      </c>
      <c r="V15" s="774" t="s">
        <v>17</v>
      </c>
      <c r="W15" s="775">
        <f t="shared" si="2"/>
        <v>100</v>
      </c>
      <c r="X15" s="1816"/>
      <c r="Y15" s="3167" t="s">
        <v>2558</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68"/>
      <c r="Q16" s="1813"/>
      <c r="R16" s="774"/>
      <c r="S16" s="775"/>
      <c r="T16" s="774"/>
      <c r="U16" s="775"/>
      <c r="V16" s="774"/>
      <c r="W16" s="775"/>
      <c r="X16" s="1816"/>
      <c r="Y16" s="3168"/>
      <c r="Z16" s="1817"/>
      <c r="AA16" s="1814">
        <v>1</v>
      </c>
      <c r="AB16" s="1814">
        <v>1</v>
      </c>
      <c r="AC16" s="1814">
        <v>1</v>
      </c>
    </row>
    <row r="17" spans="1:29" ht="85.5">
      <c r="A17" s="428"/>
      <c r="B17" s="631" t="s">
        <v>2707</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8"/>
      <c r="Q17" s="1813" t="str">
        <f>B17</f>
        <v>交通便捷度</v>
      </c>
      <c r="R17" s="774" t="s">
        <v>17</v>
      </c>
      <c r="S17" s="775">
        <f>F17</f>
        <v>100</v>
      </c>
      <c r="T17" s="774" t="s">
        <v>17</v>
      </c>
      <c r="U17" s="775">
        <f>H17</f>
        <v>100</v>
      </c>
      <c r="V17" s="774" t="s">
        <v>17</v>
      </c>
      <c r="W17" s="775">
        <f>J17</f>
        <v>100</v>
      </c>
      <c r="X17" s="1816"/>
      <c r="Y17" s="3168"/>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68"/>
      <c r="Q18" s="1813"/>
      <c r="R18" s="774"/>
      <c r="S18" s="775"/>
      <c r="T18" s="774"/>
      <c r="U18" s="775"/>
      <c r="V18" s="774"/>
      <c r="W18" s="775"/>
      <c r="X18" s="1816"/>
      <c r="Y18" s="3168"/>
      <c r="Z18" s="1817"/>
      <c r="AA18" s="1814">
        <v>1</v>
      </c>
      <c r="AB18" s="1814">
        <v>1</v>
      </c>
      <c r="AC18" s="1814">
        <v>1</v>
      </c>
    </row>
    <row r="19" spans="1:29" ht="15">
      <c r="A19" s="428"/>
      <c r="B19" s="631" t="s">
        <v>2746</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8"/>
      <c r="Q19" s="1813" t="str">
        <f t="shared" ref="Q19:Q33" si="8">B19</f>
        <v>区域土地利用方向</v>
      </c>
      <c r="R19" s="774" t="s">
        <v>17</v>
      </c>
      <c r="S19" s="775">
        <f>F19</f>
        <v>100</v>
      </c>
      <c r="T19" s="774" t="s">
        <v>17</v>
      </c>
      <c r="U19" s="775">
        <f>H19</f>
        <v>100</v>
      </c>
      <c r="V19" s="774" t="s">
        <v>17</v>
      </c>
      <c r="W19" s="775">
        <f>J19</f>
        <v>100</v>
      </c>
      <c r="X19" s="1816"/>
      <c r="Y19" s="3168"/>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68"/>
      <c r="Q20" s="1813"/>
      <c r="R20" s="774"/>
      <c r="S20" s="775"/>
      <c r="T20" s="774"/>
      <c r="U20" s="775"/>
      <c r="V20" s="774"/>
      <c r="W20" s="775"/>
      <c r="X20" s="1816"/>
      <c r="Y20" s="3168"/>
      <c r="Z20" s="1817"/>
      <c r="AA20" s="1814"/>
      <c r="AB20" s="1814"/>
      <c r="AC20" s="1814"/>
    </row>
    <row r="21" spans="1:29" ht="71.25">
      <c r="A21" s="404"/>
      <c r="B21" s="631" t="s">
        <v>2797</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8"/>
      <c r="Q21" s="1813" t="str">
        <f t="shared" si="8"/>
        <v>环境状况</v>
      </c>
      <c r="R21" s="774" t="s">
        <v>17</v>
      </c>
      <c r="S21" s="775">
        <f>F21</f>
        <v>100</v>
      </c>
      <c r="T21" s="774" t="s">
        <v>17</v>
      </c>
      <c r="U21" s="775">
        <f>H21</f>
        <v>100</v>
      </c>
      <c r="V21" s="774" t="s">
        <v>17</v>
      </c>
      <c r="W21" s="775">
        <f>J21</f>
        <v>100</v>
      </c>
      <c r="X21" s="1816"/>
      <c r="Y21" s="3168"/>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68"/>
      <c r="Q22" s="1813"/>
      <c r="R22" s="774"/>
      <c r="S22" s="775"/>
      <c r="T22" s="774"/>
      <c r="U22" s="775"/>
      <c r="V22" s="774"/>
      <c r="W22" s="775"/>
      <c r="X22" s="1816"/>
      <c r="Y22" s="3168"/>
      <c r="Z22" s="1817"/>
      <c r="AA22" s="1814">
        <v>1</v>
      </c>
      <c r="AB22" s="1814">
        <v>1</v>
      </c>
      <c r="AC22" s="1814">
        <v>1</v>
      </c>
    </row>
    <row r="23" spans="1:29" s="117" customFormat="1" ht="42.75">
      <c r="A23" s="649"/>
      <c r="B23" s="633" t="s">
        <v>2652</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8"/>
      <c r="Q23" s="1798" t="str">
        <f t="shared" si="8"/>
        <v>公共配套设施</v>
      </c>
      <c r="R23" s="770" t="s">
        <v>17</v>
      </c>
      <c r="S23" s="771">
        <f>F23</f>
        <v>100</v>
      </c>
      <c r="T23" s="770" t="s">
        <v>17</v>
      </c>
      <c r="U23" s="771">
        <f>H23</f>
        <v>100</v>
      </c>
      <c r="V23" s="770" t="s">
        <v>17</v>
      </c>
      <c r="W23" s="771">
        <f>J23</f>
        <v>100</v>
      </c>
      <c r="X23" s="772"/>
      <c r="Y23" s="3168"/>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68"/>
      <c r="Q24" s="1798"/>
      <c r="R24" s="770"/>
      <c r="S24" s="771"/>
      <c r="T24" s="770"/>
      <c r="U24" s="771"/>
      <c r="V24" s="770"/>
      <c r="W24" s="771"/>
      <c r="X24" s="772"/>
      <c r="Y24" s="3168"/>
      <c r="Z24" s="55"/>
      <c r="AA24" s="773">
        <v>1</v>
      </c>
      <c r="AB24" s="773">
        <v>1</v>
      </c>
      <c r="AC24" s="773">
        <v>1</v>
      </c>
    </row>
    <row r="25" spans="1:29" s="117" customFormat="1" ht="28.5">
      <c r="A25" s="649"/>
      <c r="B25" s="633" t="s">
        <v>2653</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8"/>
      <c r="Q25" s="1798" t="str">
        <f t="shared" ref="Q25" si="9">B25</f>
        <v>基础设施水平</v>
      </c>
      <c r="R25" s="770" t="s">
        <v>17</v>
      </c>
      <c r="S25" s="771">
        <f>F25</f>
        <v>100</v>
      </c>
      <c r="T25" s="770" t="s">
        <v>17</v>
      </c>
      <c r="U25" s="771">
        <f>H25</f>
        <v>100</v>
      </c>
      <c r="V25" s="770" t="s">
        <v>17</v>
      </c>
      <c r="W25" s="771">
        <f>J25</f>
        <v>100</v>
      </c>
      <c r="X25" s="772"/>
      <c r="Y25" s="3168"/>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68"/>
      <c r="Q26" s="1798"/>
      <c r="R26" s="770"/>
      <c r="S26" s="771"/>
      <c r="T26" s="770"/>
      <c r="U26" s="771"/>
      <c r="V26" s="770"/>
      <c r="W26" s="771"/>
      <c r="X26" s="772"/>
      <c r="Y26" s="316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8"/>
      <c r="Z27" s="1817" t="str">
        <f t="shared" ref="Z27:Z40" si="13">Q27</f>
        <v>临街状况</v>
      </c>
      <c r="AA27" s="1814">
        <f t="shared" si="3"/>
        <v>1</v>
      </c>
      <c r="AB27" s="1814">
        <f t="shared" si="4"/>
        <v>1</v>
      </c>
      <c r="AC27" s="1814">
        <f t="shared" si="5"/>
        <v>1</v>
      </c>
    </row>
    <row r="28" spans="1:29" ht="27">
      <c r="A28" s="428"/>
      <c r="B28" s="633" t="s">
        <v>2689</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8"/>
      <c r="Q28" s="1813" t="str">
        <f t="shared" si="8"/>
        <v>毗邻道路的类型与等级</v>
      </c>
      <c r="R28" s="774" t="s">
        <v>17</v>
      </c>
      <c r="S28" s="775">
        <f t="shared" si="10"/>
        <v>100</v>
      </c>
      <c r="T28" s="774" t="s">
        <v>17</v>
      </c>
      <c r="U28" s="775">
        <f t="shared" si="11"/>
        <v>100</v>
      </c>
      <c r="V28" s="774" t="s">
        <v>17</v>
      </c>
      <c r="W28" s="775">
        <f t="shared" si="12"/>
        <v>100</v>
      </c>
      <c r="X28" s="1816"/>
      <c r="Y28" s="3168"/>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68"/>
      <c r="Q29" s="1813"/>
      <c r="R29" s="774"/>
      <c r="S29" s="775"/>
      <c r="T29" s="774"/>
      <c r="U29" s="775"/>
      <c r="V29" s="774"/>
      <c r="W29" s="775"/>
      <c r="X29" s="1816"/>
      <c r="Y29" s="316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8"/>
      <c r="Q30" s="1813" t="str">
        <f t="shared" si="8"/>
        <v>土地级别</v>
      </c>
      <c r="R30" s="774" t="s">
        <v>17</v>
      </c>
      <c r="S30" s="775">
        <f t="shared" si="10"/>
        <v>100</v>
      </c>
      <c r="T30" s="774" t="s">
        <v>17</v>
      </c>
      <c r="U30" s="775">
        <f t="shared" si="11"/>
        <v>100</v>
      </c>
      <c r="V30" s="774" t="s">
        <v>17</v>
      </c>
      <c r="W30" s="775">
        <f t="shared" si="12"/>
        <v>100</v>
      </c>
      <c r="X30" s="1816"/>
      <c r="Y30" s="3168"/>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8"/>
      <c r="Q31" s="1813">
        <f t="shared" si="8"/>
        <v>111</v>
      </c>
      <c r="R31" s="774" t="s">
        <v>17</v>
      </c>
      <c r="S31" s="775">
        <f t="shared" si="10"/>
        <v>100</v>
      </c>
      <c r="T31" s="774" t="s">
        <v>17</v>
      </c>
      <c r="U31" s="775">
        <f t="shared" si="11"/>
        <v>100</v>
      </c>
      <c r="V31" s="774" t="s">
        <v>17</v>
      </c>
      <c r="W31" s="775">
        <f t="shared" si="12"/>
        <v>100</v>
      </c>
      <c r="X31" s="1816"/>
      <c r="Y31" s="3168"/>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2" t="s">
        <v>2563</v>
      </c>
      <c r="Q32" s="1813">
        <f t="shared" si="8"/>
        <v>111</v>
      </c>
      <c r="R32" s="774" t="s">
        <v>17</v>
      </c>
      <c r="S32" s="775">
        <f t="shared" si="10"/>
        <v>100</v>
      </c>
      <c r="T32" s="774" t="s">
        <v>17</v>
      </c>
      <c r="U32" s="775">
        <f t="shared" si="11"/>
        <v>100</v>
      </c>
      <c r="V32" s="774" t="s">
        <v>17</v>
      </c>
      <c r="W32" s="775">
        <f t="shared" si="12"/>
        <v>100</v>
      </c>
      <c r="X32" s="1816"/>
      <c r="Y32" s="3172" t="s">
        <v>2563</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2"/>
      <c r="Q33" s="1813">
        <f t="shared" si="8"/>
        <v>111</v>
      </c>
      <c r="R33" s="777" t="s">
        <v>17</v>
      </c>
      <c r="S33" s="778">
        <f t="shared" si="10"/>
        <v>100</v>
      </c>
      <c r="T33" s="777" t="s">
        <v>17</v>
      </c>
      <c r="U33" s="778">
        <f t="shared" si="11"/>
        <v>100</v>
      </c>
      <c r="V33" s="777" t="s">
        <v>17</v>
      </c>
      <c r="W33" s="778">
        <f t="shared" si="12"/>
        <v>100</v>
      </c>
      <c r="X33" s="779"/>
      <c r="Y33" s="317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2"/>
      <c r="Q34" s="1813" t="str">
        <f>B34</f>
        <v>宗地面积</v>
      </c>
      <c r="R34" s="774" t="s">
        <v>17</v>
      </c>
      <c r="S34" s="775" t="e">
        <f t="shared" si="10"/>
        <v>#N/A</v>
      </c>
      <c r="T34" s="774" t="s">
        <v>17</v>
      </c>
      <c r="U34" s="775" t="e">
        <f t="shared" si="11"/>
        <v>#N/A</v>
      </c>
      <c r="V34" s="774" t="s">
        <v>17</v>
      </c>
      <c r="W34" s="775" t="e">
        <f t="shared" si="12"/>
        <v>#N/A</v>
      </c>
      <c r="X34" s="1816"/>
      <c r="Y34" s="3172"/>
      <c r="Z34" s="1817" t="str">
        <f t="shared" si="13"/>
        <v>宗地面积</v>
      </c>
      <c r="AA34" s="1814" t="e">
        <f t="shared" si="3"/>
        <v>#N/A</v>
      </c>
      <c r="AB34" s="1814" t="e">
        <f t="shared" si="4"/>
        <v>#N/A</v>
      </c>
      <c r="AC34" s="1814" t="e">
        <f t="shared" si="5"/>
        <v>#N/A</v>
      </c>
    </row>
    <row r="35" spans="1:29" ht="15">
      <c r="A35" s="472"/>
      <c r="B35" s="422" t="s">
        <v>2750</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2"/>
      <c r="Q35" s="1813" t="str">
        <f t="shared" ref="Q35:Q40" si="14">B35</f>
        <v>宗地形状</v>
      </c>
      <c r="R35" s="774" t="s">
        <v>17</v>
      </c>
      <c r="S35" s="775">
        <f t="shared" si="10"/>
        <v>100</v>
      </c>
      <c r="T35" s="774" t="s">
        <v>17</v>
      </c>
      <c r="U35" s="775">
        <f t="shared" si="11"/>
        <v>100</v>
      </c>
      <c r="V35" s="774" t="s">
        <v>17</v>
      </c>
      <c r="W35" s="775">
        <f t="shared" si="12"/>
        <v>100</v>
      </c>
      <c r="X35" s="1816"/>
      <c r="Y35" s="3172"/>
      <c r="Z35" s="1817" t="str">
        <f t="shared" si="13"/>
        <v>宗地形状</v>
      </c>
      <c r="AA35" s="1814">
        <f t="shared" si="3"/>
        <v>1</v>
      </c>
      <c r="AB35" s="1814">
        <f t="shared" si="4"/>
        <v>1</v>
      </c>
      <c r="AC35" s="1814">
        <f t="shared" si="5"/>
        <v>1</v>
      </c>
    </row>
    <row r="36" spans="1:29" s="117" customFormat="1" ht="15">
      <c r="A36" s="473"/>
      <c r="B36" s="422" t="s">
        <v>2752</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2"/>
      <c r="Q36" s="1813" t="str">
        <f t="shared" si="14"/>
        <v>宗地开发程度</v>
      </c>
      <c r="R36" s="770" t="s">
        <v>17</v>
      </c>
      <c r="S36" s="771">
        <f t="shared" si="10"/>
        <v>100</v>
      </c>
      <c r="T36" s="770" t="s">
        <v>17</v>
      </c>
      <c r="U36" s="771">
        <f t="shared" si="11"/>
        <v>100</v>
      </c>
      <c r="V36" s="770" t="s">
        <v>17</v>
      </c>
      <c r="W36" s="771">
        <f t="shared" si="12"/>
        <v>100</v>
      </c>
      <c r="X36" s="772"/>
      <c r="Y36" s="3172"/>
      <c r="Z36" s="55" t="str">
        <f t="shared" si="13"/>
        <v>宗地开发程度</v>
      </c>
      <c r="AA36" s="773">
        <f t="shared" si="3"/>
        <v>1</v>
      </c>
      <c r="AB36" s="773">
        <f t="shared" si="4"/>
        <v>1</v>
      </c>
      <c r="AC36" s="773">
        <f t="shared" si="5"/>
        <v>1</v>
      </c>
    </row>
    <row r="37" spans="1:29" ht="15">
      <c r="A37" s="472"/>
      <c r="B37" s="422" t="s">
        <v>2753</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2" t="s">
        <v>2563</v>
      </c>
      <c r="Q37" s="1813" t="str">
        <f t="shared" si="14"/>
        <v>工程地质条件</v>
      </c>
      <c r="R37" s="774" t="s">
        <v>17</v>
      </c>
      <c r="S37" s="775">
        <f t="shared" si="10"/>
        <v>100</v>
      </c>
      <c r="T37" s="774" t="s">
        <v>17</v>
      </c>
      <c r="U37" s="775">
        <f t="shared" si="11"/>
        <v>100</v>
      </c>
      <c r="V37" s="774" t="s">
        <v>17</v>
      </c>
      <c r="W37" s="775">
        <f t="shared" si="12"/>
        <v>100</v>
      </c>
      <c r="X37" s="1816"/>
      <c r="Y37" s="317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2"/>
      <c r="Q38" s="1813">
        <f t="shared" si="14"/>
        <v>111</v>
      </c>
      <c r="R38" s="774" t="s">
        <v>17</v>
      </c>
      <c r="S38" s="775">
        <f t="shared" si="10"/>
        <v>100</v>
      </c>
      <c r="T38" s="774" t="s">
        <v>17</v>
      </c>
      <c r="U38" s="775">
        <f t="shared" si="11"/>
        <v>100</v>
      </c>
      <c r="V38" s="774" t="s">
        <v>17</v>
      </c>
      <c r="W38" s="775">
        <f t="shared" si="12"/>
        <v>100</v>
      </c>
      <c r="X38" s="1816"/>
      <c r="Y38" s="317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2"/>
      <c r="Q39" s="1813">
        <f t="shared" si="14"/>
        <v>111</v>
      </c>
      <c r="R39" s="774" t="s">
        <v>17</v>
      </c>
      <c r="S39" s="775">
        <f t="shared" si="10"/>
        <v>100</v>
      </c>
      <c r="T39" s="774" t="s">
        <v>17</v>
      </c>
      <c r="U39" s="775">
        <f t="shared" si="11"/>
        <v>100</v>
      </c>
      <c r="V39" s="774" t="s">
        <v>17</v>
      </c>
      <c r="W39" s="775">
        <f t="shared" si="12"/>
        <v>100</v>
      </c>
      <c r="X39" s="1816"/>
      <c r="Y39" s="3172"/>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2"/>
      <c r="Q40" s="1813">
        <f t="shared" si="14"/>
        <v>111</v>
      </c>
      <c r="R40" s="777" t="s">
        <v>17</v>
      </c>
      <c r="S40" s="778">
        <f t="shared" si="10"/>
        <v>100</v>
      </c>
      <c r="T40" s="777" t="s">
        <v>17</v>
      </c>
      <c r="U40" s="778">
        <f t="shared" si="11"/>
        <v>100</v>
      </c>
      <c r="V40" s="777" t="s">
        <v>17</v>
      </c>
      <c r="W40" s="778">
        <f t="shared" si="12"/>
        <v>100</v>
      </c>
      <c r="X40" s="779"/>
      <c r="Y40" s="3172"/>
      <c r="Z40" s="780">
        <f t="shared" si="13"/>
        <v>111</v>
      </c>
      <c r="AA40" s="1814">
        <f t="shared" si="3"/>
        <v>1</v>
      </c>
      <c r="AB40" s="1814">
        <f t="shared" si="4"/>
        <v>1</v>
      </c>
      <c r="AC40" s="1814">
        <f t="shared" si="5"/>
        <v>1</v>
      </c>
    </row>
    <row r="41" spans="1:29" ht="15">
      <c r="A41" s="479" t="s">
        <v>2718</v>
      </c>
      <c r="B41" s="2710" t="s">
        <v>2798</v>
      </c>
      <c r="C41" s="682" t="s">
        <v>1</v>
      </c>
      <c r="D41" s="481"/>
      <c r="E41" s="482"/>
      <c r="F41" s="483"/>
      <c r="G41" s="484"/>
      <c r="H41" s="485"/>
      <c r="I41" s="482"/>
      <c r="J41" s="485"/>
      <c r="K41" s="783"/>
      <c r="L41" s="1146"/>
      <c r="M41" s="1134"/>
      <c r="N41" s="1134"/>
      <c r="O41" s="1147"/>
      <c r="P41" s="3160" t="str">
        <f>A41</f>
        <v>成交单价</v>
      </c>
      <c r="Q41" s="3160"/>
      <c r="R41" s="3194">
        <f>E41</f>
        <v>0</v>
      </c>
      <c r="S41" s="3194"/>
      <c r="T41" s="3194">
        <f>G41</f>
        <v>0</v>
      </c>
      <c r="U41" s="3194"/>
      <c r="V41" s="3194">
        <f>I41</f>
        <v>0</v>
      </c>
      <c r="W41" s="319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60" t="str">
        <f>A42</f>
        <v>比较价值（元/平方米）</v>
      </c>
      <c r="Q42" s="3160"/>
      <c r="R42" s="3243" t="e">
        <f>ROUND(PRODUCT(R41,AA7:AA40),0)</f>
        <v>#DIV/0!</v>
      </c>
      <c r="S42" s="3243"/>
      <c r="T42" s="3243" t="e">
        <f>ROUND(PRODUCT(T41,AB7:AB40),0)</f>
        <v>#DIV/0!</v>
      </c>
      <c r="U42" s="3243"/>
      <c r="V42" s="3243" t="e">
        <f>ROUND(PRODUCT(V41,AC7:AC40),0)</f>
        <v>#DIV/0!</v>
      </c>
      <c r="W42" s="3243"/>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10" t="str">
        <f>A43</f>
        <v>估价对象XX用房的比较价值（楼面单价，元/平方米）</v>
      </c>
      <c r="Q43" s="3211"/>
      <c r="R43" s="3244" t="e">
        <f>ROUND(AVERAGE(R42:V42),0)</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1" t="s">
        <v>2758</v>
      </c>
      <c r="D50" s="2712" t="s">
        <v>2759</v>
      </c>
      <c r="E50" s="686" t="s">
        <v>2760</v>
      </c>
      <c r="F50" s="687" t="s">
        <v>2761</v>
      </c>
      <c r="G50" s="3177" t="s">
        <v>2762</v>
      </c>
      <c r="H50" s="3245"/>
      <c r="I50" s="1817" t="s">
        <v>2799</v>
      </c>
      <c r="J50" s="1817">
        <f>项目基本情况!F35</f>
        <v>0</v>
      </c>
      <c r="K50" s="2714" t="s">
        <v>2764</v>
      </c>
      <c r="L50" s="1109"/>
      <c r="M50" s="1147"/>
      <c r="N50" s="1147"/>
      <c r="O50" s="1147"/>
    </row>
    <row r="51" spans="1:17" s="692" customFormat="1">
      <c r="A51" s="688" t="s">
        <v>2765</v>
      </c>
      <c r="B51" s="689" t="e">
        <f>C43</f>
        <v>#DIV/0!</v>
      </c>
      <c r="C51" s="690">
        <v>1</v>
      </c>
      <c r="D51" s="1166">
        <v>1</v>
      </c>
      <c r="E51" s="690">
        <f>'数据-汇总表'!E8+'数据-汇总表'!E9</f>
        <v>263.10000000000002</v>
      </c>
      <c r="F51" s="691" t="e">
        <f t="shared" ref="F51:F60" si="15">ROUND(B51*E51/10000,0)</f>
        <v>#DIV/0!</v>
      </c>
      <c r="G51" s="3159"/>
      <c r="H51" s="3160"/>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46"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46"/>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46"/>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46"/>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5"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0.25</v>
      </c>
      <c r="D58" s="1167">
        <v>0.25</v>
      </c>
      <c r="E58" s="261">
        <f>'数据-汇总表'!E13</f>
        <v>0</v>
      </c>
      <c r="F58" s="691" t="e">
        <f t="shared" si="15"/>
        <v>#DIV/0!</v>
      </c>
      <c r="G58" s="1112" t="s">
        <v>2776</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5"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6"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7"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2"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D30" sqref="D3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2802</v>
      </c>
      <c r="B1" s="241"/>
      <c r="C1" s="245" t="s">
        <v>2803</v>
      </c>
      <c r="D1" s="388">
        <f>SUM(D29:D30,D33:D39)</f>
        <v>263.10000000000002</v>
      </c>
      <c r="E1" s="2723"/>
      <c r="F1" s="2723"/>
      <c r="G1" s="2723"/>
      <c r="H1" s="2723"/>
      <c r="I1" s="2723"/>
      <c r="J1" s="2723"/>
      <c r="K1" s="1373"/>
      <c r="L1" s="2724" t="s">
        <v>2804</v>
      </c>
      <c r="M1" s="1083">
        <f>SUMPRODUCT((区片价!B5:B9=I2)*(区片价!C3:F3=E2)*(区片价!C5:F9))</f>
        <v>0</v>
      </c>
      <c r="N1" s="1086">
        <f>SUMPRODUCT((因素修正幅度!B5:B9=I2)*(因素修正幅度!C3:F3=E2)*(因素修正幅度!C5:F9))</f>
        <v>0</v>
      </c>
      <c r="O1" s="2725"/>
      <c r="P1" s="2725"/>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1365</v>
      </c>
      <c r="C2" s="2727" t="s">
        <v>2811</v>
      </c>
      <c r="D2" s="2728" t="s">
        <v>2812</v>
      </c>
      <c r="E2" s="2729" t="s">
        <v>3107</v>
      </c>
      <c r="F2" s="2728" t="s">
        <v>2813</v>
      </c>
      <c r="G2" s="2730" t="str">
        <f>IF(E2="商业",项目基本情况!B37,IF(E2="办公",项目基本情况!C37,IF(E2="住宅",项目基本情况!D37,项目基本情况!E37)))</f>
        <v>二级</v>
      </c>
      <c r="H2" s="2728" t="s">
        <v>2814</v>
      </c>
      <c r="I2" s="2730" t="str">
        <f>IF(E2="商业",项目基本情况!B38,IF(E2="办公",项目基本情况!C38,IF(E2="住宅",项目基本情况!D38,项目基本情况!E38)))</f>
        <v>Ⅱ—13</v>
      </c>
      <c r="J2" s="2731"/>
      <c r="K2" s="1373"/>
      <c r="L2" s="2732" t="s">
        <v>2815</v>
      </c>
      <c r="M2" s="1084">
        <f>SUMPRODUCT((区片价!B10:B28=I2)*(区片价!C3:F3=E2)*(区片价!C10:F28))</f>
        <v>22650</v>
      </c>
      <c r="N2" s="1086">
        <f>SUMPRODUCT((因素修正幅度!B10:B28=I2)*(因素修正幅度!C3:F3=E2)*(因素修正幅度!C10:F28))</f>
        <v>9.8000000000000004E-2</v>
      </c>
      <c r="O2" s="1373"/>
      <c r="P2" s="1373"/>
      <c r="Q2" s="1373"/>
      <c r="R2" s="1605">
        <v>1</v>
      </c>
      <c r="S2" s="1605">
        <f>ROUND(IF(G3&gt;1,IF(R2&lt;7,SUMPRODUCT((B93:B98=R2)*(C92:N92=G2)*(C93:N98)),SUMIF(C92:N92,G2,C100:N100)),IF(R2&lt;7,SUMPRODUCT((B102:B107=R2)*(C92:N92=G2)*(C102:N107)),SUMIF(C92:N92,G2,C109:N109))),4)</f>
        <v>1.9361999999999999</v>
      </c>
      <c r="T2" s="1605">
        <f ca="1">ROUND($C$5*$C$18*$C$19*$C$20*S2*$C$24,0)</f>
        <v>102354</v>
      </c>
      <c r="U2" s="1606"/>
      <c r="V2" s="1605">
        <f ca="1">ROUND(T2*U2/10000,0)</f>
        <v>0</v>
      </c>
      <c r="W2" s="1609"/>
      <c r="X2" s="1609"/>
      <c r="Y2" s="1609"/>
      <c r="Z2" s="1609"/>
      <c r="AA2" s="1609"/>
      <c r="AB2" s="1609"/>
      <c r="AC2" s="1610"/>
      <c r="AD2" s="1611"/>
      <c r="AE2" s="1611"/>
      <c r="AF2" s="1611"/>
      <c r="AG2" s="1611"/>
      <c r="AH2" s="1611"/>
      <c r="AI2" s="1611"/>
      <c r="AJ2" s="1612"/>
    </row>
    <row r="3" spans="1:36" ht="25.5">
      <c r="A3" s="247" t="s">
        <v>2816</v>
      </c>
      <c r="B3" s="248">
        <f ca="1">ROUND(B2*10000/D1,0)</f>
        <v>51881</v>
      </c>
      <c r="C3" s="2727" t="s">
        <v>2817</v>
      </c>
      <c r="D3" s="2728" t="s">
        <v>2818</v>
      </c>
      <c r="E3" s="2733" t="s">
        <v>3129</v>
      </c>
      <c r="F3" s="2734" t="s">
        <v>3130</v>
      </c>
      <c r="G3" s="916">
        <f>IF(F3="宗地容积率",'数据-汇总表'!I4,IF(F3="估价对象容积率",'数据-汇总表'!I6,'数据-汇总表'!I7))</f>
        <v>2.7</v>
      </c>
      <c r="H3" s="198" t="s">
        <v>2819</v>
      </c>
      <c r="I3" s="947"/>
      <c r="J3" s="2731" t="s">
        <v>2820</v>
      </c>
      <c r="K3" s="1373"/>
      <c r="L3" s="2732"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75056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4"/>
      <c r="B4" s="3255"/>
      <c r="C4" s="3255"/>
      <c r="D4" s="3256"/>
      <c r="E4" s="3256"/>
      <c r="F4" s="3256"/>
      <c r="G4" s="3256"/>
      <c r="H4" s="3256"/>
      <c r="I4" s="3256"/>
      <c r="J4" s="3257"/>
      <c r="K4" s="1373"/>
      <c r="L4" s="2732"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61290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2823</v>
      </c>
      <c r="C5" s="917">
        <f>ROUND(IF(E2="商业",IF(F16="增加",C6*C7+C16,C6*C7-C16),IF(E2="住宅",IF(F16="增加",C6*C12+C16,C6*C12-C16),IF(F16="增加",C6+C16,C6-C16))),0)</f>
        <v>32888</v>
      </c>
      <c r="D5" s="1790">
        <f>ROUND(IF(F16="增加",C6+C16,C6-C16),0)</f>
        <v>22650</v>
      </c>
      <c r="E5" s="1790"/>
      <c r="F5" s="2737"/>
      <c r="G5" s="2738"/>
      <c r="H5" s="2738"/>
      <c r="I5" s="2738"/>
      <c r="J5" s="2739"/>
      <c r="K5" s="2740"/>
      <c r="L5" s="2732"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50865</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2825</v>
      </c>
      <c r="B6" s="2746" t="s">
        <v>2826</v>
      </c>
      <c r="C6" s="918">
        <f>SUMIF(L1:L12,G2,M1:M12)</f>
        <v>22650</v>
      </c>
      <c r="D6" s="2747" t="s">
        <v>2827</v>
      </c>
      <c r="E6" s="2748"/>
      <c r="F6" s="2748"/>
      <c r="G6" s="2749"/>
      <c r="H6" s="2749"/>
      <c r="I6" s="2749"/>
      <c r="J6" s="2750"/>
      <c r="K6" s="1845"/>
      <c r="L6" s="2732"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44495</v>
      </c>
      <c r="U6" s="1606"/>
      <c r="V6" s="1605">
        <f t="shared" ca="1" si="1"/>
        <v>0</v>
      </c>
      <c r="W6" s="1609"/>
      <c r="X6" s="1609"/>
      <c r="Y6" s="1609"/>
      <c r="Z6" s="1609"/>
      <c r="AA6" s="1609"/>
      <c r="AB6" s="1609"/>
      <c r="AC6" s="2741"/>
      <c r="AD6" s="2742"/>
      <c r="AE6" s="2742"/>
      <c r="AF6" s="2742"/>
      <c r="AG6" s="2742"/>
      <c r="AH6" s="2742"/>
      <c r="AI6" s="2742"/>
      <c r="AJ6" s="2743"/>
    </row>
    <row r="7" spans="1:36" ht="24">
      <c r="A7" s="3258" t="str">
        <f>IF(E2="商业",IF(C8="不临58条商业街","",2),"")</f>
        <v/>
      </c>
      <c r="B7" s="2751" t="s">
        <v>2829</v>
      </c>
      <c r="C7" s="919">
        <f>IF(C8="不临58条商业街",1,ROUND(1+(1.6*E8+1.2*E9+0.8*E10+0.4*E11)*C9,4))</f>
        <v>1</v>
      </c>
      <c r="D7" s="2752" t="s">
        <v>2830</v>
      </c>
      <c r="E7" s="948"/>
      <c r="F7" s="2753"/>
      <c r="G7" s="2754"/>
      <c r="H7" s="2754"/>
      <c r="I7" s="2754"/>
      <c r="J7" s="2755"/>
      <c r="K7" s="1845"/>
      <c r="L7" s="2732"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40219</v>
      </c>
      <c r="U7" s="1606"/>
      <c r="V7" s="1605">
        <f t="shared" ca="1" si="1"/>
        <v>0</v>
      </c>
      <c r="W7" s="1819" t="s">
        <v>2832</v>
      </c>
      <c r="X7" s="1607" t="str">
        <f>G2</f>
        <v>二级</v>
      </c>
      <c r="Y7" s="1607" t="s">
        <v>2833</v>
      </c>
      <c r="Z7" s="1608">
        <f>G3</f>
        <v>2.7</v>
      </c>
      <c r="AA7" s="1609"/>
      <c r="AB7" s="1609"/>
      <c r="AC7" s="1610"/>
      <c r="AD7" s="1611"/>
      <c r="AE7" s="1611"/>
      <c r="AF7" s="1611"/>
      <c r="AG7" s="1611"/>
      <c r="AH7" s="1611"/>
      <c r="AI7" s="1611"/>
      <c r="AJ7" s="1612"/>
    </row>
    <row r="8" spans="1:36" ht="25.5">
      <c r="A8" s="3259"/>
      <c r="B8" s="198" t="s">
        <v>2834</v>
      </c>
      <c r="C8" s="2756" t="s">
        <v>3131</v>
      </c>
      <c r="D8" s="920" t="s">
        <v>139</v>
      </c>
      <c r="E8" s="921" t="e">
        <f>ROUND(C11/E7,4)</f>
        <v>#DIV/0!</v>
      </c>
      <c r="F8" s="2757" t="s">
        <v>2835</v>
      </c>
      <c r="G8" s="2758"/>
      <c r="H8" s="2758"/>
      <c r="I8" s="2758"/>
      <c r="J8" s="2759"/>
      <c r="K8" s="1373"/>
      <c r="L8" s="2732"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1" t="s">
        <v>2837</v>
      </c>
      <c r="X8" s="3252"/>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9"/>
      <c r="B9" s="198" t="s">
        <v>2850</v>
      </c>
      <c r="C9" s="922">
        <f>SUMIF(修正!C59:C119,C8,修正!E59:E119)</f>
        <v>0</v>
      </c>
      <c r="D9" s="200" t="s">
        <v>140</v>
      </c>
      <c r="E9" s="200" t="e">
        <f>ROUND(C11/E7,4)</f>
        <v>#DIV/0!</v>
      </c>
      <c r="F9" s="2757" t="s">
        <v>2851</v>
      </c>
      <c r="G9" s="2758"/>
      <c r="H9" s="2758"/>
      <c r="I9" s="2758"/>
      <c r="J9" s="2759"/>
      <c r="K9" s="1373"/>
      <c r="L9" s="2732"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3"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9"/>
      <c r="B10" s="198" t="s">
        <v>2855</v>
      </c>
      <c r="C10" s="200">
        <f>SUMIF(修正!C59:C119,C8,修正!F59:F119)</f>
        <v>0</v>
      </c>
      <c r="D10" s="200" t="s">
        <v>141</v>
      </c>
      <c r="E10" s="200" t="e">
        <f>ROUND(C11/E7,4)</f>
        <v>#DIV/0!</v>
      </c>
      <c r="F10" s="2757" t="s">
        <v>2856</v>
      </c>
      <c r="G10" s="2758"/>
      <c r="H10" s="2758"/>
      <c r="I10" s="2758"/>
      <c r="J10" s="2759"/>
      <c r="K10" s="1373"/>
      <c r="L10" s="2732"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9"/>
      <c r="B11" s="2760" t="s">
        <v>2858</v>
      </c>
      <c r="C11" s="923">
        <f>C10/4</f>
        <v>0</v>
      </c>
      <c r="D11" s="923" t="s">
        <v>142</v>
      </c>
      <c r="E11" s="923" t="e">
        <f>ROUND(C11/E7,4)</f>
        <v>#DIV/0!</v>
      </c>
      <c r="F11" s="2761" t="s">
        <v>2859</v>
      </c>
      <c r="G11" s="2762"/>
      <c r="H11" s="2762"/>
      <c r="I11" s="2762"/>
      <c r="J11" s="2763"/>
      <c r="K11" s="1373"/>
      <c r="L11" s="2732"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3" t="s">
        <v>2861</v>
      </c>
      <c r="X11" s="1617" t="s">
        <v>2862</v>
      </c>
      <c r="Y11" s="1618">
        <f>$G$3</f>
        <v>2.7</v>
      </c>
      <c r="Z11" s="1618">
        <f t="shared" ref="Z11:AJ11" si="3">$G$3</f>
        <v>2.7</v>
      </c>
      <c r="AA11" s="1618">
        <f t="shared" si="3"/>
        <v>2.7</v>
      </c>
      <c r="AB11" s="1618">
        <f t="shared" si="3"/>
        <v>2.7</v>
      </c>
      <c r="AC11" s="1618">
        <f t="shared" si="3"/>
        <v>2.7</v>
      </c>
      <c r="AD11" s="1618">
        <f t="shared" si="3"/>
        <v>2.7</v>
      </c>
      <c r="AE11" s="1618">
        <f t="shared" si="3"/>
        <v>2.7</v>
      </c>
      <c r="AF11" s="1618">
        <f t="shared" si="3"/>
        <v>2.7</v>
      </c>
      <c r="AG11" s="1618">
        <f t="shared" si="3"/>
        <v>2.7</v>
      </c>
      <c r="AH11" s="1618">
        <f t="shared" si="3"/>
        <v>2.7</v>
      </c>
      <c r="AI11" s="1618">
        <f t="shared" si="3"/>
        <v>2.7</v>
      </c>
      <c r="AJ11" s="1618">
        <f t="shared" si="3"/>
        <v>2.7</v>
      </c>
    </row>
    <row r="12" spans="1:36" ht="25.5" thickBot="1">
      <c r="A12" s="3258" t="s">
        <v>2863</v>
      </c>
      <c r="B12" s="2764" t="s">
        <v>2864</v>
      </c>
      <c r="C12" s="919">
        <f>ROUND(C15*D15*E15*F15*G15*H15*I15*J15,4)</f>
        <v>1.452</v>
      </c>
      <c r="D12" s="2765" t="s">
        <v>2865</v>
      </c>
      <c r="E12" s="2766"/>
      <c r="F12" s="2766"/>
      <c r="G12" s="2767"/>
      <c r="H12" s="2767"/>
      <c r="I12" s="2767"/>
      <c r="J12" s="2768"/>
      <c r="K12" s="1373"/>
      <c r="L12" s="2769"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3"/>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70" t="s">
        <v>2868</v>
      </c>
      <c r="C13" s="2771" t="s">
        <v>2869</v>
      </c>
      <c r="D13" s="1811" t="s">
        <v>2870</v>
      </c>
      <c r="E13" s="1811" t="s">
        <v>2871</v>
      </c>
      <c r="F13" s="30" t="s">
        <v>2872</v>
      </c>
      <c r="G13" s="2772" t="s">
        <v>2873</v>
      </c>
      <c r="H13" s="2772" t="s">
        <v>2873</v>
      </c>
      <c r="I13" s="2772" t="s">
        <v>2873</v>
      </c>
      <c r="J13" s="2773" t="s">
        <v>2873</v>
      </c>
      <c r="K13" s="1373"/>
      <c r="L13" s="1373"/>
      <c r="M13" s="1373"/>
      <c r="N13" s="1373"/>
      <c r="O13" s="1373"/>
      <c r="P13" s="1373"/>
      <c r="Q13" s="1373"/>
      <c r="R13" s="1605">
        <v>12</v>
      </c>
      <c r="S13" s="1606"/>
      <c r="T13" s="1605">
        <f t="shared" ca="1" si="0"/>
        <v>0</v>
      </c>
      <c r="U13" s="1606"/>
      <c r="V13" s="1605">
        <f t="shared" ca="1" si="1"/>
        <v>0</v>
      </c>
      <c r="W13" s="3253"/>
      <c r="X13" s="1619"/>
      <c r="Y13" s="1616">
        <f>(-0.163*(Y12^2)-0.59*Y12+7617)*(10^(-4))/Y11</f>
        <v>0.28211111111111109</v>
      </c>
      <c r="Z13" s="1616">
        <f t="shared" ref="Z13:AJ13" si="5">(-0.163*(Z12^2)-0.59*Z12+7617)*(10^(-4))/Z11</f>
        <v>0.28211111111111109</v>
      </c>
      <c r="AA13" s="1616">
        <f t="shared" si="5"/>
        <v>0.28211111111111109</v>
      </c>
      <c r="AB13" s="1616">
        <f t="shared" si="5"/>
        <v>0.28211111111111109</v>
      </c>
      <c r="AC13" s="1616">
        <f t="shared" si="5"/>
        <v>0.28211111111111109</v>
      </c>
      <c r="AD13" s="1616">
        <f t="shared" si="5"/>
        <v>0.28211111111111109</v>
      </c>
      <c r="AE13" s="1616">
        <f t="shared" si="5"/>
        <v>0.28211111111111109</v>
      </c>
      <c r="AF13" s="1616">
        <f t="shared" si="5"/>
        <v>0.28211111111111109</v>
      </c>
      <c r="AG13" s="1616">
        <f t="shared" si="5"/>
        <v>0.28211111111111109</v>
      </c>
      <c r="AH13" s="1616">
        <f t="shared" si="5"/>
        <v>0.28211111111111109</v>
      </c>
      <c r="AI13" s="1616">
        <f t="shared" si="5"/>
        <v>0.28211111111111109</v>
      </c>
      <c r="AJ13" s="1616">
        <f t="shared" si="5"/>
        <v>0.28211111111111109</v>
      </c>
    </row>
    <row r="14" spans="1:36" ht="15">
      <c r="A14" s="3260"/>
      <c r="B14" s="2774"/>
      <c r="C14" s="2775" t="s">
        <v>3132</v>
      </c>
      <c r="D14" s="2776" t="s">
        <v>3133</v>
      </c>
      <c r="E14" s="2776" t="s">
        <v>3133</v>
      </c>
      <c r="F14" s="2777" t="s">
        <v>3134</v>
      </c>
      <c r="G14" s="2778" t="s">
        <v>2874</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1"/>
      <c r="B15" s="2782" t="s">
        <v>2875</v>
      </c>
      <c r="C15" s="229">
        <f>IF(C14="有",1.1,1)</f>
        <v>1</v>
      </c>
      <c r="D15" s="229">
        <f>IF(D14="有",1.1,1)</f>
        <v>1.1000000000000001</v>
      </c>
      <c r="E15" s="229">
        <f>IF(E14="有",1.1,1)</f>
        <v>1.1000000000000001</v>
      </c>
      <c r="F15" s="229">
        <f>IF(F14="500米范围内",1.2,IF(F14="500-1000米",1.1,1))</f>
        <v>1.2</v>
      </c>
      <c r="G15" s="949">
        <v>1</v>
      </c>
      <c r="H15" s="949">
        <v>1</v>
      </c>
      <c r="I15" s="949">
        <v>1</v>
      </c>
      <c r="J15" s="950">
        <v>1</v>
      </c>
      <c r="K15" s="1373"/>
      <c r="L15" s="2783" t="s">
        <v>2812</v>
      </c>
      <c r="M15" s="920" t="s">
        <v>2876</v>
      </c>
      <c r="N15" s="920" t="s">
        <v>2877</v>
      </c>
      <c r="O15" s="920" t="s">
        <v>2878</v>
      </c>
      <c r="P15" s="2784"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8" t="s">
        <v>2880</v>
      </c>
      <c r="B16" s="2751" t="s">
        <v>2881</v>
      </c>
      <c r="C16" s="1804">
        <f>ROUND(SUM(G17:J17)/C17,0)</f>
        <v>0</v>
      </c>
      <c r="D16" s="2785" t="s">
        <v>2882</v>
      </c>
      <c r="E16" s="2786" t="s">
        <v>3135</v>
      </c>
      <c r="F16" s="2787" t="s">
        <v>3136</v>
      </c>
      <c r="G16" s="2788"/>
      <c r="H16" s="2788"/>
      <c r="I16" s="2788"/>
      <c r="J16" s="2789"/>
      <c r="K16" s="1373"/>
      <c r="L16" s="2790"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9"/>
      <c r="B17" s="2791" t="s">
        <v>2884</v>
      </c>
      <c r="C17" s="924">
        <f>SUMPRODUCT((修正!A2:A5=E2)*(修正!B1:M1=G2)*(修正!B2:M5))</f>
        <v>2.5</v>
      </c>
      <c r="D17" s="2792"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2888</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2889</v>
      </c>
      <c r="C19" s="927">
        <f>ROUND(IF(H19="按公示增长率计算",SUMPRODUCT((地价!A3:A25=YEAR(G19)&amp;"-"&amp;ROUNDUP(MONTH(G19)/3,0))*(地价!X2:AB2=E2)*(地价!X3:AB25)),IF(H19="地价指数",M20/M19,(1+I19)^O19)),4)</f>
        <v>1.5531999999999999</v>
      </c>
      <c r="D19" s="2803" t="s">
        <v>2890</v>
      </c>
      <c r="E19" s="928">
        <v>41640</v>
      </c>
      <c r="F19" s="2803" t="s">
        <v>2891</v>
      </c>
      <c r="G19" s="929">
        <f>'数据-取费表'!B2</f>
        <v>43483</v>
      </c>
      <c r="H19" s="2804" t="s">
        <v>2892</v>
      </c>
      <c r="I19" s="930" t="str">
        <f>IF(H19="季度增幅（自定义）",SUMIF(N21:N24,E2,O21:O24),"")</f>
        <v/>
      </c>
      <c r="J19" s="2801"/>
      <c r="K19" s="1380"/>
      <c r="L19" s="2805" t="s">
        <v>2893</v>
      </c>
      <c r="M19" s="1737">
        <f>ROUND(SUMIF(地价!B2:F2,E2,地价!B25:F25),0)</f>
        <v>423</v>
      </c>
      <c r="N19" s="2806"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2895</v>
      </c>
      <c r="C20" s="932">
        <f ca="1">ROUND(POWER(1+G20,J20-I20)*(POWER(1+G20,I20)-1)/(POWER(1+G20,J20)-1),4)</f>
        <v>0.96989999999999998</v>
      </c>
      <c r="D20" s="2812" t="s">
        <v>2896</v>
      </c>
      <c r="E20" s="1771">
        <f ca="1">存贷款利率!D4/100</f>
        <v>4.3499999999999997E-2</v>
      </c>
      <c r="F20" s="2812" t="s">
        <v>2887</v>
      </c>
      <c r="G20" s="937">
        <f ca="1">SUMIF(M15:P15,E2,M17:P17)</f>
        <v>0.05</v>
      </c>
      <c r="H20" s="2812" t="s">
        <v>2897</v>
      </c>
      <c r="I20" s="938">
        <f>SUMIF('数据-取费表'!C6:C15,E2,'数据-取费表'!F6:F15)/COUNTIF('数据-取费表'!C6:C15,E2)</f>
        <v>57</v>
      </c>
      <c r="J20" s="939">
        <f>IF(E2="住宅",70,IF(E2="商业",40,50))</f>
        <v>70</v>
      </c>
      <c r="K20" s="1380"/>
      <c r="L20" s="2813" t="s">
        <v>2898</v>
      </c>
      <c r="M20" s="1738">
        <f>ROUND(SUMPRODUCT((地价!A4:A25=YEAR(G19)&amp;"-"&amp;ROUNDUP(MONTH(G19)/3,0))*(地价!B2:F2=E2)*(地价!B4:F25)),0)</f>
        <v>657</v>
      </c>
      <c r="N20" s="2814" t="s">
        <v>2899</v>
      </c>
      <c r="O20" s="2815" t="s">
        <v>2900</v>
      </c>
      <c r="P20" s="2816" t="s">
        <v>2901</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3137</v>
      </c>
      <c r="C21" s="940">
        <f>IF(B21="容积率修正",IF(G3&lt;=10,D22,J22),C23)</f>
        <v>0.98109999999999997</v>
      </c>
      <c r="D21" s="2819"/>
      <c r="E21" s="2819"/>
      <c r="F21" s="2819"/>
      <c r="G21" s="2819"/>
      <c r="H21" s="2819"/>
      <c r="I21" s="2819"/>
      <c r="J21" s="2820"/>
      <c r="K21" s="1380"/>
      <c r="N21" s="2821" t="s">
        <v>2902</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4" customFormat="1" ht="14.25">
      <c r="A22" s="2670" t="s">
        <v>2903</v>
      </c>
      <c r="B22" s="2822" t="s">
        <v>2904</v>
      </c>
      <c r="C22" s="1813" t="s">
        <v>2905</v>
      </c>
      <c r="D22" s="1813">
        <f>IF(E22=G22,F22,IF(G3&lt;=10,ROUND(F22+(H22-F22)*(G3-E22)/(G22-E22),4),"——"))</f>
        <v>0.98109999999999997</v>
      </c>
      <c r="E22" s="916">
        <f>ROUNDDOWN(G3,1)</f>
        <v>2.7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0.98109999999999997</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0.98109999999999997</v>
      </c>
      <c r="I22" s="1813" t="s">
        <v>155</v>
      </c>
      <c r="J22" s="941" t="str">
        <f>IF(G3&gt;10,D113,"——")</f>
        <v>——</v>
      </c>
      <c r="K22" s="1380"/>
      <c r="N22" s="2821" t="s">
        <v>2906</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70" t="s">
        <v>2907</v>
      </c>
      <c r="B23" s="2823" t="s">
        <v>2908</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2909</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2910</v>
      </c>
      <c r="C24" s="927">
        <f>SUMIF(A45:A88,E2,B45:B88)</f>
        <v>1.0669999999999999</v>
      </c>
      <c r="D24" s="2799"/>
      <c r="E24" s="2829"/>
      <c r="F24" s="2829"/>
      <c r="G24" s="2829"/>
      <c r="H24" s="2829"/>
      <c r="I24" s="2829"/>
      <c r="J24" s="2830"/>
      <c r="K24" s="1380"/>
      <c r="N24" s="2831" t="s">
        <v>2911</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2912</v>
      </c>
      <c r="C25" s="933"/>
      <c r="D25" s="2754"/>
      <c r="E25" s="2754"/>
      <c r="F25" s="2833"/>
      <c r="G25" s="2754"/>
      <c r="H25" s="2754"/>
      <c r="I25" s="2754"/>
      <c r="J25" s="2755"/>
      <c r="K25" s="1373"/>
      <c r="N25" s="2834" t="s">
        <v>2913</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5"/>
      <c r="B26" s="2822" t="s">
        <v>2914</v>
      </c>
      <c r="C26" s="206">
        <f ca="1">E29+SUM(E33:E39)</f>
        <v>1365</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2915</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2916</v>
      </c>
      <c r="C28" s="2846" t="s">
        <v>2917</v>
      </c>
      <c r="D28" s="2846" t="s">
        <v>2918</v>
      </c>
      <c r="E28" s="2847" t="s">
        <v>2919</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2920</v>
      </c>
      <c r="C29" s="206">
        <f ca="1">ROUND(C5*C18*C19*C20*C21*C24,0)</f>
        <v>51864</v>
      </c>
      <c r="D29" s="2851">
        <f>'数据-基础表'!I13</f>
        <v>263.10000000000002</v>
      </c>
      <c r="E29" s="945">
        <f ca="1">ROUND(C29*D29/10000,0)</f>
        <v>1365</v>
      </c>
      <c r="F29" s="2852" t="s">
        <v>2921</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2922</v>
      </c>
      <c r="C30" s="229">
        <f ca="1">ROUND(IF(E2="工业",C29*M39,C29*M38),0)</f>
        <v>12966</v>
      </c>
      <c r="D30" s="2857"/>
      <c r="E30" s="945">
        <f ca="1">ROUND(C30*D30/10000,0)</f>
        <v>0</v>
      </c>
      <c r="F30" s="2858" t="s">
        <v>2923</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2924</v>
      </c>
      <c r="C31" s="2863" t="s">
        <v>2925</v>
      </c>
      <c r="D31" s="2767"/>
      <c r="E31" s="2863"/>
      <c r="F31" s="2863"/>
      <c r="G31" s="2765" t="s">
        <v>2926</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2917</v>
      </c>
      <c r="D32" s="498" t="s">
        <v>2918</v>
      </c>
      <c r="E32" s="498" t="s">
        <v>2919</v>
      </c>
      <c r="F32" s="388" t="s">
        <v>2927</v>
      </c>
      <c r="G32" s="2866" t="s">
        <v>2917</v>
      </c>
      <c r="H32" s="2866" t="s">
        <v>2918</v>
      </c>
      <c r="I32" s="2866"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8" t="s">
        <v>2928</v>
      </c>
      <c r="B33" s="2867" t="s">
        <v>2929</v>
      </c>
      <c r="C33" s="206">
        <f ca="1">ROUND(D5*C19*C20*C24*F33,0)</f>
        <v>29126</v>
      </c>
      <c r="D33" s="2851"/>
      <c r="E33" s="200">
        <f ca="1">ROUND(C33*D33/10000,0)</f>
        <v>0</v>
      </c>
      <c r="F33" s="200">
        <f>SUMIF(修正!A45:A56,G2,修正!B45:B56)</f>
        <v>0.8</v>
      </c>
      <c r="G33" s="200">
        <f t="shared" ref="G33" ca="1" si="6">ROUND(IF(E2="工业",C33*$M$39,C33*$M$38),0)</f>
        <v>7282</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71" t="s">
        <v>2930</v>
      </c>
      <c r="C34" s="206">
        <f ca="1">ROUND(D5*C19*C20*C24*F34,0)</f>
        <v>18204</v>
      </c>
      <c r="D34" s="2851"/>
      <c r="E34" s="200">
        <f t="shared" ref="E34:E39" ca="1" si="7">ROUND(C34*D34/10000,0)</f>
        <v>0</v>
      </c>
      <c r="F34" s="200">
        <f>SUMIF(修正!A45:A56,G2,修正!C45:C56)</f>
        <v>0.5</v>
      </c>
      <c r="G34" s="200">
        <f ca="1">ROUND(IF(E2="工业",C34*$M$39,C34*$M$38),0)</f>
        <v>4551</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71" t="s">
        <v>2931</v>
      </c>
      <c r="C35" s="206">
        <f ca="1">ROUND(D5*C19*C20*C24*F35,0)</f>
        <v>13107</v>
      </c>
      <c r="D35" s="2851"/>
      <c r="E35" s="200">
        <f t="shared" ca="1" si="7"/>
        <v>0</v>
      </c>
      <c r="F35" s="200">
        <f>SUMIF(修正!A45:A56,G2,修正!D45:D56)</f>
        <v>0.36</v>
      </c>
      <c r="G35" s="200">
        <f ca="1">ROUND(IF(E2="工业",C35*$M$39,C35*$M$38),0)</f>
        <v>3277</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70"/>
      <c r="B36" s="2771" t="s">
        <v>2932</v>
      </c>
      <c r="C36" s="206">
        <f ca="1">ROUND(D5*C19*C20*C24*F36,0)</f>
        <v>10922</v>
      </c>
      <c r="D36" s="2851"/>
      <c r="E36" s="200">
        <f t="shared" ca="1" si="7"/>
        <v>0</v>
      </c>
      <c r="F36" s="200">
        <f>SUMIF(修正!A45:A56,G2,修正!E45:E56)</f>
        <v>0.3</v>
      </c>
      <c r="G36" s="200">
        <f ca="1">ROUND(IF(E2="工业",C36*$M$39,C36*$M$38),0)</f>
        <v>2731</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2933</v>
      </c>
      <c r="C37" s="200">
        <f ca="1">ROUND(D5*C19*C20*C24*F37,0)</f>
        <v>10922</v>
      </c>
      <c r="D37" s="2851"/>
      <c r="E37" s="200">
        <f t="shared" ca="1" si="7"/>
        <v>0</v>
      </c>
      <c r="F37" s="206">
        <f>SUMIF(修正!A45:A56,G2,修正!F45:F56)</f>
        <v>0.3</v>
      </c>
      <c r="G37" s="200">
        <f ca="1">ROUND(IF(E2="工业",C37*$M$39,C37*$M$38),0)</f>
        <v>2731</v>
      </c>
      <c r="H37" s="200">
        <f t="shared" si="8"/>
        <v>0</v>
      </c>
      <c r="I37" s="200">
        <f t="shared" ca="1" si="9"/>
        <v>0</v>
      </c>
      <c r="J37" s="2868"/>
      <c r="K37" s="1373"/>
      <c r="L37" s="2870" t="s">
        <v>2934</v>
      </c>
      <c r="M37" s="2871"/>
      <c r="N37" s="1373"/>
      <c r="O37" s="1373"/>
      <c r="P37" s="1373"/>
      <c r="Q37" s="1373"/>
      <c r="R37" s="1373"/>
      <c r="S37" s="1373"/>
      <c r="T37" s="1373"/>
      <c r="U37" s="1373"/>
      <c r="V37" s="1373"/>
      <c r="W37" s="1373"/>
      <c r="X37" s="1373"/>
      <c r="Y37" s="1373"/>
      <c r="Z37" s="1374"/>
    </row>
    <row r="38" spans="1:37">
      <c r="A38" s="2869"/>
      <c r="B38" s="2771" t="s">
        <v>2935</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2936</v>
      </c>
      <c r="M38" s="2872">
        <v>0.25</v>
      </c>
      <c r="N38" s="1373"/>
      <c r="O38" s="1373"/>
      <c r="P38" s="1373"/>
      <c r="Q38" s="1373"/>
      <c r="R38" s="1373"/>
      <c r="S38" s="1373"/>
      <c r="T38" s="1373"/>
      <c r="U38" s="1373"/>
      <c r="V38" s="1373"/>
      <c r="W38" s="1373"/>
      <c r="X38" s="1373"/>
      <c r="Y38" s="1373"/>
      <c r="Z38" s="1374"/>
    </row>
    <row r="39" spans="1:37" ht="13.5" thickBot="1">
      <c r="A39" s="2855"/>
      <c r="B39" s="2873" t="s">
        <v>2937</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2879</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3048</v>
      </c>
      <c r="C41" s="388">
        <f ca="1">ROUND(POWER(1+E41,H41-G41)*(POWER(1+E41,G41)-1)/(POWER(1+E41,H41)-1),4)</f>
        <v>0</v>
      </c>
      <c r="D41" s="200" t="s">
        <v>2887</v>
      </c>
      <c r="E41" s="2943">
        <f ca="1">G20</f>
        <v>0.05</v>
      </c>
      <c r="F41" s="200" t="s">
        <v>2897</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2938</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2939</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2940</v>
      </c>
      <c r="B47" s="1812" t="s">
        <v>2941</v>
      </c>
      <c r="C47" s="1812" t="s">
        <v>2942</v>
      </c>
      <c r="D47" s="1812" t="s">
        <v>2943</v>
      </c>
      <c r="E47" s="819" t="s">
        <v>2944</v>
      </c>
      <c r="F47" s="2885" t="s">
        <v>2945</v>
      </c>
      <c r="G47" s="1812" t="s">
        <v>754</v>
      </c>
      <c r="H47" s="2886"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4" t="s">
        <v>2948</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2949</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2950</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2951</v>
      </c>
      <c r="B51" s="2889" t="s">
        <v>2952</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2953</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2954</v>
      </c>
      <c r="B53" s="2890" t="s">
        <v>2955</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2956</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2957</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2958</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2959</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2940</v>
      </c>
      <c r="B58" s="1812"/>
      <c r="C58" s="1812" t="s">
        <v>2942</v>
      </c>
      <c r="D58" s="1812" t="s">
        <v>2943</v>
      </c>
      <c r="E58" s="819" t="s">
        <v>2944</v>
      </c>
      <c r="F58" s="2885" t="s">
        <v>2960</v>
      </c>
      <c r="G58" s="1812" t="s">
        <v>754</v>
      </c>
      <c r="H58" s="2886"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4" t="s">
        <v>2961</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2949</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2950</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2951</v>
      </c>
      <c r="B62" s="2889" t="s">
        <v>2952</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2953</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2954</v>
      </c>
      <c r="B64" s="2890" t="s">
        <v>2955</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2956</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2957</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2958</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2962</v>
      </c>
      <c r="B68" s="2881">
        <f>1+E70</f>
        <v>1.0669999999999999</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2940</v>
      </c>
      <c r="B69" s="1812"/>
      <c r="C69" s="1812" t="s">
        <v>2942</v>
      </c>
      <c r="D69" s="1812" t="s">
        <v>2943</v>
      </c>
      <c r="E69" s="819" t="s">
        <v>2944</v>
      </c>
      <c r="F69" s="2885" t="s">
        <v>2960</v>
      </c>
      <c r="G69" s="1812" t="s">
        <v>754</v>
      </c>
      <c r="H69" s="2886"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4" t="s">
        <v>2963</v>
      </c>
      <c r="B70" s="2887" t="str">
        <f>估价对象房地状况!C15</f>
        <v>估价对象周边居住用地比例、居住小区规模和社区发展完善程度，综合评价居住社区成熟度一般</v>
      </c>
      <c r="C70" s="2776" t="s">
        <v>3138</v>
      </c>
      <c r="D70" s="1289">
        <f t="shared" ref="D70:D78" si="20">SUMIF($J$69:$N$69,C70,J70:N70)</f>
        <v>1.3599999999999999E-2</v>
      </c>
      <c r="E70" s="821">
        <f>ROUND(SUM(D70:D78),4)</f>
        <v>6.7000000000000004E-2</v>
      </c>
      <c r="F70" s="2507">
        <f>IF(E2="住宅",SUMIF(L1:L12,G2,N1:N12),"——")</f>
        <v>9.8000000000000004E-2</v>
      </c>
      <c r="G70" s="1287">
        <f>H70</f>
        <v>6.7999999999999996E-3</v>
      </c>
      <c r="H70" s="1291">
        <f t="shared" ref="H70:H78" si="21">IFERROR(ROUNDDOWN($F$70*I70/2,4),"——")</f>
        <v>6.7999999999999996E-3</v>
      </c>
      <c r="I70" s="820">
        <v>0.14000000000000001</v>
      </c>
      <c r="J70" s="1288">
        <f t="shared" ref="J70:J78" si="22">K70+$G70</f>
        <v>1.3599999999999999E-2</v>
      </c>
      <c r="K70" s="1288">
        <f t="shared" ref="K70:K78" si="23">$L70+$G70</f>
        <v>6.7999999999999996E-3</v>
      </c>
      <c r="L70" s="1288">
        <v>0</v>
      </c>
      <c r="M70" s="1288">
        <f t="shared" ref="M70:N78" si="24">L70-$G70</f>
        <v>-6.7999999999999996E-3</v>
      </c>
      <c r="N70" s="1288">
        <f t="shared" si="24"/>
        <v>-1.3599999999999999E-2</v>
      </c>
      <c r="AA70" s="1374"/>
      <c r="AB70" s="1374"/>
      <c r="AC70" s="1374"/>
      <c r="AD70" s="1374"/>
      <c r="AE70" s="1374"/>
      <c r="AF70" s="1374"/>
      <c r="AG70" s="1374"/>
      <c r="AH70" s="1374"/>
      <c r="AI70" s="1374"/>
      <c r="AJ70" s="1374"/>
      <c r="AK70" s="1374"/>
    </row>
    <row r="71" spans="1:37" s="1373" customFormat="1" ht="51">
      <c r="A71" s="2884" t="s">
        <v>2949</v>
      </c>
      <c r="B71" s="2888" t="str">
        <f>估价对象房地状况!C18</f>
        <v>估价对象周边道路状况、公共交通通达情况、停车便捷程度，综合评价交通便捷度较好</v>
      </c>
      <c r="C71" s="2776" t="s">
        <v>3139</v>
      </c>
      <c r="D71" s="1289">
        <f t="shared" si="20"/>
        <v>1.47E-2</v>
      </c>
      <c r="E71" s="826"/>
      <c r="F71" s="2507"/>
      <c r="G71" s="1287">
        <f t="shared" ref="G71:G78" si="25">H71</f>
        <v>1.47E-2</v>
      </c>
      <c r="H71" s="1291">
        <f t="shared" si="21"/>
        <v>1.47E-2</v>
      </c>
      <c r="I71" s="820">
        <v>0.3</v>
      </c>
      <c r="J71" s="1288">
        <f t="shared" si="22"/>
        <v>2.9399999999999999E-2</v>
      </c>
      <c r="K71" s="1288">
        <f t="shared" si="23"/>
        <v>1.47E-2</v>
      </c>
      <c r="L71" s="1288">
        <v>0</v>
      </c>
      <c r="M71" s="1288">
        <f t="shared" si="24"/>
        <v>-1.47E-2</v>
      </c>
      <c r="N71" s="1288">
        <f t="shared" si="24"/>
        <v>-2.9399999999999999E-2</v>
      </c>
      <c r="AA71" s="1374"/>
      <c r="AB71" s="1374"/>
      <c r="AC71" s="1374"/>
      <c r="AD71" s="1374"/>
      <c r="AE71" s="1374"/>
      <c r="AF71" s="1374"/>
      <c r="AG71" s="1374"/>
      <c r="AH71" s="1374"/>
      <c r="AI71" s="1374"/>
      <c r="AJ71" s="1374"/>
      <c r="AK71" s="1374"/>
    </row>
    <row r="72" spans="1:37" s="1373" customFormat="1" ht="24">
      <c r="A72" s="2884" t="s">
        <v>2950</v>
      </c>
      <c r="B72" s="2888">
        <f>估价对象房地状况!C19</f>
        <v>0</v>
      </c>
      <c r="C72" s="2776" t="s">
        <v>3139</v>
      </c>
      <c r="D72" s="1289">
        <f t="shared" si="20"/>
        <v>3.8999999999999998E-3</v>
      </c>
      <c r="E72" s="826"/>
      <c r="F72" s="2507"/>
      <c r="G72" s="1287">
        <f t="shared" si="25"/>
        <v>3.8999999999999998E-3</v>
      </c>
      <c r="H72" s="1291">
        <f t="shared" si="21"/>
        <v>3.8999999999999998E-3</v>
      </c>
      <c r="I72" s="820">
        <v>0.08</v>
      </c>
      <c r="J72" s="1288">
        <f t="shared" si="22"/>
        <v>7.7999999999999996E-3</v>
      </c>
      <c r="K72" s="1288">
        <f t="shared" si="23"/>
        <v>3.8999999999999998E-3</v>
      </c>
      <c r="L72" s="1288">
        <v>0</v>
      </c>
      <c r="M72" s="1288">
        <f t="shared" si="24"/>
        <v>-3.8999999999999998E-3</v>
      </c>
      <c r="N72" s="1288">
        <f t="shared" si="24"/>
        <v>-7.7999999999999996E-3</v>
      </c>
      <c r="AA72" s="1374"/>
      <c r="AB72" s="1374"/>
      <c r="AC72" s="1374"/>
      <c r="AD72" s="1374"/>
      <c r="AE72" s="1374"/>
      <c r="AF72" s="1374"/>
      <c r="AG72" s="1374"/>
      <c r="AH72" s="1374"/>
      <c r="AI72" s="1374"/>
      <c r="AJ72" s="1374"/>
      <c r="AK72" s="1374"/>
    </row>
    <row r="73" spans="1:37" s="1373" customFormat="1" ht="14.25">
      <c r="A73" s="2884" t="s">
        <v>2964</v>
      </c>
      <c r="B73" s="2888">
        <f>估价对象房地状况!C24</f>
        <v>0</v>
      </c>
      <c r="C73" s="2776" t="s">
        <v>3139</v>
      </c>
      <c r="D73" s="1289">
        <f t="shared" si="20"/>
        <v>1.9E-3</v>
      </c>
      <c r="E73" s="826"/>
      <c r="F73" s="2507"/>
      <c r="G73" s="1287">
        <f t="shared" si="25"/>
        <v>1.9E-3</v>
      </c>
      <c r="H73" s="1291">
        <f t="shared" si="21"/>
        <v>1.9E-3</v>
      </c>
      <c r="I73" s="820">
        <v>0.04</v>
      </c>
      <c r="J73" s="1288">
        <f t="shared" si="22"/>
        <v>3.8E-3</v>
      </c>
      <c r="K73" s="1288">
        <f t="shared" si="23"/>
        <v>1.9E-3</v>
      </c>
      <c r="L73" s="1288">
        <v>0</v>
      </c>
      <c r="M73" s="1288">
        <f t="shared" si="24"/>
        <v>-1.9E-3</v>
      </c>
      <c r="N73" s="1288">
        <f t="shared" si="24"/>
        <v>-3.8E-3</v>
      </c>
      <c r="AA73" s="1374"/>
      <c r="AB73" s="1374"/>
      <c r="AC73" s="1374"/>
      <c r="AD73" s="1374"/>
      <c r="AE73" s="1374"/>
      <c r="AF73" s="1374"/>
      <c r="AG73" s="1374"/>
      <c r="AH73" s="1374"/>
      <c r="AI73" s="1374"/>
      <c r="AJ73" s="1374"/>
      <c r="AK73" s="1374"/>
    </row>
    <row r="74" spans="1:37" s="1373" customFormat="1" ht="25.5">
      <c r="A74" s="2884" t="s">
        <v>2956</v>
      </c>
      <c r="B74" s="1728" t="str">
        <f>估价对象房地状况!C21</f>
        <v>估价对象所在区域公共配套设施齐备情况</v>
      </c>
      <c r="C74" s="2776" t="s">
        <v>3138</v>
      </c>
      <c r="D74" s="1289">
        <f t="shared" si="20"/>
        <v>7.7999999999999996E-3</v>
      </c>
      <c r="E74" s="826"/>
      <c r="F74" s="2507"/>
      <c r="G74" s="1287">
        <f t="shared" si="25"/>
        <v>3.8999999999999998E-3</v>
      </c>
      <c r="H74" s="1291">
        <f t="shared" si="21"/>
        <v>3.8999999999999998E-3</v>
      </c>
      <c r="I74" s="820">
        <v>0.08</v>
      </c>
      <c r="J74" s="1288">
        <f t="shared" si="22"/>
        <v>7.7999999999999996E-3</v>
      </c>
      <c r="K74" s="1288">
        <f t="shared" si="23"/>
        <v>3.8999999999999998E-3</v>
      </c>
      <c r="L74" s="1288">
        <v>0</v>
      </c>
      <c r="M74" s="1288">
        <f t="shared" si="24"/>
        <v>-3.8999999999999998E-3</v>
      </c>
      <c r="N74" s="1288">
        <f t="shared" si="24"/>
        <v>-7.7999999999999996E-3</v>
      </c>
      <c r="AA74" s="1374"/>
      <c r="AB74" s="1374"/>
      <c r="AC74" s="1374"/>
      <c r="AD74" s="1374"/>
      <c r="AE74" s="1374"/>
      <c r="AF74" s="1374"/>
      <c r="AG74" s="1374"/>
      <c r="AH74" s="1374"/>
      <c r="AI74" s="1374"/>
      <c r="AJ74" s="1374"/>
      <c r="AK74" s="1374"/>
    </row>
    <row r="75" spans="1:37" s="1373" customFormat="1" ht="25.5">
      <c r="A75" s="2884" t="s">
        <v>2957</v>
      </c>
      <c r="B75" s="1728" t="str">
        <f>估价对象房地状况!C22</f>
        <v>估价对象所在区域基础设施水平</v>
      </c>
      <c r="C75" s="2776" t="s">
        <v>3138</v>
      </c>
      <c r="D75" s="1289">
        <f t="shared" si="20"/>
        <v>1.1599999999999999E-2</v>
      </c>
      <c r="E75" s="826"/>
      <c r="F75" s="2507"/>
      <c r="G75" s="1287">
        <f t="shared" si="25"/>
        <v>5.7999999999999996E-3</v>
      </c>
      <c r="H75" s="1291">
        <f t="shared" si="21"/>
        <v>5.7999999999999996E-3</v>
      </c>
      <c r="I75" s="820">
        <v>0.12</v>
      </c>
      <c r="J75" s="1288">
        <f t="shared" si="22"/>
        <v>1.1599999999999999E-2</v>
      </c>
      <c r="K75" s="1288">
        <f t="shared" si="23"/>
        <v>5.7999999999999996E-3</v>
      </c>
      <c r="L75" s="1288">
        <v>0</v>
      </c>
      <c r="M75" s="1288">
        <f t="shared" si="24"/>
        <v>-5.7999999999999996E-3</v>
      </c>
      <c r="N75" s="1288">
        <f t="shared" si="24"/>
        <v>-1.1599999999999999E-2</v>
      </c>
      <c r="AA75" s="1374"/>
      <c r="AB75" s="1374"/>
      <c r="AC75" s="1374"/>
      <c r="AD75" s="1374"/>
      <c r="AE75" s="1374"/>
      <c r="AF75" s="1374"/>
      <c r="AG75" s="1374"/>
      <c r="AH75" s="1374"/>
      <c r="AI75" s="1374"/>
      <c r="AJ75" s="1374"/>
      <c r="AK75" s="1374"/>
    </row>
    <row r="76" spans="1:37" s="2725" customFormat="1" ht="24">
      <c r="A76" s="2884" t="s">
        <v>2954</v>
      </c>
      <c r="B76" s="2890" t="s">
        <v>2955</v>
      </c>
      <c r="C76" s="2776" t="s">
        <v>3139</v>
      </c>
      <c r="D76" s="1289">
        <f t="shared" si="20"/>
        <v>2.3999999999999998E-3</v>
      </c>
      <c r="E76" s="826"/>
      <c r="F76" s="2507"/>
      <c r="G76" s="1287">
        <f t="shared" si="25"/>
        <v>2.3999999999999998E-3</v>
      </c>
      <c r="H76" s="1291">
        <f t="shared" si="21"/>
        <v>2.3999999999999998E-3</v>
      </c>
      <c r="I76" s="820">
        <v>0.05</v>
      </c>
      <c r="J76" s="1288">
        <f t="shared" si="22"/>
        <v>4.7999999999999996E-3</v>
      </c>
      <c r="K76" s="1288">
        <f t="shared" si="23"/>
        <v>2.3999999999999998E-3</v>
      </c>
      <c r="L76" s="1288">
        <v>0</v>
      </c>
      <c r="M76" s="1288">
        <f t="shared" si="24"/>
        <v>-2.3999999999999998E-3</v>
      </c>
      <c r="N76" s="1288">
        <f t="shared" si="24"/>
        <v>-4.7999999999999996E-3</v>
      </c>
      <c r="AA76" s="2895"/>
      <c r="AB76" s="1374"/>
      <c r="AC76" s="1374"/>
      <c r="AD76" s="1374"/>
      <c r="AE76" s="1374"/>
      <c r="AF76" s="1374"/>
      <c r="AG76" s="1374"/>
      <c r="AH76" s="2895"/>
      <c r="AI76" s="2895"/>
      <c r="AJ76" s="2895"/>
      <c r="AK76" s="2895"/>
    </row>
    <row r="77" spans="1:37" ht="38.25">
      <c r="A77" s="2884" t="s">
        <v>2958</v>
      </c>
      <c r="B77" s="2887" t="str">
        <f>估价对象房地状况!C20</f>
        <v>区域自然环境：；人文环境；综合评价环境状况一般</v>
      </c>
      <c r="C77" s="2776" t="s">
        <v>3139</v>
      </c>
      <c r="D77" s="1289">
        <f t="shared" si="20"/>
        <v>7.3000000000000001E-3</v>
      </c>
      <c r="E77" s="826"/>
      <c r="F77" s="2507"/>
      <c r="G77" s="1287">
        <f t="shared" si="25"/>
        <v>7.3000000000000001E-3</v>
      </c>
      <c r="H77" s="1291">
        <f t="shared" si="21"/>
        <v>7.3000000000000001E-3</v>
      </c>
      <c r="I77" s="820">
        <v>0.15</v>
      </c>
      <c r="J77" s="1288">
        <f t="shared" si="22"/>
        <v>1.46E-2</v>
      </c>
      <c r="K77" s="1288">
        <f t="shared" si="23"/>
        <v>7.3000000000000001E-3</v>
      </c>
      <c r="L77" s="1288">
        <v>0</v>
      </c>
      <c r="M77" s="1288">
        <f t="shared" si="24"/>
        <v>-7.3000000000000001E-3</v>
      </c>
      <c r="N77" s="1288">
        <f t="shared" si="24"/>
        <v>-1.46E-2</v>
      </c>
      <c r="Z77" s="2726"/>
      <c r="AA77" s="2802"/>
      <c r="AG77" s="1375"/>
      <c r="AK77" s="2802"/>
    </row>
    <row r="78" spans="1:37" ht="24.75" thickBot="1">
      <c r="A78" s="2892" t="s">
        <v>2965</v>
      </c>
      <c r="B78" s="2896"/>
      <c r="C78" s="2776" t="s">
        <v>3138</v>
      </c>
      <c r="D78" s="1289">
        <f t="shared" si="20"/>
        <v>3.8E-3</v>
      </c>
      <c r="E78" s="827"/>
      <c r="F78" s="2507"/>
      <c r="G78" s="1287">
        <f t="shared" si="25"/>
        <v>1.9E-3</v>
      </c>
      <c r="H78" s="1291">
        <f t="shared" si="21"/>
        <v>1.9E-3</v>
      </c>
      <c r="I78" s="824">
        <v>0.04</v>
      </c>
      <c r="J78" s="1288">
        <f t="shared" si="22"/>
        <v>3.8E-3</v>
      </c>
      <c r="K78" s="1288">
        <f t="shared" si="23"/>
        <v>1.9E-3</v>
      </c>
      <c r="L78" s="1288">
        <v>0</v>
      </c>
      <c r="M78" s="1288">
        <f t="shared" si="24"/>
        <v>-1.9E-3</v>
      </c>
      <c r="N78" s="1288">
        <f t="shared" si="24"/>
        <v>-3.8E-3</v>
      </c>
      <c r="Z78" s="2726"/>
      <c r="AA78" s="2802"/>
      <c r="AG78" s="1375"/>
      <c r="AK78" s="2802"/>
    </row>
    <row r="79" spans="1:37" ht="15">
      <c r="A79" s="2880" t="s">
        <v>2966</v>
      </c>
      <c r="B79" s="2881">
        <f>1+E81</f>
        <v>1</v>
      </c>
      <c r="C79" s="814"/>
      <c r="D79" s="814"/>
      <c r="E79" s="815"/>
      <c r="F79" s="2883"/>
      <c r="G79" s="6"/>
      <c r="H79" s="6"/>
      <c r="I79" s="6"/>
      <c r="J79" s="7"/>
      <c r="K79" s="7"/>
      <c r="L79" s="7"/>
      <c r="M79" s="7"/>
      <c r="N79" s="7"/>
      <c r="Z79" s="2726"/>
      <c r="AA79" s="2802"/>
      <c r="AG79" s="1375"/>
      <c r="AK79" s="2802"/>
    </row>
    <row r="80" spans="1:37" ht="24.75">
      <c r="A80" s="2884" t="s">
        <v>2940</v>
      </c>
      <c r="B80" s="1812"/>
      <c r="C80" s="1812" t="s">
        <v>2942</v>
      </c>
      <c r="D80" s="1812" t="s">
        <v>2943</v>
      </c>
      <c r="E80" s="819" t="s">
        <v>2944</v>
      </c>
      <c r="F80" s="2885" t="s">
        <v>2960</v>
      </c>
      <c r="G80" s="1812" t="s">
        <v>754</v>
      </c>
      <c r="H80" s="2886" t="s">
        <v>2946</v>
      </c>
      <c r="I80" s="1812" t="s">
        <v>2947</v>
      </c>
      <c r="J80" s="603" t="s">
        <v>2595</v>
      </c>
      <c r="K80" s="603" t="s">
        <v>2596</v>
      </c>
      <c r="L80" s="603" t="s">
        <v>2597</v>
      </c>
      <c r="M80" s="603" t="s">
        <v>2598</v>
      </c>
      <c r="N80" s="603" t="s">
        <v>2599</v>
      </c>
      <c r="Z80" s="2726"/>
      <c r="AA80" s="2802"/>
      <c r="AG80" s="1375"/>
      <c r="AK80" s="2802"/>
    </row>
    <row r="81" spans="1:37" ht="38.25">
      <c r="A81" s="2884" t="s">
        <v>2967</v>
      </c>
      <c r="B81" s="2888" t="str">
        <f>估价对象房地状况!G15</f>
        <v>估价对象位于XX开发区，园区建设成熟度XX，产业集聚程度XX</v>
      </c>
      <c r="C81" s="2776"/>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c r="A82" s="2884" t="s">
        <v>2949</v>
      </c>
      <c r="B82" s="2888" t="str">
        <f>估价对象房地状况!G16</f>
        <v>估价对象周边道路状况、公共交通通达情况、停车便捷程度，综合评价交通便捷度较好</v>
      </c>
      <c r="C82" s="2776"/>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c r="A83" s="2884" t="s">
        <v>2950</v>
      </c>
      <c r="B83" s="2888">
        <f>估价对象房地状况!G17</f>
        <v>0</v>
      </c>
      <c r="C83" s="2776"/>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c r="A84" s="2884" t="s">
        <v>2964</v>
      </c>
      <c r="B84" s="2888">
        <f>估价对象房地状况!G22</f>
        <v>0</v>
      </c>
      <c r="C84" s="2776"/>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c r="A85" s="2884" t="s">
        <v>2956</v>
      </c>
      <c r="B85" s="1728" t="str">
        <f>估价对象房地状况!G19</f>
        <v>估价对象所在区域公共配套设施齐备情况</v>
      </c>
      <c r="C85" s="2776"/>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c r="A86" s="2884" t="s">
        <v>2957</v>
      </c>
      <c r="B86" s="1728" t="str">
        <f>估价对象房地状况!G20</f>
        <v>估价对象所在区域基础设施水平</v>
      </c>
      <c r="C86" s="2776"/>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c r="A87" s="2884" t="s">
        <v>2954</v>
      </c>
      <c r="B87" s="2890" t="s">
        <v>2968</v>
      </c>
      <c r="C87" s="2776"/>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thickBot="1">
      <c r="A88" s="2892" t="s">
        <v>2969</v>
      </c>
      <c r="B88" s="2897" t="str">
        <f>估价对象房地状况!G18</f>
        <v>该园区内是否有污染型企业，绿化情况，卫生条件，整体环境状况判断</v>
      </c>
      <c r="C88" s="2776"/>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262" t="s">
        <v>2970</v>
      </c>
      <c r="B90" s="3262"/>
      <c r="C90" s="3262"/>
      <c r="D90" s="3262"/>
      <c r="E90" s="3262"/>
      <c r="F90" s="3262"/>
      <c r="G90" s="3262"/>
      <c r="H90" s="3262"/>
      <c r="I90" s="3262"/>
      <c r="J90" s="3262"/>
      <c r="K90" s="2898"/>
      <c r="L90" s="2898"/>
      <c r="M90" s="2898"/>
      <c r="N90" s="2898"/>
    </row>
    <row r="91" spans="1:37">
      <c r="A91" s="3264" t="s">
        <v>2971</v>
      </c>
      <c r="B91" s="3264" t="s">
        <v>2972</v>
      </c>
      <c r="C91" s="2852" t="s">
        <v>2973</v>
      </c>
      <c r="D91" s="2853"/>
      <c r="E91" s="2853"/>
      <c r="F91" s="2853"/>
      <c r="G91" s="2853"/>
      <c r="H91" s="2853"/>
      <c r="I91" s="2853"/>
      <c r="J91" s="2899"/>
      <c r="K91" s="2900"/>
      <c r="L91" s="2900"/>
      <c r="M91" s="2900"/>
      <c r="N91" s="2900"/>
    </row>
    <row r="92" spans="1:37">
      <c r="A92" s="3264"/>
      <c r="B92" s="326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5" t="s">
        <v>2974</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6"/>
      <c r="B99" s="2901" t="s">
        <v>2854</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26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5" t="s">
        <v>2975</v>
      </c>
      <c r="B101" s="2905" t="s">
        <v>2976</v>
      </c>
      <c r="C101" s="2906">
        <f>$G$3</f>
        <v>2.7</v>
      </c>
      <c r="D101" s="2906">
        <f t="shared" ref="D101:N101" si="32">$G$3</f>
        <v>2.7</v>
      </c>
      <c r="E101" s="2906">
        <f t="shared" si="32"/>
        <v>2.7</v>
      </c>
      <c r="F101" s="2906">
        <f t="shared" si="32"/>
        <v>2.7</v>
      </c>
      <c r="G101" s="2906">
        <f t="shared" si="32"/>
        <v>2.7</v>
      </c>
      <c r="H101" s="2906">
        <f t="shared" si="32"/>
        <v>2.7</v>
      </c>
      <c r="I101" s="2906">
        <f t="shared" si="32"/>
        <v>2.7</v>
      </c>
      <c r="J101" s="2906">
        <f t="shared" si="32"/>
        <v>2.7</v>
      </c>
      <c r="K101" s="2906">
        <f t="shared" si="32"/>
        <v>2.7</v>
      </c>
      <c r="L101" s="2906">
        <f t="shared" si="32"/>
        <v>2.7</v>
      </c>
      <c r="M101" s="2906">
        <f t="shared" si="32"/>
        <v>2.7</v>
      </c>
      <c r="N101" s="2906">
        <f t="shared" si="32"/>
        <v>2.7</v>
      </c>
    </row>
    <row r="102" spans="1:14">
      <c r="A102" s="3266"/>
      <c r="B102" s="2901">
        <v>1</v>
      </c>
      <c r="C102" s="2902">
        <f>1.9362/C101</f>
        <v>0.71711111111111103</v>
      </c>
      <c r="D102" s="2902">
        <f>1.9362/D101</f>
        <v>0.71711111111111103</v>
      </c>
      <c r="E102" s="2902">
        <f>1.8629/E101</f>
        <v>0.68996296296296289</v>
      </c>
      <c r="F102" s="2902">
        <f>1.8629/F101</f>
        <v>0.68996296296296289</v>
      </c>
      <c r="G102" s="2902">
        <f>1.8629/G101</f>
        <v>0.68996296296296289</v>
      </c>
      <c r="H102" s="2902">
        <f>1.8629/H101</f>
        <v>0.68996296296296289</v>
      </c>
      <c r="I102" s="2902">
        <f>1.8629/I101</f>
        <v>0.68996296296296289</v>
      </c>
      <c r="J102" s="2902">
        <f>1.942/J101</f>
        <v>0.71925925925925915</v>
      </c>
      <c r="K102" s="2902">
        <f>1.942/K101</f>
        <v>0.71925925925925915</v>
      </c>
      <c r="L102" s="2902">
        <f>1.942/L101</f>
        <v>0.71925925925925915</v>
      </c>
      <c r="M102" s="2902">
        <f>1.942/M101</f>
        <v>0.71925925925925915</v>
      </c>
      <c r="N102" s="2902">
        <f>1.942/N101</f>
        <v>0.71925925925925915</v>
      </c>
    </row>
    <row r="103" spans="1:14">
      <c r="A103" s="3266"/>
      <c r="B103" s="2901">
        <v>2</v>
      </c>
      <c r="C103" s="2902">
        <f>1.4198/C101</f>
        <v>0.52585185185185179</v>
      </c>
      <c r="D103" s="2902">
        <f>1.4198/D101</f>
        <v>0.52585185185185179</v>
      </c>
      <c r="E103" s="2902">
        <f>1.3372/E101</f>
        <v>0.49525925925925923</v>
      </c>
      <c r="F103" s="2902">
        <f>1.3372/F101</f>
        <v>0.49525925925925923</v>
      </c>
      <c r="G103" s="2902">
        <f>1.3372/G101</f>
        <v>0.49525925925925923</v>
      </c>
      <c r="H103" s="2902">
        <f>1.3372/H101</f>
        <v>0.49525925925925923</v>
      </c>
      <c r="I103" s="2902">
        <f>1.3372/I101</f>
        <v>0.49525925925925923</v>
      </c>
      <c r="J103" s="2902">
        <f>1.2799/J101</f>
        <v>0.47403703703703703</v>
      </c>
      <c r="K103" s="2902">
        <f>1.2799/K101</f>
        <v>0.47403703703703703</v>
      </c>
      <c r="L103" s="2902">
        <f>1.2799/L101</f>
        <v>0.47403703703703703</v>
      </c>
      <c r="M103" s="2902">
        <f>1.2799/M101</f>
        <v>0.47403703703703703</v>
      </c>
      <c r="N103" s="2902">
        <f>1.2799/N101</f>
        <v>0.47403703703703703</v>
      </c>
    </row>
    <row r="104" spans="1:14">
      <c r="A104" s="3266"/>
      <c r="B104" s="2901">
        <v>3</v>
      </c>
      <c r="C104" s="2902">
        <f>1.1594/C101</f>
        <v>0.42940740740740735</v>
      </c>
      <c r="D104" s="2902">
        <f>1.1594/D101</f>
        <v>0.42940740740740735</v>
      </c>
      <c r="E104" s="2902">
        <f>1.0788/E101</f>
        <v>0.3995555555555555</v>
      </c>
      <c r="F104" s="2902">
        <f>1.0788/F101</f>
        <v>0.3995555555555555</v>
      </c>
      <c r="G104" s="2902">
        <f>1.0788/G101</f>
        <v>0.3995555555555555</v>
      </c>
      <c r="H104" s="2902">
        <f>1.0788/H101</f>
        <v>0.3995555555555555</v>
      </c>
      <c r="I104" s="2902">
        <f>1.0788/I101</f>
        <v>0.3995555555555555</v>
      </c>
      <c r="J104" s="2902">
        <f>1.0072/J101</f>
        <v>0.37303703703703706</v>
      </c>
      <c r="K104" s="2902">
        <f>1.0072/K101</f>
        <v>0.37303703703703706</v>
      </c>
      <c r="L104" s="2902">
        <f>1.0072/L101</f>
        <v>0.37303703703703706</v>
      </c>
      <c r="M104" s="2902">
        <f>1.0072/M101</f>
        <v>0.37303703703703706</v>
      </c>
      <c r="N104" s="2902">
        <f>1.0072/N101</f>
        <v>0.37303703703703706</v>
      </c>
    </row>
    <row r="105" spans="1:14">
      <c r="A105" s="3266"/>
      <c r="B105" s="2901">
        <v>4</v>
      </c>
      <c r="C105" s="2902">
        <f>0.9622/C101</f>
        <v>0.35637037037037039</v>
      </c>
      <c r="D105" s="2902">
        <f>0.9622/D101</f>
        <v>0.35637037037037039</v>
      </c>
      <c r="E105" s="2902">
        <f>0.8656/E101</f>
        <v>0.3205925925925926</v>
      </c>
      <c r="F105" s="2902">
        <f>0.8656/F101</f>
        <v>0.3205925925925926</v>
      </c>
      <c r="G105" s="2902">
        <f>0.8656/G101</f>
        <v>0.3205925925925926</v>
      </c>
      <c r="H105" s="2902">
        <f>0.8656/H101</f>
        <v>0.3205925925925926</v>
      </c>
      <c r="I105" s="2902">
        <f>0.8656/I101</f>
        <v>0.3205925925925926</v>
      </c>
      <c r="J105" s="2902">
        <f>0.7525/J101</f>
        <v>0.27870370370370368</v>
      </c>
      <c r="K105" s="2902">
        <f>0.7525/K101</f>
        <v>0.27870370370370368</v>
      </c>
      <c r="L105" s="2902">
        <f>0.7525/L101</f>
        <v>0.27870370370370368</v>
      </c>
      <c r="M105" s="2902">
        <f>0.7525/M101</f>
        <v>0.27870370370370368</v>
      </c>
      <c r="N105" s="2902">
        <f>0.7525/N101</f>
        <v>0.27870370370370368</v>
      </c>
    </row>
    <row r="106" spans="1:14">
      <c r="A106" s="3266"/>
      <c r="B106" s="2901">
        <v>5</v>
      </c>
      <c r="C106" s="2902">
        <f>0.8417/C101</f>
        <v>0.31174074074074071</v>
      </c>
      <c r="D106" s="2902">
        <f>0.8417/D101</f>
        <v>0.31174074074074071</v>
      </c>
      <c r="E106" s="2902">
        <f>0.7371/E101</f>
        <v>0.27299999999999996</v>
      </c>
      <c r="F106" s="2902">
        <f>0.7371/F101</f>
        <v>0.27299999999999996</v>
      </c>
      <c r="G106" s="2902">
        <f>0.7371/G101</f>
        <v>0.27299999999999996</v>
      </c>
      <c r="H106" s="2902">
        <f>0.7371/H101</f>
        <v>0.27299999999999996</v>
      </c>
      <c r="I106" s="2902">
        <f>0.7371/I101</f>
        <v>0.27299999999999996</v>
      </c>
      <c r="J106" s="2902">
        <f>0.5659/J101</f>
        <v>0.20959259259259255</v>
      </c>
      <c r="K106" s="2902">
        <f>0.5659/K101</f>
        <v>0.20959259259259255</v>
      </c>
      <c r="L106" s="2902">
        <f>0.5659/L101</f>
        <v>0.20959259259259255</v>
      </c>
      <c r="M106" s="2902">
        <f>0.5659/M101</f>
        <v>0.20959259259259255</v>
      </c>
      <c r="N106" s="2902">
        <f>0.5659/N101</f>
        <v>0.20959259259259255</v>
      </c>
    </row>
    <row r="107" spans="1:14">
      <c r="A107" s="3266"/>
      <c r="B107" s="2901">
        <v>6</v>
      </c>
      <c r="C107" s="2902">
        <f>0.7608/C101</f>
        <v>0.28177777777777779</v>
      </c>
      <c r="D107" s="2902">
        <f>0.7608/D101</f>
        <v>0.28177777777777779</v>
      </c>
      <c r="E107" s="2902">
        <f>0.6482/E101</f>
        <v>0.24007407407407405</v>
      </c>
      <c r="F107" s="2902">
        <f>0.6482/F101</f>
        <v>0.24007407407407405</v>
      </c>
      <c r="G107" s="2902">
        <f>0.6482/G101</f>
        <v>0.24007407407407405</v>
      </c>
      <c r="H107" s="2902">
        <f>0.6482/H101</f>
        <v>0.24007407407407405</v>
      </c>
      <c r="I107" s="2902">
        <f>0.6482/I101</f>
        <v>0.24007407407407405</v>
      </c>
      <c r="J107" s="2902">
        <f>0.4525/J101</f>
        <v>0.1675925925925926</v>
      </c>
      <c r="K107" s="2902">
        <f>0.4525/K101</f>
        <v>0.1675925925925926</v>
      </c>
      <c r="L107" s="2902">
        <f>0.4525/L101</f>
        <v>0.1675925925925926</v>
      </c>
      <c r="M107" s="2902">
        <f>0.4525/M101</f>
        <v>0.1675925925925926</v>
      </c>
      <c r="N107" s="2902">
        <f>0.4525/N101</f>
        <v>0.1675925925925926</v>
      </c>
    </row>
    <row r="108" spans="1:14">
      <c r="A108" s="3266"/>
      <c r="B108" s="3124" t="s">
        <v>2977</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267"/>
      <c r="B109" s="3125"/>
      <c r="C109" s="2904">
        <f>(-0.163*(C108^2)-0.59*C108+7617)*(10^(-4))/C101</f>
        <v>0.28211111111111109</v>
      </c>
      <c r="D109" s="2904">
        <f>(-0.163*(D108^2)-0.59*D108+7617)*(10^(-4))/D101</f>
        <v>0.28211111111111109</v>
      </c>
      <c r="E109" s="2904">
        <f>(-0.161*(E108^2)-7.509*E108+6533)*(10^(-4))/E101</f>
        <v>0.24196296296296294</v>
      </c>
      <c r="F109" s="2904">
        <f>(-0.161*(F108^2)-7.509*F108+6533)*(10^(-4))/F101</f>
        <v>0.24196296296296294</v>
      </c>
      <c r="G109" s="2904">
        <f>(-0.161*(G108^2)-7.509*G108+6533)*(10^(-4))/G101</f>
        <v>0.24196296296296294</v>
      </c>
      <c r="H109" s="2904">
        <f>(-0.161*(H108^2)-7.509*H108+6533)*(10^(-4))/H101</f>
        <v>0.24196296296296294</v>
      </c>
      <c r="I109" s="2904">
        <f>(-0.161*(I108^2)-7.509*I108+6533)*(10^(-4))/I101</f>
        <v>0.24196296296296294</v>
      </c>
      <c r="J109" s="2904">
        <f>(-0.214*(J108^2)-21.991*J108+4665)*(10^(-4))/J101</f>
        <v>0.17277777777777778</v>
      </c>
      <c r="K109" s="2904">
        <f>(-0.214*(K108^2)-21.991*K108+4665)*(10^(-4))/K101</f>
        <v>0.17277777777777778</v>
      </c>
      <c r="L109" s="2904">
        <f>(-0.214*(L108^2)-21.991*L108+4665)*(10^(-4))/L101</f>
        <v>0.17277777777777778</v>
      </c>
      <c r="M109" s="2904">
        <f>(-0.214*(M108^2)-21.991*M108+4665)*(10^(-4))/M101</f>
        <v>0.17277777777777778</v>
      </c>
      <c r="N109" s="2904">
        <f>(-0.214*(N108^2)-21.991*N108+4665)*(10^(-4))/N101</f>
        <v>0.17277777777777778</v>
      </c>
    </row>
    <row r="110" spans="1:14">
      <c r="A110" s="3263" t="s">
        <v>2978</v>
      </c>
      <c r="B110" s="3263"/>
      <c r="C110" s="3263"/>
      <c r="D110" s="3263"/>
      <c r="E110" s="3263"/>
      <c r="F110" s="3263"/>
      <c r="G110" s="3263"/>
      <c r="H110" s="3263"/>
      <c r="I110" s="3263"/>
      <c r="J110" s="3263"/>
      <c r="K110" s="2907"/>
      <c r="L110" s="2907"/>
      <c r="M110" s="2907"/>
      <c r="N110" s="2907"/>
    </row>
    <row r="112" spans="1:14" ht="13.5" thickBot="1"/>
    <row r="113" spans="1:13" ht="25.5" thickBot="1">
      <c r="A113" s="903" t="s">
        <v>2979</v>
      </c>
      <c r="B113" s="1290">
        <f>G3</f>
        <v>2.7</v>
      </c>
      <c r="C113" s="904" t="s">
        <v>2980</v>
      </c>
      <c r="D113" s="905">
        <f>SUMPRODUCT((A115:A118=F113)*(B114:M114=H113)*B115:M118)</f>
        <v>0.86460000000000004</v>
      </c>
      <c r="E113" s="2730" t="s">
        <v>2812</v>
      </c>
      <c r="F113" s="2909" t="str">
        <f>E2</f>
        <v>住宅</v>
      </c>
      <c r="G113" s="2730" t="s">
        <v>2813</v>
      </c>
      <c r="H113" s="2909" t="str">
        <f>G2</f>
        <v>二级</v>
      </c>
      <c r="I113" s="2730"/>
      <c r="J113" s="2910"/>
      <c r="K113" s="2910"/>
      <c r="L113" s="2910"/>
      <c r="M113" s="2910"/>
    </row>
    <row r="114" spans="1:13">
      <c r="A114" s="908"/>
      <c r="B114" s="2911" t="s">
        <v>2981</v>
      </c>
      <c r="C114" s="2911" t="s">
        <v>2982</v>
      </c>
      <c r="D114" s="2911" t="s">
        <v>2983</v>
      </c>
      <c r="E114" s="2912" t="s">
        <v>2984</v>
      </c>
      <c r="F114" s="2912" t="s">
        <v>2985</v>
      </c>
      <c r="G114" s="2912" t="s">
        <v>2986</v>
      </c>
      <c r="H114" s="2913" t="s">
        <v>2987</v>
      </c>
      <c r="I114" s="2913" t="s">
        <v>2988</v>
      </c>
      <c r="J114" s="2914" t="s">
        <v>2989</v>
      </c>
      <c r="K114" s="2914" t="s">
        <v>2990</v>
      </c>
      <c r="L114" s="2914" t="s">
        <v>2991</v>
      </c>
      <c r="M114" s="2915" t="s">
        <v>2992</v>
      </c>
    </row>
    <row r="115" spans="1:13">
      <c r="A115" s="909" t="s">
        <v>2876</v>
      </c>
      <c r="B115" s="910">
        <f>ROUND(0.9335-0.0094*B113,4)</f>
        <v>0.90810000000000002</v>
      </c>
      <c r="C115" s="910">
        <f>B115</f>
        <v>0.90810000000000002</v>
      </c>
      <c r="D115" s="910">
        <f>ROUND(0.8331-0.0109*B113,4)</f>
        <v>0.80369999999999997</v>
      </c>
      <c r="E115" s="910">
        <f>D115</f>
        <v>0.80369999999999997</v>
      </c>
      <c r="F115" s="910">
        <f>E115</f>
        <v>0.80369999999999997</v>
      </c>
      <c r="G115" s="910">
        <f>F115</f>
        <v>0.80369999999999997</v>
      </c>
      <c r="H115" s="910">
        <f>G115</f>
        <v>0.80369999999999997</v>
      </c>
      <c r="I115" s="910">
        <f>ROUND(0.689-0.0155*B113,4)</f>
        <v>0.6472</v>
      </c>
      <c r="J115" s="910">
        <f t="shared" ref="J115:M118" si="34">I115</f>
        <v>0.6472</v>
      </c>
      <c r="K115" s="910">
        <f t="shared" si="34"/>
        <v>0.6472</v>
      </c>
      <c r="L115" s="910">
        <f t="shared" si="34"/>
        <v>0.6472</v>
      </c>
      <c r="M115" s="911">
        <f t="shared" si="34"/>
        <v>0.6472</v>
      </c>
    </row>
    <row r="116" spans="1:13">
      <c r="A116" s="909" t="s">
        <v>2877</v>
      </c>
      <c r="B116" s="910">
        <f>ROUND(0.949-0.012*B113,4)</f>
        <v>0.91659999999999997</v>
      </c>
      <c r="C116" s="910">
        <f>B116</f>
        <v>0.91659999999999997</v>
      </c>
      <c r="D116" s="910">
        <f>ROUND(0.8567-0.013*B113,4)</f>
        <v>0.8216</v>
      </c>
      <c r="E116" s="910">
        <f t="shared" ref="E116:H117" si="35">D116</f>
        <v>0.8216</v>
      </c>
      <c r="F116" s="910">
        <f t="shared" si="35"/>
        <v>0.8216</v>
      </c>
      <c r="G116" s="910">
        <f t="shared" si="35"/>
        <v>0.8216</v>
      </c>
      <c r="H116" s="910">
        <f t="shared" si="35"/>
        <v>0.8216</v>
      </c>
      <c r="I116" s="910">
        <f>ROUND(0.7694-0.014*B113,4)</f>
        <v>0.73160000000000003</v>
      </c>
      <c r="J116" s="910">
        <f t="shared" si="34"/>
        <v>0.73160000000000003</v>
      </c>
      <c r="K116" s="910">
        <f t="shared" si="34"/>
        <v>0.73160000000000003</v>
      </c>
      <c r="L116" s="910">
        <f t="shared" si="34"/>
        <v>0.73160000000000003</v>
      </c>
      <c r="M116" s="911">
        <f t="shared" si="34"/>
        <v>0.73160000000000003</v>
      </c>
    </row>
    <row r="117" spans="1:13">
      <c r="A117" s="909" t="s">
        <v>2878</v>
      </c>
      <c r="B117" s="910">
        <f>ROUND(0.8808-0.006*B113,4)</f>
        <v>0.86460000000000004</v>
      </c>
      <c r="C117" s="910">
        <f>B117</f>
        <v>0.86460000000000004</v>
      </c>
      <c r="D117" s="910">
        <f>ROUND(0.8748-0.008*B113,4)</f>
        <v>0.85319999999999996</v>
      </c>
      <c r="E117" s="910">
        <f t="shared" si="35"/>
        <v>0.85319999999999996</v>
      </c>
      <c r="F117" s="910">
        <f t="shared" si="35"/>
        <v>0.85319999999999996</v>
      </c>
      <c r="G117" s="910">
        <f t="shared" si="35"/>
        <v>0.85319999999999996</v>
      </c>
      <c r="H117" s="910">
        <f t="shared" si="35"/>
        <v>0.85319999999999996</v>
      </c>
      <c r="I117" s="910">
        <f>ROUND(0.7412-0.0095*B113,4)</f>
        <v>0.71560000000000001</v>
      </c>
      <c r="J117" s="910">
        <f t="shared" si="34"/>
        <v>0.71560000000000001</v>
      </c>
      <c r="K117" s="910">
        <f t="shared" si="34"/>
        <v>0.71560000000000001</v>
      </c>
      <c r="L117" s="910">
        <f t="shared" si="34"/>
        <v>0.71560000000000001</v>
      </c>
      <c r="M117" s="911">
        <f t="shared" si="34"/>
        <v>0.71560000000000001</v>
      </c>
    </row>
    <row r="118" spans="1:13" ht="13.5" thickBot="1">
      <c r="A118" s="714" t="s">
        <v>2879</v>
      </c>
      <c r="B118" s="912">
        <f>ROUND(0.7275-0.01*B113,4)</f>
        <v>0.70050000000000001</v>
      </c>
      <c r="C118" s="912">
        <f>B118</f>
        <v>0.70050000000000001</v>
      </c>
      <c r="D118" s="912">
        <f>ROUND(0.7043-0.012*B113,4)</f>
        <v>0.67190000000000005</v>
      </c>
      <c r="E118" s="912">
        <f>D118</f>
        <v>0.67190000000000005</v>
      </c>
      <c r="F118" s="912">
        <f>E118</f>
        <v>0.67190000000000005</v>
      </c>
      <c r="G118" s="912">
        <f>ROUND(0.6299-0.0122*B113,4)</f>
        <v>0.59699999999999998</v>
      </c>
      <c r="H118" s="912">
        <f>G118</f>
        <v>0.59699999999999998</v>
      </c>
      <c r="I118" s="912">
        <f>ROUND(0.5667-0.0136*B113,4)</f>
        <v>0.53</v>
      </c>
      <c r="J118" s="912">
        <f t="shared" si="34"/>
        <v>0.53</v>
      </c>
      <c r="K118" s="912">
        <f t="shared" si="34"/>
        <v>0.53</v>
      </c>
      <c r="L118" s="912">
        <f t="shared" si="34"/>
        <v>0.53</v>
      </c>
      <c r="M118" s="913">
        <f t="shared" si="34"/>
        <v>0.53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1.0778000000000001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3001</v>
      </c>
    </row>
    <row r="2" spans="1:5" ht="15.75">
      <c r="A2" s="2916" t="s">
        <v>2993</v>
      </c>
      <c r="B2" s="2917">
        <f ca="1">SUMIF(B6:B13,"&lt;&gt;#ref!",B6:B13)</f>
        <v>1365</v>
      </c>
      <c r="C2" s="2916" t="s">
        <v>2994</v>
      </c>
      <c r="D2" s="2916" t="s">
        <v>2995</v>
      </c>
      <c r="E2" s="2917">
        <f ca="1">SUMIF(E6:E13,"&lt;&gt;#ref!",E6:E13)</f>
        <v>263.10000000000002</v>
      </c>
    </row>
    <row r="3" spans="1:5" ht="15.75">
      <c r="A3" s="2916" t="s">
        <v>2996</v>
      </c>
      <c r="B3" s="2917">
        <f ca="1">ROUND(B2*10000/E2,0)</f>
        <v>51881</v>
      </c>
      <c r="C3" s="2916" t="s">
        <v>3002</v>
      </c>
      <c r="D3" s="2918"/>
      <c r="E3" s="2918"/>
    </row>
    <row r="4" spans="1:5" ht="15.75">
      <c r="A4" s="2919"/>
      <c r="B4" s="2918"/>
      <c r="C4" s="2918"/>
      <c r="D4" s="2918"/>
      <c r="E4" s="2918"/>
    </row>
    <row r="5" spans="1:5" ht="28.5">
      <c r="A5" s="2920" t="s">
        <v>2997</v>
      </c>
      <c r="B5" s="2916" t="s">
        <v>2998</v>
      </c>
      <c r="C5" s="2917"/>
      <c r="D5" s="2918"/>
      <c r="E5" s="2916" t="s">
        <v>2999</v>
      </c>
    </row>
    <row r="6" spans="1:5" ht="15.75">
      <c r="A6" s="2921" t="s">
        <v>3000</v>
      </c>
      <c r="B6" s="2917">
        <f ca="1">SUMIF(INDIRECT("'"&amp;A6&amp;"'"&amp;"!A:A"),"总价",INDIRECT("'"&amp;A6&amp;"'"&amp;"!B:B"))</f>
        <v>1365</v>
      </c>
      <c r="C6" s="2916" t="s">
        <v>2994</v>
      </c>
      <c r="D6" s="2918"/>
      <c r="E6" s="2581">
        <f ca="1">SUMIF(INDIRECT("'"&amp;A6&amp;"'"&amp;"!C:C"),"建筑面积",INDIRECT("'"&amp;A6&amp;"'"&amp;"!D:D"))</f>
        <v>263.10000000000002</v>
      </c>
    </row>
    <row r="7" spans="1:5" ht="15.75">
      <c r="A7" s="2921"/>
      <c r="B7" s="2917" t="e">
        <f ca="1">SUMIF(INDIRECT("'"&amp;A7&amp;"'"&amp;"!A:A"),"总价",INDIRECT("'"&amp;A7&amp;"'"&amp;"!B:B"))</f>
        <v>#REF!</v>
      </c>
      <c r="C7" s="2916" t="s">
        <v>2994</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2994</v>
      </c>
      <c r="D8" s="2918"/>
      <c r="E8" s="2581" t="e">
        <f t="shared" ca="1" si="0"/>
        <v>#REF!</v>
      </c>
    </row>
    <row r="9" spans="1:5" ht="15.75">
      <c r="A9" s="2921"/>
      <c r="B9" s="2917" t="e">
        <f t="shared" ca="1" si="1"/>
        <v>#REF!</v>
      </c>
      <c r="C9" s="2916" t="s">
        <v>2994</v>
      </c>
      <c r="D9" s="2918"/>
      <c r="E9" s="2581" t="e">
        <f t="shared" ca="1" si="0"/>
        <v>#REF!</v>
      </c>
    </row>
    <row r="10" spans="1:5" ht="15.75">
      <c r="A10" s="2921"/>
      <c r="B10" s="2917" t="e">
        <f t="shared" ca="1" si="1"/>
        <v>#REF!</v>
      </c>
      <c r="C10" s="2916" t="s">
        <v>2994</v>
      </c>
      <c r="D10" s="2918"/>
      <c r="E10" s="2581" t="e">
        <f t="shared" ca="1" si="0"/>
        <v>#REF!</v>
      </c>
    </row>
    <row r="11" spans="1:5" ht="15.75">
      <c r="A11" s="2921"/>
      <c r="B11" s="2917" t="e">
        <f t="shared" ca="1" si="1"/>
        <v>#REF!</v>
      </c>
      <c r="C11" s="2916" t="s">
        <v>2994</v>
      </c>
      <c r="D11" s="2918"/>
      <c r="E11" s="2581" t="e">
        <f t="shared" ca="1" si="0"/>
        <v>#REF!</v>
      </c>
    </row>
    <row r="12" spans="1:5" ht="15.75">
      <c r="A12" s="2921"/>
      <c r="B12" s="2917" t="e">
        <f t="shared" ca="1" si="1"/>
        <v>#REF!</v>
      </c>
      <c r="C12" s="2916" t="s">
        <v>2994</v>
      </c>
      <c r="D12" s="2918"/>
      <c r="E12" s="2581" t="e">
        <f t="shared" ca="1" si="0"/>
        <v>#REF!</v>
      </c>
    </row>
    <row r="13" spans="1:5" ht="15.75">
      <c r="A13" s="2921"/>
      <c r="B13" s="2917" t="e">
        <f t="shared" ca="1" si="1"/>
        <v>#REF!</v>
      </c>
      <c r="C13" s="2916" t="s">
        <v>2994</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1146</v>
      </c>
      <c r="C1" s="3277"/>
      <c r="D1" s="3277"/>
      <c r="E1" s="3277"/>
      <c r="F1" s="3277"/>
      <c r="G1" s="3276" t="s">
        <v>1147</v>
      </c>
      <c r="H1" s="3276"/>
      <c r="I1" s="3276"/>
      <c r="J1" s="3276"/>
      <c r="K1" s="3276"/>
      <c r="L1" s="3276"/>
      <c r="N1" s="3276" t="s">
        <v>1148</v>
      </c>
      <c r="O1" s="3276"/>
      <c r="P1" s="3276"/>
      <c r="Q1" s="3276"/>
      <c r="R1" s="1449"/>
      <c r="S1" s="3276" t="s">
        <v>1149</v>
      </c>
      <c r="T1" s="3276"/>
      <c r="U1" s="3276"/>
      <c r="V1" s="3276"/>
      <c r="X1" s="3275" t="s">
        <v>1150</v>
      </c>
      <c r="Y1" s="3276"/>
      <c r="Z1" s="3276"/>
      <c r="AA1" s="3276"/>
      <c r="AB1" s="3276"/>
      <c r="AD1" s="3275" t="s">
        <v>1151</v>
      </c>
      <c r="AE1" s="3276"/>
      <c r="AF1" s="3276"/>
      <c r="AG1" s="3276"/>
      <c r="AH1" s="327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3036</v>
      </c>
      <c r="B3" s="2933"/>
      <c r="C3" s="2933"/>
      <c r="D3" s="2934"/>
      <c r="E3" s="2934"/>
      <c r="F3" s="2933"/>
      <c r="G3" s="2935"/>
      <c r="H3" s="2936"/>
      <c r="I3" s="2937">
        <f>ROUND(AVERAGE($I4:$I25),2)</f>
        <v>2.09</v>
      </c>
      <c r="J3" s="2937">
        <f>ROUND(AVERAGE($J4:$J25),2)</f>
        <v>1.46</v>
      </c>
      <c r="K3" s="2937">
        <f>ROUND(AVERAGE($K4:$K25),2)</f>
        <v>2.29</v>
      </c>
      <c r="L3" s="2937">
        <f>ROUND(AVERAGE($L4:$L25),2)</f>
        <v>1.36</v>
      </c>
      <c r="N3" s="2935"/>
      <c r="O3" s="2938"/>
      <c r="P3" s="2938"/>
      <c r="Q3" s="2938"/>
      <c r="R3" s="2938"/>
      <c r="S3" s="2935"/>
      <c r="T3" s="2938"/>
      <c r="U3" s="2938"/>
      <c r="V3" s="2938"/>
      <c r="W3" s="2930"/>
      <c r="X3" s="2939">
        <f>ROUND(SUMPRODUCT(PRODUCT(1+N3:N$24)),4)</f>
        <v>1.4956</v>
      </c>
      <c r="Y3" s="2939">
        <f>ROUND(SUMPRODUCT(PRODUCT(1+O3:O$24)),4)</f>
        <v>1.3237000000000001</v>
      </c>
      <c r="Z3" s="2939">
        <f t="shared" ref="Z3:Z22" si="0">Y3</f>
        <v>1.3237000000000001</v>
      </c>
      <c r="AA3" s="2939">
        <f>ROUND(SUMPRODUCT(PRODUCT(1+P3:P$24)),4)</f>
        <v>1.554</v>
      </c>
      <c r="AB3" s="2939">
        <f>ROUND(SUMPRODUCT(PRODUCT(1+Q3:Q$24)),4)</f>
        <v>1.3087</v>
      </c>
      <c r="AD3" s="2940">
        <f>ROUND(AVERAGE(I3:I$25)/100,4)</f>
        <v>2.0899999999999998E-2</v>
      </c>
      <c r="AE3" s="2940">
        <f>ROUND(AVERAGE(J3:J$25)/100,4)</f>
        <v>1.46E-2</v>
      </c>
      <c r="AF3" s="2940">
        <f t="shared" ref="AF3:AF23" si="1">AE3</f>
        <v>1.46E-2</v>
      </c>
      <c r="AG3" s="2940">
        <f>ROUND(AVERAGE(K3:K$25)/100,4)</f>
        <v>2.29E-2</v>
      </c>
      <c r="AH3" s="2940">
        <f>ROUND(AVERAGE(L3:L$25)/100,4)</f>
        <v>1.3599999999999999E-2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3037</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3">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27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2385</v>
      </c>
      <c r="E5" s="1962"/>
    </row>
    <row r="6" spans="1:5" ht="15.75">
      <c r="A6" s="1962"/>
      <c r="B6" s="2967"/>
      <c r="C6" s="1965" t="s">
        <v>1620</v>
      </c>
      <c r="D6" s="1043" t="str">
        <f ca="1">NUMBERSTRING(INT(D5*10000),2)&amp;"元整"</f>
        <v>贰仟叁佰捌拾伍万元整</v>
      </c>
      <c r="E6" s="1962"/>
    </row>
    <row r="7" spans="1:5" ht="15.75">
      <c r="A7" s="1962"/>
      <c r="B7" s="2972"/>
      <c r="C7" s="1966" t="s">
        <v>1621</v>
      </c>
      <c r="D7" s="1044">
        <f ca="1">结果表!H102</f>
        <v>90650</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2385</v>
      </c>
      <c r="E13" s="1962"/>
    </row>
    <row r="14" spans="1:5" ht="15.75">
      <c r="A14" s="1962"/>
      <c r="B14" s="2967"/>
      <c r="C14" s="1965" t="s">
        <v>1620</v>
      </c>
      <c r="D14" s="1043" t="str">
        <f ca="1">NUMBERSTRING(INT(D13*10000),2)&amp;"元整"</f>
        <v>贰仟叁佰捌拾伍万元整</v>
      </c>
      <c r="E14" s="1962"/>
    </row>
    <row r="15" spans="1:5" ht="15">
      <c r="A15" s="1962"/>
      <c r="B15" s="2972"/>
      <c r="C15" s="1966" t="s">
        <v>1630</v>
      </c>
      <c r="D15" s="1055">
        <f ca="1">结果表!H108</f>
        <v>90650</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84" t="s">
        <v>3004</v>
      </c>
      <c r="D1" s="3285"/>
      <c r="E1" s="3285"/>
      <c r="F1" s="3285"/>
      <c r="G1" s="3285"/>
      <c r="H1" s="3285"/>
      <c r="I1" s="3285"/>
      <c r="J1" s="3285"/>
      <c r="K1" s="3285"/>
      <c r="L1" s="3285"/>
      <c r="M1" s="3285"/>
      <c r="N1" s="3285"/>
      <c r="O1" s="3285"/>
      <c r="P1" s="3285"/>
      <c r="Q1" s="3285"/>
      <c r="R1" s="3285"/>
      <c r="S1" s="3286"/>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3013</v>
      </c>
      <c r="B17" s="2923"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5" t="s">
        <v>3017</v>
      </c>
      <c r="E20" s="1796"/>
      <c r="F20" s="1207" t="e">
        <f ca="1">SUMIF(INDIRECT("'"&amp;H20&amp;"'"&amp;"!A:A"),"承租人权益价值",INDIRECT("'"&amp;H20&amp;"'"&amp;"!c:c"))</f>
        <v>#REF!</v>
      </c>
      <c r="G20" s="1207" t="s">
        <v>3018</v>
      </c>
      <c r="H20" s="2926"/>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46" t="s">
        <v>33</v>
      </c>
      <c r="D22" s="3147"/>
      <c r="E22" s="3147"/>
      <c r="F22" s="3147"/>
      <c r="G22" s="3147"/>
      <c r="H22" s="3147"/>
      <c r="I22" s="3147"/>
      <c r="J22" s="3147"/>
      <c r="K22" s="3147"/>
      <c r="L22" s="3147"/>
      <c r="M22" s="3147"/>
      <c r="N22" s="3147"/>
      <c r="O22" s="3147"/>
      <c r="P22" s="3147"/>
      <c r="Q22" s="328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29651</v>
      </c>
      <c r="C2" s="2" t="s">
        <v>133</v>
      </c>
      <c r="D2" s="243"/>
      <c r="E2" s="243"/>
      <c r="F2" s="243"/>
      <c r="G2" s="243"/>
    </row>
    <row r="3" spans="1:7" s="244" customFormat="1" ht="18" customHeight="1" thickBot="1">
      <c r="A3" s="247" t="s">
        <v>85</v>
      </c>
      <c r="B3" s="248">
        <f ca="1">ROUND(B2*10000/'数据-汇总表'!E3,0)</f>
        <v>1126986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4</v>
      </c>
      <c r="D9" s="1035">
        <f>'数据-汇总表'!E5</f>
        <v>263.10000000000002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v>
      </c>
      <c r="D19" s="1039">
        <f>'数据-汇总表'!E3</f>
        <v>263.10000000000002</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29542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92</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v>
      </c>
      <c r="D37" s="261">
        <f>'数据-汇总表'!E3</f>
        <v>263.10000000000002</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v>
      </c>
      <c r="D42" s="282"/>
      <c r="E42" s="282"/>
      <c r="F42" s="283"/>
      <c r="G42" s="3151" t="s">
        <v>121</v>
      </c>
    </row>
    <row r="43" spans="1:7" ht="13.5" customHeight="1">
      <c r="A43" s="954" t="s">
        <v>792</v>
      </c>
      <c r="B43" s="259" t="s">
        <v>1061</v>
      </c>
      <c r="C43" s="282">
        <f ca="1">ROUND(IF('数据-取费表'!B22&lt;=1,C39*F22*'数据-取费表'!B21/2,C39*(POWER((1+F22),'数据-取费表'!B21/2)-1)),0)</f>
        <v>0</v>
      </c>
      <c r="D43" s="282"/>
      <c r="E43" s="282"/>
      <c r="F43" s="283"/>
      <c r="G43" s="3152"/>
    </row>
    <row r="44" spans="1:7" ht="13.5" customHeight="1">
      <c r="A44" s="954" t="s">
        <v>793</v>
      </c>
      <c r="B44" s="259" t="s">
        <v>1063</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21</v>
      </c>
      <c r="D45" s="279">
        <f>C47</f>
        <v>4.0000000000000001E-3</v>
      </c>
      <c r="E45" s="280" t="s">
        <v>129</v>
      </c>
      <c r="F45" s="290"/>
      <c r="G45" s="291" t="s">
        <v>1069</v>
      </c>
    </row>
    <row r="46" spans="1:7" s="258" customFormat="1" ht="13.5" customHeight="1">
      <c r="A46" s="954" t="s">
        <v>794</v>
      </c>
      <c r="B46" s="292" t="s">
        <v>1062</v>
      </c>
      <c r="C46" s="293">
        <f>ROUND((C33+C39)*F27,0)</f>
        <v>21</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140</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109</v>
      </c>
      <c r="D51" s="276"/>
      <c r="E51" s="276"/>
      <c r="F51" s="308"/>
      <c r="G51" s="278" t="s">
        <v>64</v>
      </c>
    </row>
    <row r="52" spans="1:7" s="252" customFormat="1" ht="16.5" thickBot="1">
      <c r="A52" s="309" t="s">
        <v>65</v>
      </c>
      <c r="B52" s="310"/>
      <c r="C52" s="311">
        <f ca="1">C31+C51</f>
        <v>29651</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868</v>
      </c>
      <c r="B1" s="32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15">
      <c r="A4" s="1976" t="str">
        <f>项目基本情况!S2</f>
        <v>房地产</v>
      </c>
      <c r="B4" s="1047">
        <f>项目基本情况!C17</f>
        <v>263.10000000000002</v>
      </c>
      <c r="C4" s="1047">
        <f>项目基本情况!C18</f>
        <v>0</v>
      </c>
      <c r="D4" s="1047" t="e">
        <f ca="1">结果表!D118</f>
        <v>#REF!</v>
      </c>
      <c r="E4" s="1047" t="e">
        <f ca="1">结果表!E118</f>
        <v>#REF!</v>
      </c>
      <c r="F4" s="1047" t="e">
        <f ca="1">结果表!F118</f>
        <v>#REF!</v>
      </c>
      <c r="G4" s="1047" t="e">
        <f ca="1">结果表!G118</f>
        <v>#REF!</v>
      </c>
      <c r="H4" s="1047">
        <f ca="1">结果表!H118</f>
        <v>2385</v>
      </c>
      <c r="I4" s="1047">
        <f ca="1">结果表!I118</f>
        <v>90650</v>
      </c>
    </row>
    <row r="5" spans="1:9" ht="30" customHeight="1">
      <c r="A5" s="2980" t="s">
        <v>1636</v>
      </c>
      <c r="B5" s="2980"/>
      <c r="C5" s="2980"/>
      <c r="D5" s="2981" t="e">
        <f ca="1">结果表!D119</f>
        <v>#REF!</v>
      </c>
      <c r="E5" s="2981"/>
      <c r="F5" s="2981" t="e">
        <f ca="1">结果表!F119</f>
        <v>#REF!</v>
      </c>
      <c r="G5" s="2981"/>
      <c r="H5" s="2981" t="str">
        <f ca="1">结果表!H119</f>
        <v>贰仟叁佰捌拾伍万元整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2385</v>
      </c>
      <c r="E8" s="2979"/>
      <c r="F8" s="2979"/>
      <c r="G8" s="2979"/>
      <c r="H8" s="2979"/>
      <c r="I8" s="2979"/>
    </row>
    <row r="9" spans="1:9" ht="15">
      <c r="A9" s="2980" t="s">
        <v>1636</v>
      </c>
      <c r="B9" s="2980"/>
      <c r="C9" s="2980"/>
      <c r="D9" s="2981" t="str">
        <f ca="1">结果表!D123</f>
        <v>贰仟叁佰捌拾伍万元整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87" t="str">
        <f>IF(项目基本情况!B8="抵押","3.抵押双方在办理抵押登记手续时，应使用本公司出具的正式《房地产评估报告》，特提醒报告使用者注意。","——")</f>
        <v>——</v>
      </c>
      <c r="B13" s="2992"/>
      <c r="C13" s="2992"/>
      <c r="D13" s="2992"/>
    </row>
    <row r="14" spans="1:4" ht="15.75" customHeight="1">
      <c r="A14" s="2987" t="str">
        <f>IF(项目基本情况!B8="抵押","4.本次评估估价师所知悉的法定优先受偿款情况说明如下：","——")</f>
        <v>——</v>
      </c>
      <c r="B14" s="2992"/>
      <c r="C14" s="2992"/>
      <c r="D14" s="2992"/>
    </row>
    <row r="15" spans="1:4" ht="42" customHeight="1">
      <c r="A15" s="2987" t="str">
        <f>IF(项目基本情况!B8="抵押","（1）"&amp;CONCATENATE(项目基本情况!L20,项目基本情况!L21,项目基本情况!L22),"——")</f>
        <v>——</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3044</v>
      </c>
      <c r="B14" s="1025">
        <f ca="1">IF(C14&lt;B2,"已过期",1120040230)</f>
        <v>1120040230</v>
      </c>
      <c r="C14" s="2351">
        <v>43835</v>
      </c>
      <c r="D14" s="2354" t="s">
        <v>3044</v>
      </c>
      <c r="E14" s="1025">
        <f ca="1">IF(F14&lt;B2,"已过期",98030020)</f>
        <v>98030020</v>
      </c>
      <c r="F14" s="1033">
        <v>47118</v>
      </c>
    </row>
    <row r="15" spans="1:6" ht="24" customHeight="1">
      <c r="A15" s="1706" t="s">
        <v>3045</v>
      </c>
      <c r="B15" s="1025">
        <f ca="1">IF(C15&lt;B2,"已过期",1120070085)</f>
        <v>1120070085</v>
      </c>
      <c r="C15" s="2351">
        <v>43814</v>
      </c>
      <c r="D15" s="2355" t="s">
        <v>3045</v>
      </c>
      <c r="E15" s="1025">
        <f ca="1">IF(F15&lt;B2,"已过期",2004110128)</f>
        <v>2004110128</v>
      </c>
      <c r="F15" s="1026">
        <v>47118</v>
      </c>
    </row>
    <row r="16" spans="1:6" ht="24" customHeight="1">
      <c r="A16" s="1705" t="s">
        <v>3046</v>
      </c>
      <c r="B16" s="1025">
        <f ca="1">IF(C16&lt;B2,"已过期",1120140022)</f>
        <v>1120140022</v>
      </c>
      <c r="C16" s="2942">
        <v>44029</v>
      </c>
      <c r="D16" s="2354" t="s">
        <v>3046</v>
      </c>
      <c r="E16" s="1025">
        <f ca="1">IF(F16&lt;B2,"已过期",2008110059)</f>
        <v>2008110059</v>
      </c>
      <c r="F16" s="1033">
        <v>47177</v>
      </c>
    </row>
    <row r="17" spans="1:7" ht="24" customHeight="1">
      <c r="A17" s="1705"/>
      <c r="B17" s="1025"/>
      <c r="C17" s="2351"/>
      <c r="D17" s="2354" t="s">
        <v>3047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2">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比较法-住宅</vt:lpstr>
      <vt:lpstr>收益法 (元)</vt:lpstr>
      <vt:lpstr>收益法（汇总）</vt:lpstr>
      <vt:lpstr>酒店收入计算</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2019-01-21T13:06:30Z</dcterms:modified>
</cp:coreProperties>
</file>