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05" windowWidth="9600" windowHeight="1048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Sheet1"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Sheet2" sheetId="81" r:id="rId23"/>
    <sheet name="假设开发法" sheetId="12" r:id="rId24"/>
    <sheet name="收益法 (元)" sheetId="67" state="hidden" r:id="rId25"/>
    <sheet name="收益法-酒店模型" sheetId="77" state="hidden" r:id="rId26"/>
    <sheet name="收益法（汇总）" sheetId="70" state="hidden" r:id="rId27"/>
    <sheet name="比较法-住宅" sheetId="21" state="hidden" r:id="rId28"/>
    <sheet name="比较法-办公" sheetId="34" r:id="rId29"/>
    <sheet name="比较法-商业" sheetId="33" r:id="rId30"/>
    <sheet name="比较法-工业" sheetId="37" state="hidden" r:id="rId31"/>
    <sheet name="典型户型修正" sheetId="31" r:id="rId32"/>
    <sheet name="比较法-仓储" sheetId="36" r:id="rId33"/>
    <sheet name="土地比较法-工业" sheetId="40" state="hidden" r:id="rId34"/>
    <sheet name="收益法" sheetId="15"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比较法-车位" sheetId="35" r:id="rId47"/>
    <sheet name="办公案例" sheetId="82" r:id="rId48"/>
    <sheet name="商业案例" sheetId="84" r:id="rId49"/>
    <sheet name="仓储案例" sheetId="83" r:id="rId50"/>
    <sheet name="车位案例" sheetId="85" r:id="rId51"/>
  </sheets>
  <externalReferences>
    <externalReference r:id="rId52"/>
    <externalReference r:id="rId53"/>
  </externalReferences>
  <definedNames>
    <definedName name="_xlnm._FilterDatabase" localSheetId="13" hidden="1">Sheet1!$B$109:$L$404</definedName>
    <definedName name="_xlnm._FilterDatabase" localSheetId="28" hidden="1">'比较法-办公'!$A$1:$L$50</definedName>
    <definedName name="_xlnm._FilterDatabase" localSheetId="32" hidden="1">'比较法-仓储'!$A$1:$L$37</definedName>
    <definedName name="_xlnm._FilterDatabase" localSheetId="46" hidden="1">'比较法-车位'!$A$1:$L$39</definedName>
    <definedName name="_xlnm._FilterDatabase" localSheetId="30" hidden="1">'比较法-工业'!$A$1:$L$43</definedName>
    <definedName name="_xlnm._FilterDatabase" localSheetId="29"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21"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2">'比较法-仓储'!$A$1:$K$42,'比较法-仓储'!$A$45:$M$96</definedName>
    <definedName name="_xlnm.Print_Area" localSheetId="46">'比较法-车位'!$A$1:$K$44,'比较法-车位'!$A$47:$M$102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3">假设开发法!$A$1:$K$32</definedName>
    <definedName name="_xlnm.Print_Area" localSheetId="18">结果表!$A$1:$I$127</definedName>
    <definedName name="_xlnm.Print_Area" localSheetId="34">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3">'土地比较法-工业'!$A$1:$K$61,'土地比较法-工业'!$A$64:$M$121</definedName>
    <definedName name="_xlnm.Print_Area" localSheetId="2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concurrentCalc="0"/>
</workbook>
</file>

<file path=xl/calcChain.xml><?xml version="1.0" encoding="utf-8"?>
<calcChain xmlns="http://schemas.openxmlformats.org/spreadsheetml/2006/main">
  <c r="C409" i="80" l="1"/>
  <c r="G102" i="80"/>
  <c r="E89" i="80"/>
  <c r="F89" i="80"/>
  <c r="I13" i="3"/>
  <c r="F19" i="6"/>
  <c r="E19" i="6"/>
  <c r="E90" i="80"/>
  <c r="F90" i="80"/>
  <c r="K13" i="3"/>
  <c r="F20" i="6"/>
  <c r="E91" i="80"/>
  <c r="F91" i="80"/>
  <c r="M13" i="3"/>
  <c r="G20" i="6"/>
  <c r="E20" i="6"/>
  <c r="E94" i="80"/>
  <c r="F94" i="80"/>
  <c r="O13" i="3"/>
  <c r="F21" i="6"/>
  <c r="E95" i="80"/>
  <c r="F95" i="80"/>
  <c r="Q13" i="3"/>
  <c r="G21" i="6"/>
  <c r="E21" i="6"/>
  <c r="E92" i="80"/>
  <c r="F92" i="80"/>
  <c r="S13" i="3"/>
  <c r="G22" i="6"/>
  <c r="E22" i="6"/>
  <c r="BB13" i="3"/>
  <c r="BC13" i="3"/>
  <c r="BD13" i="3"/>
  <c r="BE13" i="3"/>
  <c r="BF13" i="3"/>
  <c r="BG13" i="3"/>
  <c r="BA13" i="3"/>
  <c r="BB14" i="3"/>
  <c r="BC14" i="3"/>
  <c r="BD14" i="3"/>
  <c r="BE14" i="3"/>
  <c r="BF14" i="3"/>
  <c r="BG14" i="3"/>
  <c r="BA14" i="3"/>
  <c r="BA5" i="3"/>
  <c r="E27" i="6"/>
  <c r="E31" i="6"/>
  <c r="E404" i="80"/>
  <c r="E402" i="80"/>
  <c r="E407" i="80"/>
  <c r="E403" i="80"/>
  <c r="BB5" i="3"/>
  <c r="BC5" i="3"/>
  <c r="BE5" i="3"/>
  <c r="E8" i="6"/>
  <c r="F27" i="6"/>
  <c r="F31" i="6"/>
  <c r="AZ13" i="3"/>
  <c r="AZ14" i="3"/>
  <c r="AZ5" i="3"/>
  <c r="H13" i="3"/>
  <c r="G13" i="3"/>
  <c r="I14" i="3"/>
  <c r="K14" i="3"/>
  <c r="M14" i="3"/>
  <c r="O14" i="3"/>
  <c r="Q14" i="3"/>
  <c r="S14" i="3"/>
  <c r="H14" i="3"/>
  <c r="G14" i="3"/>
  <c r="G5" i="3"/>
  <c r="B3" i="3"/>
  <c r="AY6" i="3"/>
  <c r="D3" i="6"/>
  <c r="K7" i="6"/>
  <c r="I7" i="6"/>
  <c r="H99" i="80"/>
  <c r="AN13" i="3"/>
  <c r="AL13" i="3"/>
  <c r="BQ13" i="3"/>
  <c r="BR13" i="3"/>
  <c r="BL13" i="3"/>
  <c r="AC13" i="3"/>
  <c r="M19" i="9"/>
  <c r="C118" i="9"/>
  <c r="C14" i="74"/>
  <c r="E3" i="6"/>
  <c r="M18" i="9"/>
  <c r="B118" i="9"/>
  <c r="B14" i="74"/>
  <c r="AH9" i="1"/>
  <c r="D3" i="36"/>
  <c r="B2" i="1"/>
  <c r="C7" i="36"/>
  <c r="C46" i="36"/>
  <c r="D46" i="36"/>
  <c r="E46" i="36"/>
  <c r="F46" i="36"/>
  <c r="G46" i="36"/>
  <c r="H46" i="36"/>
  <c r="I46" i="36"/>
  <c r="J46" i="36"/>
  <c r="K46" i="36"/>
  <c r="L46" i="36"/>
  <c r="M46" i="36"/>
  <c r="N46" i="36"/>
  <c r="O46" i="36"/>
  <c r="F7" i="36"/>
  <c r="AA7" i="36"/>
  <c r="R36" i="36"/>
  <c r="H7" i="36"/>
  <c r="AB7" i="36"/>
  <c r="T36" i="36"/>
  <c r="J7" i="36"/>
  <c r="AC7" i="36"/>
  <c r="V36" i="36"/>
  <c r="R37" i="36"/>
  <c r="C37" i="36"/>
  <c r="B2" i="36"/>
  <c r="E8" i="12"/>
  <c r="B3" i="36"/>
  <c r="E6" i="12"/>
  <c r="I5" i="35"/>
  <c r="G5" i="35"/>
  <c r="G5" i="36"/>
  <c r="E5" i="36"/>
  <c r="C33" i="33"/>
  <c r="F33" i="33"/>
  <c r="AA33" i="33"/>
  <c r="C7" i="33"/>
  <c r="C58" i="33"/>
  <c r="D58" i="33"/>
  <c r="E58" i="33"/>
  <c r="F58" i="33"/>
  <c r="G58" i="33"/>
  <c r="H58" i="33"/>
  <c r="I58" i="33"/>
  <c r="J58" i="33"/>
  <c r="K58" i="33"/>
  <c r="L58" i="33"/>
  <c r="M58" i="33"/>
  <c r="N58" i="33"/>
  <c r="O58" i="33"/>
  <c r="F7" i="33"/>
  <c r="AA7" i="33"/>
  <c r="R48" i="33"/>
  <c r="H33" i="33"/>
  <c r="AB33" i="33"/>
  <c r="H7" i="33"/>
  <c r="AB7" i="33"/>
  <c r="T48" i="33"/>
  <c r="J33" i="33"/>
  <c r="AC33" i="33"/>
  <c r="J7" i="33"/>
  <c r="AC7" i="33"/>
  <c r="V48" i="33"/>
  <c r="R49" i="33"/>
  <c r="C49" i="33"/>
  <c r="R24" i="31"/>
  <c r="M7" i="12"/>
  <c r="C7" i="34"/>
  <c r="G7" i="34"/>
  <c r="I7" i="34"/>
  <c r="E7" i="34"/>
  <c r="I38" i="39"/>
  <c r="I7" i="39"/>
  <c r="I5" i="39"/>
  <c r="G38" i="39"/>
  <c r="E38" i="39"/>
  <c r="G7" i="39"/>
  <c r="E7" i="39"/>
  <c r="G5" i="39"/>
  <c r="E5" i="39"/>
  <c r="AK8" i="1"/>
  <c r="AL8" i="1"/>
  <c r="AM8" i="1"/>
  <c r="AL7" i="1"/>
  <c r="AM7" i="1"/>
  <c r="AK7" i="1"/>
  <c r="N14" i="1"/>
  <c r="N9" i="1"/>
  <c r="N8" i="1"/>
  <c r="N7" i="1"/>
  <c r="AT13" i="3"/>
  <c r="K89" i="80"/>
  <c r="L89" i="80"/>
  <c r="B26" i="31"/>
  <c r="K90" i="80"/>
  <c r="L90" i="80"/>
  <c r="B24" i="31"/>
  <c r="K91" i="80"/>
  <c r="L91" i="80"/>
  <c r="B25" i="31"/>
  <c r="K92" i="80"/>
  <c r="L92" i="80"/>
  <c r="J90" i="80"/>
  <c r="J91" i="80"/>
  <c r="J92" i="80"/>
  <c r="J89" i="80"/>
  <c r="G401" i="80"/>
  <c r="G400" i="80"/>
  <c r="G399" i="80"/>
  <c r="G398" i="80"/>
  <c r="G397" i="80"/>
  <c r="G396" i="80"/>
  <c r="G395" i="80"/>
  <c r="G394" i="80"/>
  <c r="G393" i="80"/>
  <c r="G392" i="80"/>
  <c r="G391" i="80"/>
  <c r="G390" i="80"/>
  <c r="G389" i="80"/>
  <c r="G388" i="80"/>
  <c r="G387" i="80"/>
  <c r="G386" i="80"/>
  <c r="G385" i="80"/>
  <c r="G384" i="80"/>
  <c r="G383" i="80"/>
  <c r="G382" i="80"/>
  <c r="G381" i="80"/>
  <c r="G380" i="80"/>
  <c r="G379" i="80"/>
  <c r="G378" i="80"/>
  <c r="G377" i="80"/>
  <c r="G376" i="80"/>
  <c r="G375" i="80"/>
  <c r="G374" i="80"/>
  <c r="G373" i="80"/>
  <c r="G372" i="80"/>
  <c r="G371" i="80"/>
  <c r="G370" i="80"/>
  <c r="G369" i="80"/>
  <c r="G368" i="80"/>
  <c r="G367" i="80"/>
  <c r="G366" i="80"/>
  <c r="G365" i="80"/>
  <c r="G364" i="80"/>
  <c r="G363" i="80"/>
  <c r="G362" i="80"/>
  <c r="G361" i="80"/>
  <c r="G360" i="80"/>
  <c r="G359" i="80"/>
  <c r="G358" i="80"/>
  <c r="G357" i="80"/>
  <c r="G356" i="80"/>
  <c r="G355" i="80"/>
  <c r="G354" i="80"/>
  <c r="G353" i="80"/>
  <c r="G352" i="80"/>
  <c r="G351" i="80"/>
  <c r="G350" i="80"/>
  <c r="G349" i="80"/>
  <c r="G348" i="80"/>
  <c r="G347" i="80"/>
  <c r="G346" i="80"/>
  <c r="G345" i="80"/>
  <c r="G344" i="80"/>
  <c r="G343" i="80"/>
  <c r="G342" i="80"/>
  <c r="G341" i="80"/>
  <c r="G340" i="80"/>
  <c r="G339" i="80"/>
  <c r="G338" i="80"/>
  <c r="G337" i="80"/>
  <c r="G336" i="80"/>
  <c r="G335" i="80"/>
  <c r="G334" i="80"/>
  <c r="G333" i="80"/>
  <c r="G332" i="80"/>
  <c r="G331" i="80"/>
  <c r="G330" i="80"/>
  <c r="G329" i="80"/>
  <c r="G328" i="80"/>
  <c r="G327" i="80"/>
  <c r="G326" i="80"/>
  <c r="G325" i="80"/>
  <c r="G324" i="80"/>
  <c r="G323" i="80"/>
  <c r="G322" i="80"/>
  <c r="G321" i="80"/>
  <c r="G320" i="80"/>
  <c r="G319" i="80"/>
  <c r="G318" i="80"/>
  <c r="G317" i="80"/>
  <c r="G316" i="80"/>
  <c r="G315" i="80"/>
  <c r="G314" i="80"/>
  <c r="G313" i="80"/>
  <c r="G312" i="80"/>
  <c r="G311" i="80"/>
  <c r="G310" i="80"/>
  <c r="G309" i="80"/>
  <c r="G308" i="80"/>
  <c r="G307" i="80"/>
  <c r="G306" i="80"/>
  <c r="G305" i="80"/>
  <c r="G304" i="80"/>
  <c r="G303" i="80"/>
  <c r="G302" i="80"/>
  <c r="G301" i="80"/>
  <c r="G300" i="80"/>
  <c r="G299" i="80"/>
  <c r="G298" i="80"/>
  <c r="G297" i="80"/>
  <c r="G296" i="80"/>
  <c r="G295" i="80"/>
  <c r="G294" i="80"/>
  <c r="G293" i="80"/>
  <c r="G292" i="80"/>
  <c r="G291" i="80"/>
  <c r="G290" i="80"/>
  <c r="G289" i="80"/>
  <c r="G288" i="80"/>
  <c r="G287" i="80"/>
  <c r="G286" i="80"/>
  <c r="G285" i="80"/>
  <c r="G284" i="80"/>
  <c r="G283" i="80"/>
  <c r="G282" i="80"/>
  <c r="G281" i="80"/>
  <c r="G280" i="80"/>
  <c r="G279" i="80"/>
  <c r="G278" i="80"/>
  <c r="G277" i="80"/>
  <c r="G276" i="80"/>
  <c r="G275" i="80"/>
  <c r="G274" i="80"/>
  <c r="G273" i="80"/>
  <c r="G272" i="80"/>
  <c r="G271" i="80"/>
  <c r="G270" i="80"/>
  <c r="G269" i="80"/>
  <c r="G268" i="80"/>
  <c r="G267" i="80"/>
  <c r="G266" i="80"/>
  <c r="G265" i="80"/>
  <c r="G264" i="80"/>
  <c r="G263" i="80"/>
  <c r="G262" i="80"/>
  <c r="G261" i="80"/>
  <c r="G260" i="80"/>
  <c r="G259" i="80"/>
  <c r="G258" i="80"/>
  <c r="G257" i="80"/>
  <c r="G256" i="80"/>
  <c r="G255" i="80"/>
  <c r="G254" i="80"/>
  <c r="G253" i="80"/>
  <c r="G252" i="80"/>
  <c r="G251" i="80"/>
  <c r="G250" i="80"/>
  <c r="G249" i="80"/>
  <c r="G248" i="80"/>
  <c r="G247" i="80"/>
  <c r="G246" i="80"/>
  <c r="G245" i="80"/>
  <c r="G244" i="80"/>
  <c r="G243" i="80"/>
  <c r="G242" i="80"/>
  <c r="G241" i="80"/>
  <c r="G240" i="80"/>
  <c r="G239" i="80"/>
  <c r="G238" i="80"/>
  <c r="G237" i="80"/>
  <c r="G236" i="80"/>
  <c r="G235" i="80"/>
  <c r="G234" i="80"/>
  <c r="G233" i="80"/>
  <c r="G232" i="80"/>
  <c r="G231" i="80"/>
  <c r="G230" i="80"/>
  <c r="G229" i="80"/>
  <c r="G228" i="80"/>
  <c r="G227" i="80"/>
  <c r="G226" i="80"/>
  <c r="G225" i="80"/>
  <c r="G224" i="80"/>
  <c r="G223" i="80"/>
  <c r="G222" i="80"/>
  <c r="G221" i="80"/>
  <c r="G220" i="80"/>
  <c r="G219" i="80"/>
  <c r="G218" i="80"/>
  <c r="G217" i="80"/>
  <c r="G216" i="80"/>
  <c r="G215" i="80"/>
  <c r="G214" i="80"/>
  <c r="G213" i="80"/>
  <c r="G212" i="80"/>
  <c r="G211" i="80"/>
  <c r="G210" i="80"/>
  <c r="G209" i="80"/>
  <c r="G208" i="80"/>
  <c r="G207" i="80"/>
  <c r="G206" i="80"/>
  <c r="G205" i="80"/>
  <c r="G204" i="80"/>
  <c r="G203" i="80"/>
  <c r="G202" i="80"/>
  <c r="G201" i="80"/>
  <c r="G200" i="80"/>
  <c r="G199" i="80"/>
  <c r="G198" i="80"/>
  <c r="G197" i="80"/>
  <c r="G196" i="80"/>
  <c r="G195" i="80"/>
  <c r="G194" i="80"/>
  <c r="G193" i="80"/>
  <c r="G192" i="80"/>
  <c r="G191" i="80"/>
  <c r="G190" i="80"/>
  <c r="G189" i="80"/>
  <c r="G188" i="80"/>
  <c r="G187" i="80"/>
  <c r="G186" i="80"/>
  <c r="G185" i="80"/>
  <c r="G184" i="80"/>
  <c r="G183" i="80"/>
  <c r="G182" i="80"/>
  <c r="G181" i="80"/>
  <c r="G180" i="80"/>
  <c r="G179" i="80"/>
  <c r="G178" i="80"/>
  <c r="G177" i="80"/>
  <c r="G176" i="80"/>
  <c r="G175" i="80"/>
  <c r="G174" i="80"/>
  <c r="G173" i="80"/>
  <c r="G172" i="80"/>
  <c r="G171" i="80"/>
  <c r="G170" i="80"/>
  <c r="G169" i="80"/>
  <c r="G168" i="80"/>
  <c r="G167" i="80"/>
  <c r="G166" i="80"/>
  <c r="G165" i="80"/>
  <c r="G164" i="80"/>
  <c r="G163" i="80"/>
  <c r="G162" i="80"/>
  <c r="G161" i="80"/>
  <c r="G160" i="80"/>
  <c r="G159" i="80"/>
  <c r="G158" i="80"/>
  <c r="G157" i="80"/>
  <c r="G156" i="80"/>
  <c r="G155" i="80"/>
  <c r="G154" i="80"/>
  <c r="G153" i="80"/>
  <c r="G152" i="80"/>
  <c r="G151" i="80"/>
  <c r="G150" i="80"/>
  <c r="G149" i="80"/>
  <c r="G148" i="80"/>
  <c r="G147" i="80"/>
  <c r="G146" i="80"/>
  <c r="G145" i="80"/>
  <c r="G144" i="80"/>
  <c r="G143" i="80"/>
  <c r="G142" i="80"/>
  <c r="G141" i="80"/>
  <c r="G140" i="80"/>
  <c r="G139" i="80"/>
  <c r="G138" i="80"/>
  <c r="G137" i="80"/>
  <c r="G136" i="80"/>
  <c r="G135" i="80"/>
  <c r="G134" i="80"/>
  <c r="G133" i="80"/>
  <c r="G132" i="80"/>
  <c r="G131" i="80"/>
  <c r="G130" i="80"/>
  <c r="G129" i="80"/>
  <c r="G128" i="80"/>
  <c r="G127" i="80"/>
  <c r="G126" i="80"/>
  <c r="G125" i="80"/>
  <c r="G124" i="80"/>
  <c r="G123" i="80"/>
  <c r="G122" i="80"/>
  <c r="G121" i="80"/>
  <c r="G120" i="80"/>
  <c r="G119" i="80"/>
  <c r="G118" i="80"/>
  <c r="G117" i="80"/>
  <c r="G116" i="80"/>
  <c r="G115" i="80"/>
  <c r="G114" i="80"/>
  <c r="G113" i="80"/>
  <c r="G112" i="80"/>
  <c r="G111" i="80"/>
  <c r="G110" i="80"/>
  <c r="L85" i="80"/>
  <c r="H85" i="80"/>
  <c r="D97" i="80"/>
  <c r="G84" i="80"/>
  <c r="D84" i="80"/>
  <c r="G83" i="80"/>
  <c r="D83" i="80"/>
  <c r="D82" i="80"/>
  <c r="D81" i="80"/>
  <c r="G80" i="80"/>
  <c r="D80" i="80"/>
  <c r="G79" i="80"/>
  <c r="D79" i="80"/>
  <c r="G78" i="80"/>
  <c r="D78" i="80"/>
  <c r="G77" i="80"/>
  <c r="D77" i="80"/>
  <c r="G76" i="80"/>
  <c r="D76" i="80"/>
  <c r="G75" i="80"/>
  <c r="D75" i="80"/>
  <c r="D74" i="80"/>
  <c r="G73" i="80"/>
  <c r="D73" i="80"/>
  <c r="G72" i="80"/>
  <c r="D72" i="80"/>
  <c r="G69" i="80"/>
  <c r="G71" i="80"/>
  <c r="D71" i="80"/>
  <c r="D69" i="80"/>
  <c r="G68" i="80"/>
  <c r="G70" i="80"/>
  <c r="D70" i="80"/>
  <c r="D68" i="80"/>
  <c r="G64" i="80"/>
  <c r="G67" i="80"/>
  <c r="D67" i="80"/>
  <c r="D64" i="80"/>
  <c r="G63" i="80"/>
  <c r="G65" i="80"/>
  <c r="D65" i="80"/>
  <c r="D63" i="80"/>
  <c r="G62" i="80"/>
  <c r="D62" i="80"/>
  <c r="D61" i="80"/>
  <c r="G60" i="80"/>
  <c r="D60" i="80"/>
  <c r="G59" i="80"/>
  <c r="D59" i="80"/>
  <c r="G58" i="80"/>
  <c r="D58" i="80"/>
  <c r="G57" i="80"/>
  <c r="D57" i="80"/>
  <c r="G56" i="80"/>
  <c r="D56" i="80"/>
  <c r="G55" i="80"/>
  <c r="D55" i="80"/>
  <c r="G54" i="80"/>
  <c r="D54" i="80"/>
  <c r="G53" i="80"/>
  <c r="D53" i="80"/>
  <c r="G52" i="80"/>
  <c r="D52" i="80"/>
  <c r="G51" i="80"/>
  <c r="D51" i="80"/>
  <c r="G50" i="80"/>
  <c r="D50" i="80"/>
  <c r="G49" i="80"/>
  <c r="D49" i="80"/>
  <c r="G48" i="80"/>
  <c r="D48" i="80"/>
  <c r="D47" i="80"/>
  <c r="G46" i="80"/>
  <c r="D46" i="80"/>
  <c r="G45" i="80"/>
  <c r="D45" i="80"/>
  <c r="G44" i="80"/>
  <c r="D44" i="80"/>
  <c r="G43" i="80"/>
  <c r="D43" i="80"/>
  <c r="G42" i="80"/>
  <c r="D42" i="80"/>
  <c r="G41" i="80"/>
  <c r="D41" i="80"/>
  <c r="G40" i="80"/>
  <c r="D40" i="80"/>
  <c r="G39" i="80"/>
  <c r="D39" i="80"/>
  <c r="G38" i="80"/>
  <c r="D38" i="80"/>
  <c r="G37" i="80"/>
  <c r="D37" i="80"/>
  <c r="G36" i="80"/>
  <c r="D36" i="80"/>
  <c r="G35" i="80"/>
  <c r="D35" i="80"/>
  <c r="D34" i="80"/>
  <c r="G33" i="80"/>
  <c r="D33" i="80"/>
  <c r="G32" i="80"/>
  <c r="D32" i="80"/>
  <c r="G31" i="80"/>
  <c r="D31" i="80"/>
  <c r="G25" i="80"/>
  <c r="G30" i="80"/>
  <c r="D30" i="80"/>
  <c r="G24" i="80"/>
  <c r="G29" i="80"/>
  <c r="D29" i="80"/>
  <c r="D23" i="80"/>
  <c r="G22" i="80"/>
  <c r="D22" i="80"/>
  <c r="G21" i="80"/>
  <c r="D21" i="80"/>
  <c r="D20" i="80"/>
  <c r="D19" i="80"/>
  <c r="G18" i="80"/>
  <c r="D18" i="80"/>
  <c r="G17" i="80"/>
  <c r="D17" i="80"/>
  <c r="G16" i="80"/>
  <c r="D16" i="80"/>
  <c r="G15" i="80"/>
  <c r="D15" i="80"/>
  <c r="G14" i="80"/>
  <c r="D14" i="80"/>
  <c r="G13" i="80"/>
  <c r="E13" i="80"/>
  <c r="D13" i="80"/>
  <c r="C13" i="80"/>
  <c r="C85" i="80"/>
  <c r="G12" i="80"/>
  <c r="E12" i="80"/>
  <c r="D12" i="80"/>
  <c r="E11" i="80"/>
  <c r="D90" i="80"/>
  <c r="J10" i="80"/>
  <c r="I10" i="80"/>
  <c r="E10" i="80"/>
  <c r="D91" i="80"/>
  <c r="K9" i="80"/>
  <c r="K85" i="80"/>
  <c r="D96" i="80"/>
  <c r="J9" i="80"/>
  <c r="I9" i="80"/>
  <c r="F9" i="80"/>
  <c r="J8" i="80"/>
  <c r="I8" i="80"/>
  <c r="F8" i="80"/>
  <c r="J7" i="80"/>
  <c r="J85" i="80"/>
  <c r="D95" i="80"/>
  <c r="I7" i="80"/>
  <c r="D93" i="80"/>
  <c r="F7" i="80"/>
  <c r="F10" i="80"/>
  <c r="D92" i="80"/>
  <c r="D24" i="80"/>
  <c r="D85" i="80"/>
  <c r="D89" i="80"/>
  <c r="D25" i="80"/>
  <c r="G66" i="80"/>
  <c r="D66" i="80"/>
  <c r="E85" i="80"/>
  <c r="I85" i="80"/>
  <c r="G26" i="80"/>
  <c r="D26" i="80"/>
  <c r="G27" i="80"/>
  <c r="D27" i="80"/>
  <c r="G28" i="80"/>
  <c r="D28" i="80"/>
  <c r="F85" i="80"/>
  <c r="L26" i="79"/>
  <c r="M26" i="79"/>
  <c r="P26" i="79"/>
  <c r="N26" i="79"/>
  <c r="L27" i="79"/>
  <c r="M27" i="79"/>
  <c r="N27" i="79"/>
  <c r="L28" i="79"/>
  <c r="M28" i="79"/>
  <c r="P28" i="79"/>
  <c r="N28" i="79"/>
  <c r="I26" i="79"/>
  <c r="I27" i="79"/>
  <c r="I28" i="79"/>
  <c r="I6" i="79"/>
  <c r="I7" i="79"/>
  <c r="I8" i="79"/>
  <c r="K6" i="79"/>
  <c r="L6" i="79"/>
  <c r="M6" i="79"/>
  <c r="P6" i="79"/>
  <c r="N6" i="79"/>
  <c r="O6" i="79"/>
  <c r="K7" i="79"/>
  <c r="L7" i="79"/>
  <c r="M7" i="79"/>
  <c r="P7" i="79"/>
  <c r="N7" i="79"/>
  <c r="O7" i="79"/>
  <c r="K8" i="79"/>
  <c r="L8" i="79"/>
  <c r="M8" i="79"/>
  <c r="P8" i="79"/>
  <c r="N8" i="79"/>
  <c r="O8" i="79"/>
  <c r="G85" i="80"/>
  <c r="D94" i="80"/>
  <c r="P27" i="79"/>
  <c r="D98" i="80"/>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6" i="78"/>
  <c r="C7" i="78"/>
  <c r="C5"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36" i="79"/>
  <c r="AA36" i="79"/>
  <c r="Z36" i="79"/>
  <c r="W36" i="79"/>
  <c r="N36" i="79"/>
  <c r="M36" i="79"/>
  <c r="P36" i="79"/>
  <c r="L36" i="79"/>
  <c r="I36" i="79"/>
  <c r="AD36" i="79"/>
  <c r="AB35" i="79"/>
  <c r="AA35" i="79"/>
  <c r="Z35" i="79"/>
  <c r="N35" i="79"/>
  <c r="U35" i="79"/>
  <c r="M35" i="79"/>
  <c r="T35" i="79"/>
  <c r="W35" i="79"/>
  <c r="L35" i="79"/>
  <c r="S35" i="79"/>
  <c r="I35" i="79"/>
  <c r="AD35" i="79"/>
  <c r="AB34" i="79"/>
  <c r="AA34" i="79"/>
  <c r="Z34" i="79"/>
  <c r="N34" i="79"/>
  <c r="U34" i="79"/>
  <c r="M34" i="79"/>
  <c r="L34" i="79"/>
  <c r="S34" i="79"/>
  <c r="I34" i="79"/>
  <c r="AB33" i="79"/>
  <c r="AA33" i="79"/>
  <c r="Z33" i="79"/>
  <c r="N33" i="79"/>
  <c r="M33" i="79"/>
  <c r="T33" i="79"/>
  <c r="W33" i="79"/>
  <c r="L33" i="79"/>
  <c r="I33" i="79"/>
  <c r="AD33" i="79"/>
  <c r="AB32" i="79"/>
  <c r="AA32" i="79"/>
  <c r="Z32" i="79"/>
  <c r="N32" i="79"/>
  <c r="U32" i="79"/>
  <c r="M32" i="79"/>
  <c r="L32" i="79"/>
  <c r="S32" i="79"/>
  <c r="I32" i="79"/>
  <c r="AB31" i="79"/>
  <c r="AA31" i="79"/>
  <c r="Z31" i="79"/>
  <c r="N31" i="79"/>
  <c r="M31" i="79"/>
  <c r="T31" i="79"/>
  <c r="W31" i="79"/>
  <c r="L31" i="79"/>
  <c r="I31" i="79"/>
  <c r="AD31" i="79"/>
  <c r="AB30" i="79"/>
  <c r="AA30" i="79"/>
  <c r="Z30" i="79"/>
  <c r="N30" i="79"/>
  <c r="U30" i="79"/>
  <c r="M30" i="79"/>
  <c r="L30" i="79"/>
  <c r="S30" i="79"/>
  <c r="I30" i="79"/>
  <c r="AB29" i="79"/>
  <c r="AA29" i="79"/>
  <c r="Z29" i="79"/>
  <c r="N29" i="79"/>
  <c r="M29" i="79"/>
  <c r="L29" i="79"/>
  <c r="I29" i="79"/>
  <c r="AD29" i="79"/>
  <c r="AB25" i="79"/>
  <c r="AA25" i="79"/>
  <c r="Z25" i="79"/>
  <c r="N25" i="79"/>
  <c r="M25" i="79"/>
  <c r="L25" i="79"/>
  <c r="I25" i="79"/>
  <c r="AD25" i="79"/>
  <c r="AB23" i="79"/>
  <c r="AA23" i="79"/>
  <c r="AD23" i="79"/>
  <c r="U23" i="79"/>
  <c r="T23" i="79"/>
  <c r="W23" i="79"/>
  <c r="N23" i="79"/>
  <c r="M23" i="79"/>
  <c r="P23" i="79"/>
  <c r="L23" i="79"/>
  <c r="G23" i="79"/>
  <c r="F23" i="79"/>
  <c r="I23" i="79"/>
  <c r="E23" i="79"/>
  <c r="AC16" i="79"/>
  <c r="AB16" i="79"/>
  <c r="AA16" i="79"/>
  <c r="AD16" i="79"/>
  <c r="Z16" i="79"/>
  <c r="Y16" i="79"/>
  <c r="W16" i="79"/>
  <c r="O16" i="79"/>
  <c r="N16" i="79"/>
  <c r="M16" i="79"/>
  <c r="P16" i="79"/>
  <c r="L16" i="79"/>
  <c r="K16" i="79"/>
  <c r="I16" i="79"/>
  <c r="AC15" i="79"/>
  <c r="AB15" i="79"/>
  <c r="AA15" i="79"/>
  <c r="AD15" i="79"/>
  <c r="Z15" i="79"/>
  <c r="Y15" i="79"/>
  <c r="O15" i="79"/>
  <c r="V15" i="79"/>
  <c r="N15" i="79"/>
  <c r="U15" i="79"/>
  <c r="M15" i="79"/>
  <c r="P15" i="79"/>
  <c r="L15" i="79"/>
  <c r="S15" i="79"/>
  <c r="K15" i="79"/>
  <c r="R15" i="79"/>
  <c r="I15" i="79"/>
  <c r="AC14" i="79"/>
  <c r="AB14" i="79"/>
  <c r="AA14" i="79"/>
  <c r="AD14" i="79"/>
  <c r="Z14" i="79"/>
  <c r="Y14" i="79"/>
  <c r="O14" i="79"/>
  <c r="V14" i="79"/>
  <c r="N14" i="79"/>
  <c r="U14" i="79"/>
  <c r="M14" i="79"/>
  <c r="T14" i="79"/>
  <c r="W14" i="79"/>
  <c r="L14" i="79"/>
  <c r="S14" i="79"/>
  <c r="K14" i="79"/>
  <c r="R14" i="79"/>
  <c r="I14" i="79"/>
  <c r="AC13" i="79"/>
  <c r="AB13" i="79"/>
  <c r="AA13" i="79"/>
  <c r="AD13" i="79"/>
  <c r="Z13" i="79"/>
  <c r="Y13" i="79"/>
  <c r="O13" i="79"/>
  <c r="V13" i="79"/>
  <c r="N13" i="79"/>
  <c r="U13" i="79"/>
  <c r="M13" i="79"/>
  <c r="P13" i="79"/>
  <c r="L13" i="79"/>
  <c r="S13" i="79"/>
  <c r="K13" i="79"/>
  <c r="R13" i="79"/>
  <c r="I13" i="79"/>
  <c r="AC12" i="79"/>
  <c r="AB12" i="79"/>
  <c r="AA12" i="79"/>
  <c r="AD12" i="79"/>
  <c r="Z12" i="79"/>
  <c r="Y12" i="79"/>
  <c r="O12" i="79"/>
  <c r="V12" i="79"/>
  <c r="N12" i="79"/>
  <c r="U12" i="79"/>
  <c r="M12" i="79"/>
  <c r="T12" i="79"/>
  <c r="W12" i="79"/>
  <c r="L12" i="79"/>
  <c r="S12" i="79"/>
  <c r="K12" i="79"/>
  <c r="R12" i="79"/>
  <c r="I12" i="79"/>
  <c r="AC11" i="79"/>
  <c r="AB11" i="79"/>
  <c r="AA11" i="79"/>
  <c r="AD11" i="79"/>
  <c r="Z11" i="79"/>
  <c r="Y11" i="79"/>
  <c r="O11" i="79"/>
  <c r="V11" i="79"/>
  <c r="N11" i="79"/>
  <c r="U11" i="79"/>
  <c r="M11" i="79"/>
  <c r="P11" i="79"/>
  <c r="L11" i="79"/>
  <c r="S11" i="79"/>
  <c r="K11" i="79"/>
  <c r="R11" i="79"/>
  <c r="I11" i="79"/>
  <c r="AC10" i="79"/>
  <c r="AB10" i="79"/>
  <c r="AA10" i="79"/>
  <c r="AD10" i="79"/>
  <c r="Z10" i="79"/>
  <c r="Y10" i="79"/>
  <c r="O10" i="79"/>
  <c r="V10" i="79"/>
  <c r="N10" i="79"/>
  <c r="U10" i="79"/>
  <c r="M10" i="79"/>
  <c r="T10" i="79"/>
  <c r="W10" i="79"/>
  <c r="L10" i="79"/>
  <c r="S10" i="79"/>
  <c r="K10" i="79"/>
  <c r="R10" i="79"/>
  <c r="I10" i="79"/>
  <c r="AC9" i="79"/>
  <c r="AB9" i="79"/>
  <c r="AA9" i="79"/>
  <c r="AD9" i="79"/>
  <c r="Z9" i="79"/>
  <c r="Y9" i="79"/>
  <c r="O9" i="79"/>
  <c r="N9" i="79"/>
  <c r="M9" i="79"/>
  <c r="L9" i="79"/>
  <c r="K9" i="79"/>
  <c r="I9" i="79"/>
  <c r="AC5" i="79"/>
  <c r="AB5" i="79"/>
  <c r="AA5" i="79"/>
  <c r="AD5" i="79"/>
  <c r="Z5" i="79"/>
  <c r="Y5" i="79"/>
  <c r="O5" i="79"/>
  <c r="V5" i="79"/>
  <c r="N5" i="79"/>
  <c r="U5" i="79"/>
  <c r="M5" i="79"/>
  <c r="L5" i="79"/>
  <c r="S5" i="79"/>
  <c r="K5" i="79"/>
  <c r="R5" i="79"/>
  <c r="I5" i="79"/>
  <c r="AC3" i="79"/>
  <c r="AB3" i="79"/>
  <c r="AA3" i="79"/>
  <c r="AD3" i="79"/>
  <c r="Z3" i="79"/>
  <c r="Y3" i="79"/>
  <c r="V3" i="79"/>
  <c r="U3" i="79"/>
  <c r="T3" i="79"/>
  <c r="W3" i="79"/>
  <c r="S3" i="79"/>
  <c r="O3" i="79"/>
  <c r="N3" i="79"/>
  <c r="M3" i="79"/>
  <c r="P3" i="79"/>
  <c r="L3" i="79"/>
  <c r="K3" i="79"/>
  <c r="H3" i="79"/>
  <c r="G3" i="79"/>
  <c r="F3" i="79"/>
  <c r="I3" i="79"/>
  <c r="E3" i="79"/>
  <c r="D3" i="79"/>
  <c r="T371" i="46"/>
  <c r="S371" i="46"/>
  <c r="R371" i="46"/>
  <c r="T279" i="46"/>
  <c r="S279" i="46"/>
  <c r="R279" i="46"/>
  <c r="U279" i="46"/>
  <c r="T187" i="46"/>
  <c r="S187" i="46"/>
  <c r="R187" i="46"/>
  <c r="T95" i="46"/>
  <c r="S95" i="46"/>
  <c r="R95" i="46"/>
  <c r="T3" i="46"/>
  <c r="S3" i="46"/>
  <c r="R3" i="46"/>
  <c r="M17" i="45"/>
  <c r="L17" i="45"/>
  <c r="K17" i="45"/>
  <c r="J17" i="45"/>
  <c r="I17" i="45"/>
  <c r="H17" i="45"/>
  <c r="G17" i="45"/>
  <c r="F17" i="45"/>
  <c r="E17" i="45"/>
  <c r="D17" i="45"/>
  <c r="C17" i="45"/>
  <c r="B17" i="45"/>
  <c r="I15" i="4"/>
  <c r="F10" i="1"/>
  <c r="I24" i="43"/>
  <c r="K47" i="78"/>
  <c r="K46" i="78"/>
  <c r="K45" i="78"/>
  <c r="K41" i="78"/>
  <c r="K40" i="78"/>
  <c r="K39" i="78"/>
  <c r="K38" i="78"/>
  <c r="K37" i="78"/>
  <c r="K36" i="78"/>
  <c r="K35" i="78"/>
  <c r="K23" i="78"/>
  <c r="K24" i="78"/>
  <c r="K25" i="78"/>
  <c r="K26" i="78"/>
  <c r="K27" i="78"/>
  <c r="K28" i="78"/>
  <c r="K29" i="78"/>
  <c r="K30" i="78"/>
  <c r="K22" i="78"/>
  <c r="T5" i="79"/>
  <c r="W5" i="79"/>
  <c r="R8" i="79"/>
  <c r="R6" i="79"/>
  <c r="R7" i="79"/>
  <c r="P9" i="79"/>
  <c r="T8" i="79"/>
  <c r="W8" i="79"/>
  <c r="T7" i="79"/>
  <c r="W7" i="79"/>
  <c r="T6" i="79"/>
  <c r="W6" i="79"/>
  <c r="V9" i="79"/>
  <c r="V8" i="79"/>
  <c r="V6" i="79"/>
  <c r="V7" i="79"/>
  <c r="T28" i="79"/>
  <c r="W28" i="79"/>
  <c r="T27" i="79"/>
  <c r="W27" i="79"/>
  <c r="T26" i="79"/>
  <c r="W26" i="79"/>
  <c r="P5" i="79"/>
  <c r="S9" i="79"/>
  <c r="S8" i="79"/>
  <c r="S7" i="79"/>
  <c r="S6" i="79"/>
  <c r="U9" i="79"/>
  <c r="U6" i="79"/>
  <c r="U8" i="79"/>
  <c r="U7" i="79"/>
  <c r="T25" i="79"/>
  <c r="W25" i="79"/>
  <c r="S28" i="79"/>
  <c r="S26" i="79"/>
  <c r="S27" i="79"/>
  <c r="U29" i="79"/>
  <c r="U26" i="79"/>
  <c r="U27" i="79"/>
  <c r="U28" i="79"/>
  <c r="AD30" i="79"/>
  <c r="S31" i="79"/>
  <c r="U31" i="79"/>
  <c r="AD32" i="79"/>
  <c r="T32" i="79"/>
  <c r="W32" i="79"/>
  <c r="S33" i="79"/>
  <c r="U33" i="79"/>
  <c r="AD34" i="79"/>
  <c r="T34" i="79"/>
  <c r="W34" i="79"/>
  <c r="R9" i="79"/>
  <c r="S23" i="79"/>
  <c r="P12" i="79"/>
  <c r="P14" i="79"/>
  <c r="U25" i="79"/>
  <c r="R3" i="79"/>
  <c r="Z23" i="79"/>
  <c r="S29" i="79"/>
  <c r="T30" i="79"/>
  <c r="W30" i="79"/>
  <c r="S25" i="79"/>
  <c r="T29" i="79"/>
  <c r="W29" i="79"/>
  <c r="P10"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T9" i="79"/>
  <c r="W9" i="79"/>
  <c r="T11" i="79"/>
  <c r="W11" i="79"/>
  <c r="T13" i="79"/>
  <c r="W13" i="79"/>
  <c r="T15" i="79"/>
  <c r="W15" i="79"/>
  <c r="P25" i="79"/>
  <c r="P30" i="79"/>
  <c r="P32" i="79"/>
  <c r="P34" i="79"/>
  <c r="P29" i="79"/>
  <c r="P31" i="79"/>
  <c r="P33" i="79"/>
  <c r="P35" i="79"/>
  <c r="E25" i="78"/>
  <c r="E24" i="78"/>
  <c r="F23" i="78"/>
  <c r="F24" i="78"/>
  <c r="F25" i="78"/>
  <c r="E23" i="78"/>
  <c r="E22" i="78"/>
  <c r="G22" i="78"/>
  <c r="F12" i="78"/>
  <c r="F11" i="78"/>
  <c r="C18" i="78"/>
  <c r="D7" i="78"/>
  <c r="D6" i="78"/>
  <c r="D5" i="78"/>
  <c r="C15" i="78"/>
  <c r="H100" i="43"/>
  <c r="H97" i="43"/>
  <c r="H95" i="43"/>
  <c r="H94" i="43"/>
  <c r="H98" i="43"/>
  <c r="H93" i="43"/>
  <c r="H101" i="43"/>
  <c r="H99" i="43"/>
  <c r="H96" i="43"/>
  <c r="G23" i="78"/>
  <c r="G24" i="78"/>
  <c r="G25" i="78"/>
  <c r="B15" i="78"/>
  <c r="B18" i="78"/>
  <c r="G14" i="73"/>
  <c r="F14" i="73"/>
  <c r="E14" i="73"/>
  <c r="G15" i="73"/>
  <c r="F15" i="73"/>
  <c r="E15" i="73"/>
  <c r="G16" i="73"/>
  <c r="F16" i="73"/>
  <c r="E16" i="73"/>
  <c r="G13" i="73"/>
  <c r="F13" i="73"/>
  <c r="E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D11" i="77"/>
  <c r="E11" i="77"/>
  <c r="E7" i="77"/>
  <c r="C27" i="77"/>
  <c r="R10" i="77"/>
  <c r="D10" i="77"/>
  <c r="R9" i="77"/>
  <c r="D9" i="77"/>
  <c r="D7" i="77"/>
  <c r="C26" i="77"/>
  <c r="R8" i="77"/>
  <c r="R7" i="77"/>
  <c r="R4" i="77"/>
  <c r="R3" i="77"/>
  <c r="R14" i="77"/>
  <c r="R24" i="77"/>
  <c r="R25" i="77"/>
  <c r="D29" i="77"/>
  <c r="E23" i="77"/>
  <c r="D26" i="77"/>
  <c r="D32" i="77"/>
  <c r="C29" i="77"/>
  <c r="C32" i="77"/>
  <c r="C38" i="77"/>
  <c r="C39" i="77"/>
  <c r="R35" i="77"/>
  <c r="U34" i="77"/>
  <c r="AH9" i="71"/>
  <c r="AG9" i="71"/>
  <c r="AE9" i="71"/>
  <c r="AF9" i="71"/>
  <c r="AD9" i="71"/>
  <c r="Q9" i="71"/>
  <c r="P9" i="71"/>
  <c r="O9" i="71"/>
  <c r="N9" i="71"/>
  <c r="R19" i="77"/>
  <c r="R5" i="77"/>
  <c r="U5" i="77"/>
  <c r="E26" i="77"/>
  <c r="E38" i="77"/>
  <c r="E39" i="77"/>
  <c r="C40" i="77"/>
  <c r="B2" i="77"/>
  <c r="E29" i="77"/>
  <c r="E32" i="77"/>
  <c r="AH10" i="71"/>
  <c r="AG10" i="71"/>
  <c r="AE10" i="71"/>
  <c r="AF10" i="71"/>
  <c r="AD10" i="71"/>
  <c r="Q10" i="71"/>
  <c r="P10" i="71"/>
  <c r="O10" i="71"/>
  <c r="N10" i="71"/>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F24" i="71"/>
  <c r="F23" i="71"/>
  <c r="F22" i="71"/>
  <c r="P25" i="71"/>
  <c r="E24" i="71"/>
  <c r="E23" i="71"/>
  <c r="E22" i="71"/>
  <c r="O25" i="71"/>
  <c r="N25" i="71"/>
  <c r="B24" i="71"/>
  <c r="B23" i="71"/>
  <c r="B22" i="71"/>
  <c r="B21" i="71"/>
  <c r="B20" i="71"/>
  <c r="B19" i="71"/>
  <c r="B18" i="71"/>
  <c r="B17" i="71"/>
  <c r="V24"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A12" i="62"/>
  <c r="B58" i="72"/>
  <c r="A120" i="9"/>
  <c r="H2" i="52"/>
  <c r="A1" i="52"/>
  <c r="A3" i="53"/>
  <c r="Q26" i="71"/>
  <c r="P26" i="71"/>
  <c r="O26" i="71"/>
  <c r="N26" i="71"/>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5" i="72"/>
  <c r="B60" i="72"/>
  <c r="B66" i="72"/>
  <c r="B10" i="72"/>
  <c r="C53" i="10"/>
  <c r="B51" i="10"/>
  <c r="B19" i="72"/>
  <c r="A18" i="51"/>
  <c r="B13" i="72"/>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N41" i="71"/>
  <c r="B42" i="71"/>
  <c r="B43" i="71"/>
  <c r="B44" i="71"/>
  <c r="S44" i="71"/>
  <c r="D41" i="71"/>
  <c r="Q40" i="71"/>
  <c r="P40" i="71"/>
  <c r="O40" i="71"/>
  <c r="N40" i="71"/>
  <c r="Q39" i="71"/>
  <c r="AB39" i="71"/>
  <c r="P39" i="71"/>
  <c r="AA39" i="71"/>
  <c r="O39" i="71"/>
  <c r="Y39" i="71"/>
  <c r="Z39" i="71"/>
  <c r="N39" i="71"/>
  <c r="X39" i="71"/>
  <c r="Q38" i="71"/>
  <c r="AB38" i="71"/>
  <c r="P38" i="71"/>
  <c r="O38" i="71"/>
  <c r="Y38" i="71"/>
  <c r="Z38" i="71"/>
  <c r="N38" i="71"/>
  <c r="Q37" i="71"/>
  <c r="F38" i="71"/>
  <c r="F39" i="71"/>
  <c r="F40" i="71"/>
  <c r="V40"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Q33" i="71"/>
  <c r="F34" i="71"/>
  <c r="F35" i="71"/>
  <c r="F36" i="71"/>
  <c r="V36"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Q29" i="71"/>
  <c r="F30" i="71"/>
  <c r="F31" i="71"/>
  <c r="F32" i="71"/>
  <c r="V32" i="71"/>
  <c r="P29" i="71"/>
  <c r="E30" i="71"/>
  <c r="E31" i="71"/>
  <c r="E32" i="71"/>
  <c r="U32" i="71"/>
  <c r="O29" i="71"/>
  <c r="N29" i="71"/>
  <c r="D29" i="71"/>
  <c r="O28" i="71"/>
  <c r="N28" i="71"/>
  <c r="B30" i="71"/>
  <c r="B31" i="71"/>
  <c r="B32" i="71"/>
  <c r="S32" i="71"/>
  <c r="X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D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C43" i="71"/>
  <c r="D42" i="71"/>
  <c r="C47" i="71"/>
  <c r="D47" i="71"/>
  <c r="D46" i="71"/>
  <c r="C51" i="71"/>
  <c r="D50" i="71"/>
  <c r="P28" i="71"/>
  <c r="E55" i="71"/>
  <c r="E56" i="71"/>
  <c r="U56" i="71"/>
  <c r="E59" i="71"/>
  <c r="E60" i="71"/>
  <c r="U60" i="71"/>
  <c r="E63" i="71"/>
  <c r="E64" i="71"/>
  <c r="U64" i="71"/>
  <c r="U68" i="71"/>
  <c r="E67" i="71"/>
  <c r="Q28" i="71"/>
  <c r="AB25" i="71"/>
  <c r="C55" i="71"/>
  <c r="D54" i="71"/>
  <c r="C59" i="71"/>
  <c r="D58" i="71"/>
  <c r="C63" i="71"/>
  <c r="D62" i="71"/>
  <c r="N67" i="71"/>
  <c r="B66" i="71"/>
  <c r="N66" i="71"/>
  <c r="T68" i="71"/>
  <c r="O68" i="71"/>
  <c r="D68" i="71"/>
  <c r="C67" i="71"/>
  <c r="Q68" i="71"/>
  <c r="C71" i="71"/>
  <c r="E71" i="71"/>
  <c r="E70" i="71"/>
  <c r="D72" i="71"/>
  <c r="C75" i="71"/>
  <c r="E75" i="71"/>
  <c r="E74" i="71"/>
  <c r="D76" i="71"/>
  <c r="C79" i="71"/>
  <c r="E79" i="71"/>
  <c r="E78" i="71"/>
  <c r="D80" i="71"/>
  <c r="C83" i="71"/>
  <c r="C87" i="71"/>
  <c r="C86" i="71"/>
  <c r="D86" i="71"/>
  <c r="T28" i="71"/>
  <c r="C27" i="71"/>
  <c r="C26" i="71"/>
  <c r="D26" i="71"/>
  <c r="F28" i="71"/>
  <c r="F27" i="71"/>
  <c r="F26" i="71"/>
  <c r="AB26" i="71"/>
  <c r="AB28" i="71"/>
  <c r="E28" i="71"/>
  <c r="E27" i="71"/>
  <c r="E26" i="71"/>
  <c r="AA3" i="71"/>
  <c r="AA25" i="71"/>
  <c r="AA26" i="71"/>
  <c r="AA27" i="71"/>
  <c r="AA28" i="71"/>
  <c r="D28" i="71"/>
  <c r="U28" i="71"/>
  <c r="C66" i="71"/>
  <c r="O67" i="71"/>
  <c r="D67" i="71"/>
  <c r="C64" i="71"/>
  <c r="D64" i="71"/>
  <c r="D63" i="71"/>
  <c r="D83" i="71"/>
  <c r="C82" i="71"/>
  <c r="D82" i="71"/>
  <c r="D75" i="71"/>
  <c r="C74" i="71"/>
  <c r="D74" i="71"/>
  <c r="N65" i="71"/>
  <c r="D87" i="71"/>
  <c r="D79" i="71"/>
  <c r="C78" i="71"/>
  <c r="D78" i="71"/>
  <c r="D71" i="71"/>
  <c r="C70" i="71"/>
  <c r="D70" i="71"/>
  <c r="C60" i="71"/>
  <c r="D59" i="71"/>
  <c r="C56" i="71"/>
  <c r="D55" i="71"/>
  <c r="P67" i="71"/>
  <c r="E66" i="71"/>
  <c r="P65" i="71"/>
  <c r="C52" i="71"/>
  <c r="D51" i="71"/>
  <c r="C44" i="71"/>
  <c r="D43" i="71"/>
  <c r="C40" i="71"/>
  <c r="D39" i="71"/>
  <c r="C36" i="71"/>
  <c r="D35" i="71"/>
  <c r="C32" i="71"/>
  <c r="D31" i="71"/>
  <c r="V28" i="71"/>
  <c r="P66" i="71"/>
  <c r="O66" i="71"/>
  <c r="D66" i="71"/>
  <c r="O65" i="71"/>
  <c r="T32" i="71"/>
  <c r="D32" i="71"/>
  <c r="T36" i="71"/>
  <c r="D36" i="71"/>
  <c r="T40" i="71"/>
  <c r="D40" i="71"/>
  <c r="T44" i="71"/>
  <c r="D44" i="71"/>
  <c r="T52" i="71"/>
  <c r="D52"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68" i="35"/>
  <c r="G68" i="35"/>
  <c r="F18" i="35"/>
  <c r="AA18" i="35"/>
  <c r="C18" i="35"/>
  <c r="Z21" i="37"/>
  <c r="Q21" i="37"/>
  <c r="D77" i="37"/>
  <c r="E77" i="37"/>
  <c r="F77" i="37"/>
  <c r="G77" i="37"/>
  <c r="C21" i="37"/>
  <c r="Q21" i="34"/>
  <c r="Z21" i="34"/>
  <c r="D84" i="34"/>
  <c r="E84" i="34"/>
  <c r="F21" i="34"/>
  <c r="AA21" i="34"/>
  <c r="C21" i="34"/>
  <c r="Z21" i="33"/>
  <c r="Q21" i="33"/>
  <c r="D83" i="33"/>
  <c r="E83" i="33"/>
  <c r="F83" i="33"/>
  <c r="G83" i="33"/>
  <c r="C21" i="33"/>
  <c r="C21" i="21"/>
  <c r="Q21" i="21"/>
  <c r="Z21" i="21"/>
  <c r="H19" i="21"/>
  <c r="D83" i="21"/>
  <c r="F21" i="21"/>
  <c r="AA21" i="21"/>
  <c r="D81" i="21"/>
  <c r="G20" i="20"/>
  <c r="B88" i="43"/>
  <c r="C22" i="20"/>
  <c r="B100" i="43"/>
  <c r="B77" i="43"/>
  <c r="B57" i="43"/>
  <c r="B68" i="43"/>
  <c r="C25" i="40"/>
  <c r="C29" i="39"/>
  <c r="S25" i="40"/>
  <c r="S18" i="36"/>
  <c r="S21" i="34"/>
  <c r="H25" i="40"/>
  <c r="AB25" i="40"/>
  <c r="J25" i="40"/>
  <c r="AC25" i="40"/>
  <c r="H29" i="39"/>
  <c r="AB29" i="39"/>
  <c r="J29" i="39"/>
  <c r="AC29" i="39"/>
  <c r="J18" i="36"/>
  <c r="AC18" i="36"/>
  <c r="H18" i="35"/>
  <c r="AB18" i="35"/>
  <c r="S18" i="35"/>
  <c r="J18" i="35"/>
  <c r="H21" i="37"/>
  <c r="F21" i="37"/>
  <c r="AA21" i="37"/>
  <c r="F84" i="34"/>
  <c r="H21" i="34"/>
  <c r="AB21" i="34"/>
  <c r="H21" i="33"/>
  <c r="U21" i="33"/>
  <c r="F21" i="33"/>
  <c r="E83" i="21"/>
  <c r="F83" i="21"/>
  <c r="S21" i="21"/>
  <c r="H1" i="69"/>
  <c r="W25" i="40"/>
  <c r="U25" i="40"/>
  <c r="W18" i="36"/>
  <c r="AB21" i="37"/>
  <c r="U21" i="37"/>
  <c r="S21" i="37"/>
  <c r="U21" i="34"/>
  <c r="AB21" i="33"/>
  <c r="AA21" i="33"/>
  <c r="S21" i="33"/>
  <c r="U18" i="35"/>
  <c r="AC18" i="35"/>
  <c r="W18" i="35"/>
  <c r="J21" i="37"/>
  <c r="W21" i="37"/>
  <c r="G84" i="34"/>
  <c r="J21" i="34"/>
  <c r="W21" i="34"/>
  <c r="J21" i="33"/>
  <c r="W21" i="33"/>
  <c r="H21" i="21"/>
  <c r="U21" i="21"/>
  <c r="F38" i="69"/>
  <c r="E37" i="69"/>
  <c r="F36" i="69"/>
  <c r="F35" i="69"/>
  <c r="F21" i="69"/>
  <c r="F40" i="69"/>
  <c r="F20" i="69"/>
  <c r="F39" i="69"/>
  <c r="E10" i="69"/>
  <c r="E9" i="69"/>
  <c r="C7" i="69"/>
  <c r="AC21" i="37"/>
  <c r="AC21" i="34"/>
  <c r="AC21" i="33"/>
  <c r="G83" i="21"/>
  <c r="J21" i="21"/>
  <c r="C40" i="69"/>
  <c r="F38" i="68"/>
  <c r="E37" i="68"/>
  <c r="F36" i="68"/>
  <c r="F35" i="68"/>
  <c r="F21" i="68"/>
  <c r="F40" i="68"/>
  <c r="C21" i="68"/>
  <c r="F20" i="68"/>
  <c r="F39" i="68"/>
  <c r="E10" i="68"/>
  <c r="E9"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E15" i="4"/>
  <c r="G15" i="4"/>
  <c r="F8" i="1"/>
  <c r="A7" i="1"/>
  <c r="B7" i="1"/>
  <c r="E7" i="1"/>
  <c r="A8" i="1"/>
  <c r="B8" i="1"/>
  <c r="E8" i="1"/>
  <c r="A9" i="1"/>
  <c r="A10" i="1"/>
  <c r="A11" i="1"/>
  <c r="B11" i="1"/>
  <c r="E11" i="1"/>
  <c r="A12" i="1"/>
  <c r="A13" i="1"/>
  <c r="A6" i="1"/>
  <c r="F3" i="35"/>
  <c r="B13" i="1"/>
  <c r="E13" i="1"/>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7" i="31"/>
  <c r="S27" i="31"/>
  <c r="R28" i="31"/>
  <c r="R29" i="31"/>
  <c r="S29" i="31"/>
  <c r="R30" i="31"/>
  <c r="S30" i="31"/>
  <c r="R31" i="31"/>
  <c r="S31" i="31"/>
  <c r="R32" i="31"/>
  <c r="R33" i="31"/>
  <c r="S33" i="31"/>
  <c r="R34" i="31"/>
  <c r="S34" i="31"/>
  <c r="R35" i="31"/>
  <c r="S35" i="31"/>
  <c r="R36" i="31"/>
  <c r="R37" i="31"/>
  <c r="S37" i="31"/>
  <c r="R38" i="31"/>
  <c r="R39" i="31"/>
  <c r="S39" i="31"/>
  <c r="R40" i="31"/>
  <c r="R41" i="31"/>
  <c r="S41" i="31"/>
  <c r="R42" i="31"/>
  <c r="S42" i="31"/>
  <c r="R43" i="31"/>
  <c r="S43" i="31"/>
  <c r="R44" i="31"/>
  <c r="R45" i="31"/>
  <c r="S45" i="31"/>
  <c r="R46" i="31"/>
  <c r="R47" i="31"/>
  <c r="S47" i="31"/>
  <c r="R48" i="31"/>
  <c r="R49" i="31"/>
  <c r="S49" i="31"/>
  <c r="R50" i="31"/>
  <c r="S50" i="31"/>
  <c r="R51" i="31"/>
  <c r="S51" i="31"/>
  <c r="R52" i="31"/>
  <c r="R53" i="31"/>
  <c r="S53" i="31"/>
  <c r="R54" i="31"/>
  <c r="R55" i="31"/>
  <c r="S55" i="31"/>
  <c r="R56" i="31"/>
  <c r="R57" i="31"/>
  <c r="S57" i="31"/>
  <c r="R58" i="31"/>
  <c r="R59" i="31"/>
  <c r="S59" i="31"/>
  <c r="R60" i="31"/>
  <c r="R61" i="31"/>
  <c r="S61" i="31"/>
  <c r="R62" i="31"/>
  <c r="R63" i="31"/>
  <c r="S63" i="31"/>
  <c r="R64" i="31"/>
  <c r="R65" i="31"/>
  <c r="S65" i="31"/>
  <c r="R66" i="31"/>
  <c r="R67" i="31"/>
  <c r="S67" i="31"/>
  <c r="R68" i="31"/>
  <c r="R69" i="31"/>
  <c r="S69" i="31"/>
  <c r="R70" i="31"/>
  <c r="R71" i="31"/>
  <c r="S71" i="31"/>
  <c r="R72" i="31"/>
  <c r="R73" i="31"/>
  <c r="S73" i="31"/>
  <c r="R74" i="31"/>
  <c r="R75" i="31"/>
  <c r="S75" i="31"/>
  <c r="R76" i="31"/>
  <c r="R77" i="31"/>
  <c r="S77" i="31"/>
  <c r="R78" i="31"/>
  <c r="R79" i="31"/>
  <c r="S79" i="31"/>
  <c r="R80" i="31"/>
  <c r="R81" i="31"/>
  <c r="S81" i="31"/>
  <c r="R82" i="31"/>
  <c r="R83" i="31"/>
  <c r="S83" i="31"/>
  <c r="R84" i="31"/>
  <c r="R85" i="31"/>
  <c r="S85" i="31"/>
  <c r="R86" i="31"/>
  <c r="R87" i="31"/>
  <c r="S87" i="31"/>
  <c r="R88" i="31"/>
  <c r="R89" i="31"/>
  <c r="S89" i="31"/>
  <c r="R90" i="31"/>
  <c r="R91" i="31"/>
  <c r="S91" i="31"/>
  <c r="R92" i="31"/>
  <c r="R93" i="31"/>
  <c r="S93" i="31"/>
  <c r="R94" i="31"/>
  <c r="R95" i="31"/>
  <c r="S95" i="31"/>
  <c r="R96" i="31"/>
  <c r="R97" i="31"/>
  <c r="S97" i="31"/>
  <c r="R98" i="31"/>
  <c r="R99" i="31"/>
  <c r="S99" i="31"/>
  <c r="R100" i="31"/>
  <c r="R101" i="31"/>
  <c r="S101" i="31"/>
  <c r="R102" i="31"/>
  <c r="R103" i="31"/>
  <c r="S103" i="31"/>
  <c r="R104" i="31"/>
  <c r="R105" i="31"/>
  <c r="S105" i="31"/>
  <c r="R106" i="31"/>
  <c r="R107" i="31"/>
  <c r="S107" i="31"/>
  <c r="R108" i="31"/>
  <c r="R109" i="31"/>
  <c r="S109" i="31"/>
  <c r="R110" i="31"/>
  <c r="R111" i="31"/>
  <c r="S111" i="31"/>
  <c r="R112" i="31"/>
  <c r="R113" i="31"/>
  <c r="S113" i="31"/>
  <c r="R114" i="31"/>
  <c r="S114" i="31"/>
  <c r="R115" i="31"/>
  <c r="S115" i="31"/>
  <c r="R116" i="31"/>
  <c r="R117" i="31"/>
  <c r="S117" i="31"/>
  <c r="R118" i="31"/>
  <c r="R119" i="31"/>
  <c r="S119" i="31"/>
  <c r="R120" i="31"/>
  <c r="R121" i="31"/>
  <c r="S121" i="31"/>
  <c r="R122" i="31"/>
  <c r="S122" i="31"/>
  <c r="R123" i="31"/>
  <c r="S123" i="31"/>
  <c r="R124" i="31"/>
  <c r="R125" i="31"/>
  <c r="S125" i="31"/>
  <c r="R126" i="31"/>
  <c r="R127" i="31"/>
  <c r="S127" i="31"/>
  <c r="R128" i="31"/>
  <c r="R129" i="31"/>
  <c r="S129" i="31"/>
  <c r="R130" i="31"/>
  <c r="S130" i="31"/>
  <c r="R131" i="31"/>
  <c r="S131" i="31"/>
  <c r="R132" i="31"/>
  <c r="R133" i="31"/>
  <c r="S133" i="31"/>
  <c r="R134" i="31"/>
  <c r="R135" i="31"/>
  <c r="S135" i="31"/>
  <c r="R136" i="31"/>
  <c r="R137" i="31"/>
  <c r="S137" i="31"/>
  <c r="R138" i="31"/>
  <c r="S138" i="31"/>
  <c r="R139" i="31"/>
  <c r="S139" i="31"/>
  <c r="R140" i="31"/>
  <c r="R141" i="31"/>
  <c r="S141" i="31"/>
  <c r="R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R275" i="31"/>
  <c r="S275" i="31"/>
  <c r="R276" i="31"/>
  <c r="S276" i="31"/>
  <c r="R277" i="31"/>
  <c r="S277" i="31"/>
  <c r="R278" i="31"/>
  <c r="S278" i="31"/>
  <c r="R279" i="31"/>
  <c r="S279" i="31"/>
  <c r="R280" i="31"/>
  <c r="S280" i="31"/>
  <c r="R281" i="31"/>
  <c r="S281" i="31"/>
  <c r="R282" i="31"/>
  <c r="R283" i="31"/>
  <c r="S283" i="31"/>
  <c r="R284" i="31"/>
  <c r="S284" i="31"/>
  <c r="R285" i="31"/>
  <c r="S285" i="31"/>
  <c r="R286" i="31"/>
  <c r="S286" i="31"/>
  <c r="R287" i="31"/>
  <c r="S287" i="31"/>
  <c r="R288" i="31"/>
  <c r="S288" i="31"/>
  <c r="R289" i="31"/>
  <c r="S289" i="31"/>
  <c r="R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R307" i="31"/>
  <c r="S307" i="31"/>
  <c r="R308" i="31"/>
  <c r="S308" i="31"/>
  <c r="R309" i="31"/>
  <c r="S309" i="31"/>
  <c r="R310" i="31"/>
  <c r="S310" i="31"/>
  <c r="R311" i="31"/>
  <c r="S311" i="31"/>
  <c r="R312" i="31"/>
  <c r="S312" i="31"/>
  <c r="R313" i="31"/>
  <c r="S313" i="31"/>
  <c r="R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R329" i="31"/>
  <c r="S329" i="31"/>
  <c r="R330" i="31"/>
  <c r="S330" i="31"/>
  <c r="R331" i="31"/>
  <c r="S331" i="31"/>
  <c r="R332" i="31"/>
  <c r="S332" i="31"/>
  <c r="R333" i="31"/>
  <c r="S333" i="31"/>
  <c r="R334" i="31"/>
  <c r="S334" i="31"/>
  <c r="R335" i="31"/>
  <c r="S335" i="31"/>
  <c r="R336" i="31"/>
  <c r="R337" i="31"/>
  <c r="S337" i="31"/>
  <c r="R338" i="31"/>
  <c r="S338" i="31"/>
  <c r="R339" i="31"/>
  <c r="S339" i="31"/>
  <c r="R340" i="31"/>
  <c r="S340" i="31"/>
  <c r="R341" i="31"/>
  <c r="S341" i="31"/>
  <c r="R342" i="31"/>
  <c r="S342" i="31"/>
  <c r="R343" i="31"/>
  <c r="S343" i="31"/>
  <c r="R344" i="31"/>
  <c r="R345" i="31"/>
  <c r="S345" i="31"/>
  <c r="R346" i="31"/>
  <c r="S346" i="31"/>
  <c r="R347" i="31"/>
  <c r="S347" i="31"/>
  <c r="R348" i="31"/>
  <c r="S348" i="31"/>
  <c r="R349" i="31"/>
  <c r="S349" i="31"/>
  <c r="R350" i="31"/>
  <c r="S350" i="31"/>
  <c r="R351" i="31"/>
  <c r="S351" i="31"/>
  <c r="R352" i="31"/>
  <c r="R353" i="31"/>
  <c r="S353" i="31"/>
  <c r="R354" i="31"/>
  <c r="S354" i="31"/>
  <c r="R355" i="31"/>
  <c r="S355" i="31"/>
  <c r="R356" i="31"/>
  <c r="S356" i="31"/>
  <c r="R357" i="31"/>
  <c r="S357" i="31"/>
  <c r="R358" i="31"/>
  <c r="S358" i="31"/>
  <c r="R359" i="31"/>
  <c r="S359" i="31"/>
  <c r="R360" i="31"/>
  <c r="R361" i="31"/>
  <c r="S361" i="31"/>
  <c r="R362" i="31"/>
  <c r="S362" i="31"/>
  <c r="R363" i="31"/>
  <c r="S363" i="31"/>
  <c r="R364" i="31"/>
  <c r="S364" i="31"/>
  <c r="R365" i="31"/>
  <c r="S365" i="31"/>
  <c r="R366" i="31"/>
  <c r="S366" i="31"/>
  <c r="R367" i="31"/>
  <c r="S367" i="31"/>
  <c r="R368" i="31"/>
  <c r="R369" i="31"/>
  <c r="S369" i="31"/>
  <c r="R370" i="31"/>
  <c r="S370" i="31"/>
  <c r="R371" i="31"/>
  <c r="S371" i="31"/>
  <c r="R372" i="31"/>
  <c r="S372" i="31"/>
  <c r="R373" i="31"/>
  <c r="S373" i="31"/>
  <c r="R374" i="31"/>
  <c r="S374" i="31"/>
  <c r="R375" i="31"/>
  <c r="S375" i="31"/>
  <c r="R376" i="31"/>
  <c r="R377" i="31"/>
  <c r="S377" i="31"/>
  <c r="R378" i="31"/>
  <c r="S378" i="31"/>
  <c r="R379" i="31"/>
  <c r="S379" i="31"/>
  <c r="R380" i="31"/>
  <c r="S380" i="31"/>
  <c r="R381" i="31"/>
  <c r="S381" i="31"/>
  <c r="R382" i="31"/>
  <c r="S382" i="31"/>
  <c r="R383" i="31"/>
  <c r="S383" i="31"/>
  <c r="R384" i="31"/>
  <c r="R385" i="31"/>
  <c r="S385" i="31"/>
  <c r="R386" i="31"/>
  <c r="S386" i="31"/>
  <c r="R387" i="31"/>
  <c r="S387" i="31"/>
  <c r="R388" i="31"/>
  <c r="S388" i="31"/>
  <c r="R389" i="31"/>
  <c r="S389" i="31"/>
  <c r="R390" i="31"/>
  <c r="S390" i="31"/>
  <c r="R391" i="31"/>
  <c r="S391" i="31"/>
  <c r="R392" i="31"/>
  <c r="R393" i="31"/>
  <c r="S393" i="31"/>
  <c r="R394" i="31"/>
  <c r="S394" i="31"/>
  <c r="R395" i="31"/>
  <c r="S395" i="31"/>
  <c r="R396" i="31"/>
  <c r="S396" i="31"/>
  <c r="R397" i="31"/>
  <c r="S397" i="31"/>
  <c r="R398" i="31"/>
  <c r="S398" i="31"/>
  <c r="R399" i="31"/>
  <c r="S399" i="31"/>
  <c r="R400" i="31"/>
  <c r="R401" i="31"/>
  <c r="S401" i="31"/>
  <c r="R402" i="31"/>
  <c r="S402" i="31"/>
  <c r="R403" i="31"/>
  <c r="S403" i="31"/>
  <c r="R404" i="31"/>
  <c r="S404" i="31"/>
  <c r="R405" i="31"/>
  <c r="S405" i="31"/>
  <c r="R406" i="31"/>
  <c r="S406" i="31"/>
  <c r="R407" i="31"/>
  <c r="S407" i="31"/>
  <c r="R408" i="31"/>
  <c r="R409" i="31"/>
  <c r="S409" i="31"/>
  <c r="R410" i="31"/>
  <c r="S410" i="31"/>
  <c r="R411" i="31"/>
  <c r="S411" i="31"/>
  <c r="R412" i="31"/>
  <c r="S412" i="31"/>
  <c r="R413" i="31"/>
  <c r="S413" i="31"/>
  <c r="R414" i="31"/>
  <c r="S414" i="31"/>
  <c r="R415" i="31"/>
  <c r="S415" i="31"/>
  <c r="R416" i="31"/>
  <c r="R417" i="31"/>
  <c r="S417" i="31"/>
  <c r="R418" i="31"/>
  <c r="S418" i="31"/>
  <c r="R419" i="31"/>
  <c r="S419" i="31"/>
  <c r="R420" i="31"/>
  <c r="S420" i="31"/>
  <c r="R421" i="31"/>
  <c r="S421" i="31"/>
  <c r="R422" i="31"/>
  <c r="S422" i="31"/>
  <c r="R423" i="31"/>
  <c r="S423" i="31"/>
  <c r="R424" i="31"/>
  <c r="R425" i="31"/>
  <c r="S425" i="31"/>
  <c r="R426" i="31"/>
  <c r="S426" i="31"/>
  <c r="R427" i="31"/>
  <c r="S427" i="31"/>
  <c r="R428" i="31"/>
  <c r="S428" i="31"/>
  <c r="R429" i="31"/>
  <c r="S429" i="31"/>
  <c r="R430" i="31"/>
  <c r="R431" i="31"/>
  <c r="S431" i="31"/>
  <c r="R432" i="31"/>
  <c r="R433" i="31"/>
  <c r="S433" i="31"/>
  <c r="R434" i="31"/>
  <c r="R435" i="31"/>
  <c r="S435" i="31"/>
  <c r="R436" i="31"/>
  <c r="R437" i="31"/>
  <c r="S437" i="31"/>
  <c r="R438" i="31"/>
  <c r="R439" i="31"/>
  <c r="S439" i="31"/>
  <c r="R440" i="31"/>
  <c r="R441" i="31"/>
  <c r="S441" i="31"/>
  <c r="R442" i="31"/>
  <c r="R443" i="31"/>
  <c r="S443" i="31"/>
  <c r="R444" i="31"/>
  <c r="R445" i="31"/>
  <c r="S445" i="31"/>
  <c r="R446" i="31"/>
  <c r="R447" i="31"/>
  <c r="S447" i="31"/>
  <c r="R448" i="31"/>
  <c r="R449" i="31"/>
  <c r="S449" i="31"/>
  <c r="R450" i="31"/>
  <c r="R451" i="31"/>
  <c r="S451" i="31"/>
  <c r="R452" i="31"/>
  <c r="R453" i="31"/>
  <c r="S453" i="31"/>
  <c r="R454" i="31"/>
  <c r="R455" i="31"/>
  <c r="S455" i="31"/>
  <c r="R456" i="31"/>
  <c r="R457" i="31"/>
  <c r="S457" i="31"/>
  <c r="R458" i="31"/>
  <c r="R459" i="31"/>
  <c r="S459" i="31"/>
  <c r="R460" i="31"/>
  <c r="R461" i="31"/>
  <c r="S461" i="31"/>
  <c r="R462" i="31"/>
  <c r="S462" i="31"/>
  <c r="R463" i="31"/>
  <c r="S463" i="31"/>
  <c r="R464" i="31"/>
  <c r="R465" i="31"/>
  <c r="S465" i="31"/>
  <c r="R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R503" i="31"/>
  <c r="S503" i="31"/>
  <c r="R504" i="31"/>
  <c r="S504" i="31"/>
  <c r="R505" i="31"/>
  <c r="S505" i="31"/>
  <c r="R506" i="31"/>
  <c r="R507" i="31"/>
  <c r="S507" i="31"/>
  <c r="R508" i="31"/>
  <c r="S508" i="31"/>
  <c r="R509" i="31"/>
  <c r="S509" i="31"/>
  <c r="R510" i="31"/>
  <c r="S510" i="31"/>
  <c r="R511" i="31"/>
  <c r="S511" i="31"/>
  <c r="R512" i="31"/>
  <c r="S512" i="31"/>
  <c r="R513" i="31"/>
  <c r="S513" i="31"/>
  <c r="R514" i="31"/>
  <c r="S514" i="31"/>
  <c r="R515" i="31"/>
  <c r="S515" i="31"/>
  <c r="R516" i="31"/>
  <c r="R517" i="31"/>
  <c r="S517" i="31"/>
  <c r="R518" i="31"/>
  <c r="R519" i="31"/>
  <c r="S519" i="31"/>
  <c r="R520" i="31"/>
  <c r="R521" i="31"/>
  <c r="S521" i="31"/>
  <c r="R522" i="31"/>
  <c r="S522" i="31"/>
  <c r="R523" i="31"/>
  <c r="S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R35" i="4"/>
  <c r="Q35" i="4"/>
  <c r="P35" i="4"/>
  <c r="O35" i="4"/>
  <c r="N35" i="4"/>
  <c r="M35" i="4"/>
  <c r="L35" i="4"/>
  <c r="K34" i="4"/>
  <c r="T34" i="4"/>
  <c r="G13" i="1"/>
  <c r="H15" i="4"/>
  <c r="F15" i="4"/>
  <c r="F9" i="1"/>
  <c r="G9" i="1"/>
  <c r="F12" i="1"/>
  <c r="G12" i="1"/>
  <c r="F11" i="1"/>
  <c r="G11" i="1"/>
  <c r="D15" i="4"/>
  <c r="F7" i="1"/>
  <c r="G7" i="1"/>
  <c r="C15" i="4"/>
  <c r="F6" i="1"/>
  <c r="G6" i="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22" i="1"/>
  <c r="G41" i="69"/>
  <c r="B43" i="1"/>
  <c r="D78" i="9"/>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K8" i="1"/>
  <c r="M8" i="1"/>
  <c r="F23" i="15"/>
  <c r="D24" i="15"/>
  <c r="E23" i="6"/>
  <c r="K10" i="1"/>
  <c r="M10" i="1"/>
  <c r="O10" i="1"/>
  <c r="P10" i="1"/>
  <c r="E24" i="6"/>
  <c r="E25" i="6"/>
  <c r="E26" i="6"/>
  <c r="BG5" i="3"/>
  <c r="BH13" i="3"/>
  <c r="BI13" i="3"/>
  <c r="BJ13" i="3"/>
  <c r="BK13"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C18" i="9"/>
  <c r="D18"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8" i="31"/>
  <c r="S400" i="31"/>
  <c r="S392" i="31"/>
  <c r="S384" i="31"/>
  <c r="S376" i="31"/>
  <c r="S368" i="31"/>
  <c r="S360" i="31"/>
  <c r="S352" i="31"/>
  <c r="S344" i="31"/>
  <c r="S336" i="31"/>
  <c r="S328" i="31"/>
  <c r="S424" i="31"/>
  <c r="S314" i="31"/>
  <c r="S306" i="31"/>
  <c r="S290" i="31"/>
  <c r="S282" i="31"/>
  <c r="S274" i="31"/>
  <c r="S258" i="31"/>
  <c r="S142" i="31"/>
  <c r="S140" i="31"/>
  <c r="S136" i="31"/>
  <c r="S134" i="31"/>
  <c r="S132" i="31"/>
  <c r="S128" i="31"/>
  <c r="S126" i="31"/>
  <c r="S124" i="31"/>
  <c r="S444" i="31"/>
  <c r="S442" i="31"/>
  <c r="S440" i="31"/>
  <c r="S438" i="31"/>
  <c r="S436" i="31"/>
  <c r="S434" i="31"/>
  <c r="S432" i="31"/>
  <c r="S430" i="31"/>
  <c r="S120" i="31"/>
  <c r="S118" i="31"/>
  <c r="S116" i="31"/>
  <c r="S112" i="31"/>
  <c r="S506" i="31"/>
  <c r="S502" i="31"/>
  <c r="S466" i="31"/>
  <c r="S464" i="31"/>
  <c r="S460" i="31"/>
  <c r="S458" i="31"/>
  <c r="S456" i="31"/>
  <c r="S454" i="31"/>
  <c r="S452" i="31"/>
  <c r="S450" i="31"/>
  <c r="S54" i="31"/>
  <c r="S52" i="31"/>
  <c r="S48" i="31"/>
  <c r="S46" i="31"/>
  <c r="S44" i="31"/>
  <c r="S40" i="31"/>
  <c r="S38" i="31"/>
  <c r="S36" i="31"/>
  <c r="S32" i="31"/>
  <c r="S76" i="31"/>
  <c r="S74" i="31"/>
  <c r="S72" i="31"/>
  <c r="S70" i="31"/>
  <c r="S68" i="31"/>
  <c r="S66" i="31"/>
  <c r="S64" i="31"/>
  <c r="S62" i="31"/>
  <c r="S60" i="31"/>
  <c r="S58" i="31"/>
  <c r="S56" i="31"/>
  <c r="S24" i="31"/>
  <c r="S96" i="31"/>
  <c r="S94" i="31"/>
  <c r="S92" i="31"/>
  <c r="S90" i="31"/>
  <c r="S88" i="31"/>
  <c r="S86" i="31"/>
  <c r="S84" i="31"/>
  <c r="S82" i="31"/>
  <c r="S80" i="31"/>
  <c r="S78" i="31"/>
  <c r="S98" i="31"/>
  <c r="S100" i="31"/>
  <c r="S102" i="31"/>
  <c r="S104" i="31"/>
  <c r="S106" i="31"/>
  <c r="S108" i="31"/>
  <c r="S110" i="31"/>
  <c r="S446" i="31"/>
  <c r="S448"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F54" i="33"/>
  <c r="H493" i="3"/>
  <c r="AC493" i="3"/>
  <c r="BB493" i="3"/>
  <c r="BC493" i="3"/>
  <c r="BA493" i="3"/>
  <c r="BD493" i="3"/>
  <c r="BE493" i="3"/>
  <c r="BF493" i="3"/>
  <c r="BG493" i="3"/>
  <c r="BH493" i="3"/>
  <c r="BI493" i="3"/>
  <c r="BI5" i="3"/>
  <c r="BJ493" i="3"/>
  <c r="BK493" i="3"/>
  <c r="BM493" i="3"/>
  <c r="BN493" i="3"/>
  <c r="BO493" i="3"/>
  <c r="BP493" i="3"/>
  <c r="BP5" i="3"/>
  <c r="BR493" i="3"/>
  <c r="BS493" i="3"/>
  <c r="BT493" i="3"/>
  <c r="H494" i="3"/>
  <c r="G494" i="3"/>
  <c r="AC494" i="3"/>
  <c r="BB494" i="3"/>
  <c r="BC494" i="3"/>
  <c r="BD494" i="3"/>
  <c r="BD5" i="3"/>
  <c r="BE494" i="3"/>
  <c r="BF494" i="3"/>
  <c r="BG494" i="3"/>
  <c r="BH494" i="3"/>
  <c r="BH5" i="3"/>
  <c r="BI494" i="3"/>
  <c r="BJ494" i="3"/>
  <c r="BK494" i="3"/>
  <c r="BM494" i="3"/>
  <c r="BM5" i="3"/>
  <c r="BN494" i="3"/>
  <c r="BO494" i="3"/>
  <c r="BP494" i="3"/>
  <c r="BQ494" i="3"/>
  <c r="BR494" i="3"/>
  <c r="BS494" i="3"/>
  <c r="BT494" i="3"/>
  <c r="H495" i="3"/>
  <c r="G495" i="3"/>
  <c r="AC495" i="3"/>
  <c r="BB495" i="3"/>
  <c r="BC495" i="3"/>
  <c r="BD495" i="3"/>
  <c r="BE495" i="3"/>
  <c r="BF495" i="3"/>
  <c r="BG495" i="3"/>
  <c r="BH495" i="3"/>
  <c r="BI495" i="3"/>
  <c r="BJ495" i="3"/>
  <c r="BK495" i="3"/>
  <c r="BM495" i="3"/>
  <c r="BN495" i="3"/>
  <c r="BO495" i="3"/>
  <c r="BP495" i="3"/>
  <c r="BR495" i="3"/>
  <c r="BR5" i="3"/>
  <c r="BS495" i="3"/>
  <c r="BT495" i="3"/>
  <c r="BT5" i="3"/>
  <c r="G28" i="6"/>
  <c r="H496" i="3"/>
  <c r="AC496" i="3"/>
  <c r="BB496" i="3"/>
  <c r="BC496" i="3"/>
  <c r="BA496" i="3"/>
  <c r="BD496" i="3"/>
  <c r="BE496" i="3"/>
  <c r="BF496" i="3"/>
  <c r="BG496" i="3"/>
  <c r="BH496" i="3"/>
  <c r="BI496" i="3"/>
  <c r="BJ496" i="3"/>
  <c r="BK496" i="3"/>
  <c r="BM496" i="3"/>
  <c r="BN496" i="3"/>
  <c r="BL496" i="3"/>
  <c r="BO496" i="3"/>
  <c r="BP496" i="3"/>
  <c r="BQ496" i="3"/>
  <c r="BR496" i="3"/>
  <c r="BS496" i="3"/>
  <c r="BT496" i="3"/>
  <c r="H497" i="3"/>
  <c r="AC497" i="3"/>
  <c r="BB497" i="3"/>
  <c r="BC497" i="3"/>
  <c r="BA497" i="3"/>
  <c r="BD497" i="3"/>
  <c r="BE497" i="3"/>
  <c r="BF497" i="3"/>
  <c r="BG497" i="3"/>
  <c r="BH497" i="3"/>
  <c r="BI497" i="3"/>
  <c r="BJ497" i="3"/>
  <c r="BK497" i="3"/>
  <c r="BM497" i="3"/>
  <c r="BN497" i="3"/>
  <c r="BO497" i="3"/>
  <c r="BP497" i="3"/>
  <c r="BR497" i="3"/>
  <c r="BS497" i="3"/>
  <c r="BT497" i="3"/>
  <c r="H498" i="3"/>
  <c r="AC498" i="3"/>
  <c r="BB498" i="3"/>
  <c r="BA498" i="3"/>
  <c r="BC498" i="3"/>
  <c r="BD498" i="3"/>
  <c r="BE498" i="3"/>
  <c r="BF498" i="3"/>
  <c r="BG498" i="3"/>
  <c r="BH498" i="3"/>
  <c r="BI498" i="3"/>
  <c r="BJ498" i="3"/>
  <c r="BK498" i="3"/>
  <c r="BM498" i="3"/>
  <c r="BL498" i="3"/>
  <c r="BN498" i="3"/>
  <c r="BO498" i="3"/>
  <c r="BP498" i="3"/>
  <c r="BQ498" i="3"/>
  <c r="BR498" i="3"/>
  <c r="BS498" i="3"/>
  <c r="BT498" i="3"/>
  <c r="H499" i="3"/>
  <c r="G499" i="3"/>
  <c r="AC499" i="3"/>
  <c r="BB499" i="3"/>
  <c r="BC499" i="3"/>
  <c r="BD499" i="3"/>
  <c r="BE499" i="3"/>
  <c r="BF499" i="3"/>
  <c r="BG499" i="3"/>
  <c r="BH499" i="3"/>
  <c r="BI499" i="3"/>
  <c r="BJ499" i="3"/>
  <c r="BK499" i="3"/>
  <c r="BM499" i="3"/>
  <c r="BN499" i="3"/>
  <c r="BO499" i="3"/>
  <c r="BP499" i="3"/>
  <c r="BR499" i="3"/>
  <c r="BS499" i="3"/>
  <c r="BT499" i="3"/>
  <c r="H500" i="3"/>
  <c r="AC500" i="3"/>
  <c r="G500" i="3"/>
  <c r="BB500" i="3"/>
  <c r="BC500" i="3"/>
  <c r="BD500" i="3"/>
  <c r="BE500" i="3"/>
  <c r="BF500" i="3"/>
  <c r="BG500" i="3"/>
  <c r="BH500" i="3"/>
  <c r="BI500" i="3"/>
  <c r="BJ500" i="3"/>
  <c r="BK500" i="3"/>
  <c r="BM500" i="3"/>
  <c r="BN500" i="3"/>
  <c r="BO500" i="3"/>
  <c r="BP500" i="3"/>
  <c r="BQ500" i="3"/>
  <c r="BR500" i="3"/>
  <c r="BS500" i="3"/>
  <c r="BT500" i="3"/>
  <c r="H501" i="3"/>
  <c r="AC501" i="3"/>
  <c r="BB501" i="3"/>
  <c r="BC501" i="3"/>
  <c r="BA501" i="3"/>
  <c r="BD501" i="3"/>
  <c r="BE501" i="3"/>
  <c r="BF501" i="3"/>
  <c r="BG501" i="3"/>
  <c r="BH501" i="3"/>
  <c r="BI501" i="3"/>
  <c r="BJ501" i="3"/>
  <c r="BK501" i="3"/>
  <c r="BM501" i="3"/>
  <c r="BN501" i="3"/>
  <c r="BO501" i="3"/>
  <c r="BP501" i="3"/>
  <c r="BR501" i="3"/>
  <c r="BS501" i="3"/>
  <c r="BT501" i="3"/>
  <c r="H502" i="3"/>
  <c r="G502" i="3"/>
  <c r="AC502" i="3"/>
  <c r="BB502" i="3"/>
  <c r="BA502" i="3"/>
  <c r="BC502" i="3"/>
  <c r="BD502" i="3"/>
  <c r="BE502" i="3"/>
  <c r="BF502" i="3"/>
  <c r="BG502" i="3"/>
  <c r="BH502" i="3"/>
  <c r="BI502" i="3"/>
  <c r="BJ502" i="3"/>
  <c r="BK502" i="3"/>
  <c r="BM502" i="3"/>
  <c r="BN502" i="3"/>
  <c r="BO502" i="3"/>
  <c r="BP502" i="3"/>
  <c r="BQ502" i="3"/>
  <c r="BR502" i="3"/>
  <c r="BS502" i="3"/>
  <c r="BT502" i="3"/>
  <c r="H503" i="3"/>
  <c r="G503" i="3"/>
  <c r="AC503" i="3"/>
  <c r="BB503" i="3"/>
  <c r="BC503" i="3"/>
  <c r="BD503" i="3"/>
  <c r="BE503" i="3"/>
  <c r="BF503" i="3"/>
  <c r="BG503" i="3"/>
  <c r="BH503" i="3"/>
  <c r="BI503" i="3"/>
  <c r="BJ503" i="3"/>
  <c r="BK503" i="3"/>
  <c r="BM503" i="3"/>
  <c r="BN503" i="3"/>
  <c r="BO503" i="3"/>
  <c r="BP503" i="3"/>
  <c r="BR503" i="3"/>
  <c r="BS503" i="3"/>
  <c r="BT503" i="3"/>
  <c r="H504" i="3"/>
  <c r="AC504" i="3"/>
  <c r="BB504" i="3"/>
  <c r="BC504" i="3"/>
  <c r="BA504" i="3"/>
  <c r="BD504" i="3"/>
  <c r="BE504" i="3"/>
  <c r="BF504" i="3"/>
  <c r="BG504" i="3"/>
  <c r="BH504" i="3"/>
  <c r="BI504" i="3"/>
  <c r="BJ504" i="3"/>
  <c r="BK504" i="3"/>
  <c r="BM504" i="3"/>
  <c r="BN504" i="3"/>
  <c r="BL504" i="3"/>
  <c r="BO504" i="3"/>
  <c r="BP504" i="3"/>
  <c r="BQ504" i="3"/>
  <c r="BR504" i="3"/>
  <c r="BS504" i="3"/>
  <c r="BT504" i="3"/>
  <c r="H505" i="3"/>
  <c r="AC505" i="3"/>
  <c r="BB505" i="3"/>
  <c r="BC505" i="3"/>
  <c r="BA505" i="3"/>
  <c r="BD505" i="3"/>
  <c r="BE505" i="3"/>
  <c r="BF505" i="3"/>
  <c r="BG505" i="3"/>
  <c r="BH505" i="3"/>
  <c r="BI505" i="3"/>
  <c r="BJ505" i="3"/>
  <c r="BK505" i="3"/>
  <c r="BM505" i="3"/>
  <c r="BN505" i="3"/>
  <c r="BO505" i="3"/>
  <c r="BP505" i="3"/>
  <c r="BR505" i="3"/>
  <c r="BS505" i="3"/>
  <c r="BT505" i="3"/>
  <c r="H506" i="3"/>
  <c r="G506" i="3"/>
  <c r="AC506" i="3"/>
  <c r="BB506" i="3"/>
  <c r="BC506" i="3"/>
  <c r="BD506" i="3"/>
  <c r="BE506" i="3"/>
  <c r="BF506" i="3"/>
  <c r="BG506" i="3"/>
  <c r="BH506" i="3"/>
  <c r="BI506" i="3"/>
  <c r="BJ506" i="3"/>
  <c r="BK506" i="3"/>
  <c r="BM506" i="3"/>
  <c r="BL506" i="3"/>
  <c r="BN506" i="3"/>
  <c r="BO506" i="3"/>
  <c r="BP506" i="3"/>
  <c r="BQ506" i="3"/>
  <c r="BR506" i="3"/>
  <c r="BS506" i="3"/>
  <c r="BT506" i="3"/>
  <c r="H507" i="3"/>
  <c r="G507" i="3"/>
  <c r="AC507" i="3"/>
  <c r="BB507" i="3"/>
  <c r="BC507" i="3"/>
  <c r="BD507" i="3"/>
  <c r="BE507" i="3"/>
  <c r="BF507" i="3"/>
  <c r="BG507" i="3"/>
  <c r="BH507" i="3"/>
  <c r="BI507" i="3"/>
  <c r="BJ507" i="3"/>
  <c r="BK507" i="3"/>
  <c r="BM507" i="3"/>
  <c r="BN507" i="3"/>
  <c r="BO507" i="3"/>
  <c r="BP507" i="3"/>
  <c r="BR507" i="3"/>
  <c r="BS507" i="3"/>
  <c r="BT507" i="3"/>
  <c r="H508" i="3"/>
  <c r="AC508" i="3"/>
  <c r="G508" i="3"/>
  <c r="BB508" i="3"/>
  <c r="BC508" i="3"/>
  <c r="BA508" i="3"/>
  <c r="BD508" i="3"/>
  <c r="BE508" i="3"/>
  <c r="BF508" i="3"/>
  <c r="BG508" i="3"/>
  <c r="BH508" i="3"/>
  <c r="BI508" i="3"/>
  <c r="BJ508" i="3"/>
  <c r="BK508" i="3"/>
  <c r="BM508" i="3"/>
  <c r="BN508" i="3"/>
  <c r="BL508" i="3"/>
  <c r="BO508" i="3"/>
  <c r="BP508" i="3"/>
  <c r="BQ508" i="3"/>
  <c r="BR508" i="3"/>
  <c r="BS508" i="3"/>
  <c r="BT508" i="3"/>
  <c r="H509" i="3"/>
  <c r="BB509" i="3"/>
  <c r="BA509" i="3"/>
  <c r="BC509" i="3"/>
  <c r="BD509" i="3"/>
  <c r="BE509" i="3"/>
  <c r="BF509" i="3"/>
  <c r="BG509" i="3"/>
  <c r="BH509" i="3"/>
  <c r="BI509" i="3"/>
  <c r="BJ509" i="3"/>
  <c r="BK509" i="3"/>
  <c r="BM509" i="3"/>
  <c r="BN509" i="3"/>
  <c r="BO509" i="3"/>
  <c r="BP509" i="3"/>
  <c r="BR509" i="3"/>
  <c r="BS509" i="3"/>
  <c r="BT509" i="3"/>
  <c r="H510" i="3"/>
  <c r="AC510" i="3"/>
  <c r="BB510" i="3"/>
  <c r="BC510" i="3"/>
  <c r="BA510" i="3"/>
  <c r="BD510" i="3"/>
  <c r="BE510" i="3"/>
  <c r="BF510" i="3"/>
  <c r="BG510" i="3"/>
  <c r="BH510" i="3"/>
  <c r="BI510" i="3"/>
  <c r="BJ510" i="3"/>
  <c r="BK510" i="3"/>
  <c r="BM510" i="3"/>
  <c r="BN510" i="3"/>
  <c r="BO510" i="3"/>
  <c r="BP510" i="3"/>
  <c r="BQ510" i="3"/>
  <c r="BR510" i="3"/>
  <c r="BS510" i="3"/>
  <c r="BT510" i="3"/>
  <c r="H511" i="3"/>
  <c r="AC511" i="3"/>
  <c r="G511" i="3"/>
  <c r="BB511" i="3"/>
  <c r="BC511" i="3"/>
  <c r="BA511" i="3"/>
  <c r="BD511" i="3"/>
  <c r="BE511" i="3"/>
  <c r="BF511" i="3"/>
  <c r="BG511" i="3"/>
  <c r="BH511" i="3"/>
  <c r="BI511" i="3"/>
  <c r="BJ511" i="3"/>
  <c r="BK511" i="3"/>
  <c r="BM511" i="3"/>
  <c r="BN511" i="3"/>
  <c r="BO511" i="3"/>
  <c r="BP511" i="3"/>
  <c r="BR511" i="3"/>
  <c r="BS511" i="3"/>
  <c r="BT511" i="3"/>
  <c r="H512" i="3"/>
  <c r="AC512" i="3"/>
  <c r="BB512" i="3"/>
  <c r="BA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c r="BB514" i="3"/>
  <c r="BC514" i="3"/>
  <c r="BD514" i="3"/>
  <c r="BE514" i="3"/>
  <c r="BF514" i="3"/>
  <c r="BG514" i="3"/>
  <c r="BH514" i="3"/>
  <c r="BI514" i="3"/>
  <c r="BJ514" i="3"/>
  <c r="BK514" i="3"/>
  <c r="BM514" i="3"/>
  <c r="BN514" i="3"/>
  <c r="BL514" i="3"/>
  <c r="BO514" i="3"/>
  <c r="BP514" i="3"/>
  <c r="BQ514" i="3"/>
  <c r="BR514" i="3"/>
  <c r="BS514" i="3"/>
  <c r="BT514" i="3"/>
  <c r="H515" i="3"/>
  <c r="AC515" i="3"/>
  <c r="G515" i="3"/>
  <c r="BB515" i="3"/>
  <c r="BC515" i="3"/>
  <c r="BA515" i="3"/>
  <c r="BD515" i="3"/>
  <c r="BE515" i="3"/>
  <c r="BF515" i="3"/>
  <c r="BG515" i="3"/>
  <c r="BH515" i="3"/>
  <c r="BI515" i="3"/>
  <c r="BJ515" i="3"/>
  <c r="BK515" i="3"/>
  <c r="BM515" i="3"/>
  <c r="BN515" i="3"/>
  <c r="BO515" i="3"/>
  <c r="BP515" i="3"/>
  <c r="BR515" i="3"/>
  <c r="BS515" i="3"/>
  <c r="BT515" i="3"/>
  <c r="H516" i="3"/>
  <c r="G516" i="3"/>
  <c r="AC516" i="3"/>
  <c r="BB516" i="3"/>
  <c r="BC516" i="3"/>
  <c r="BD516" i="3"/>
  <c r="BE516" i="3"/>
  <c r="BF516" i="3"/>
  <c r="BG516" i="3"/>
  <c r="BH516" i="3"/>
  <c r="BI516" i="3"/>
  <c r="BJ516" i="3"/>
  <c r="BK516" i="3"/>
  <c r="BM516" i="3"/>
  <c r="BL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G519" i="3"/>
  <c r="BB519" i="3"/>
  <c r="BC519" i="3"/>
  <c r="BA519" i="3"/>
  <c r="BD519" i="3"/>
  <c r="BE519" i="3"/>
  <c r="BF519" i="3"/>
  <c r="BG519" i="3"/>
  <c r="BH519" i="3"/>
  <c r="BI519" i="3"/>
  <c r="BJ519" i="3"/>
  <c r="BK519" i="3"/>
  <c r="BM519" i="3"/>
  <c r="BN519" i="3"/>
  <c r="BO519" i="3"/>
  <c r="BP519" i="3"/>
  <c r="BR519" i="3"/>
  <c r="BS519" i="3"/>
  <c r="BT519" i="3"/>
  <c r="H520" i="3"/>
  <c r="AC520" i="3"/>
  <c r="BB520" i="3"/>
  <c r="BA520" i="3"/>
  <c r="BC520" i="3"/>
  <c r="BD520" i="3"/>
  <c r="BE520" i="3"/>
  <c r="BF520" i="3"/>
  <c r="BG520" i="3"/>
  <c r="BH520" i="3"/>
  <c r="BI520" i="3"/>
  <c r="BJ520" i="3"/>
  <c r="BK520" i="3"/>
  <c r="BM520" i="3"/>
  <c r="BL520" i="3"/>
  <c r="BN520" i="3"/>
  <c r="BO520" i="3"/>
  <c r="BP520" i="3"/>
  <c r="BQ520" i="3"/>
  <c r="BR520" i="3"/>
  <c r="BS520" i="3"/>
  <c r="BT520" i="3"/>
  <c r="H521" i="3"/>
  <c r="BB521" i="3"/>
  <c r="BC521" i="3"/>
  <c r="BA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c r="AC523" i="3"/>
  <c r="BB523" i="3"/>
  <c r="BC523" i="3"/>
  <c r="BD523" i="3"/>
  <c r="BE523" i="3"/>
  <c r="BF523" i="3"/>
  <c r="BG523" i="3"/>
  <c r="BH523" i="3"/>
  <c r="BI523" i="3"/>
  <c r="BJ523" i="3"/>
  <c r="BK523" i="3"/>
  <c r="BM523" i="3"/>
  <c r="BN523" i="3"/>
  <c r="BO523" i="3"/>
  <c r="BP523" i="3"/>
  <c r="BR523" i="3"/>
  <c r="BS523" i="3"/>
  <c r="BT523" i="3"/>
  <c r="H524" i="3"/>
  <c r="AC524" i="3"/>
  <c r="G524" i="3"/>
  <c r="BB524" i="3"/>
  <c r="BC524" i="3"/>
  <c r="BD524" i="3"/>
  <c r="BE524" i="3"/>
  <c r="BF524" i="3"/>
  <c r="BG524" i="3"/>
  <c r="BH524" i="3"/>
  <c r="BI524" i="3"/>
  <c r="BJ524" i="3"/>
  <c r="BK524" i="3"/>
  <c r="BM524" i="3"/>
  <c r="BN524" i="3"/>
  <c r="BL524" i="3"/>
  <c r="BO524" i="3"/>
  <c r="BP524" i="3"/>
  <c r="BQ524" i="3"/>
  <c r="BR524" i="3"/>
  <c r="BS524" i="3"/>
  <c r="BT524" i="3"/>
  <c r="H525" i="3"/>
  <c r="AC525" i="3"/>
  <c r="BB525" i="3"/>
  <c r="BC525" i="3"/>
  <c r="BA525" i="3"/>
  <c r="BD525" i="3"/>
  <c r="BE525" i="3"/>
  <c r="BF525" i="3"/>
  <c r="BG525" i="3"/>
  <c r="BH525" i="3"/>
  <c r="BI525" i="3"/>
  <c r="BJ525" i="3"/>
  <c r="BK525" i="3"/>
  <c r="BM525" i="3"/>
  <c r="BN525" i="3"/>
  <c r="BO525" i="3"/>
  <c r="BP525" i="3"/>
  <c r="BR525" i="3"/>
  <c r="BS525" i="3"/>
  <c r="BT525" i="3"/>
  <c r="H526" i="3"/>
  <c r="G526" i="3"/>
  <c r="AC526" i="3"/>
  <c r="BB526" i="3"/>
  <c r="BC526" i="3"/>
  <c r="BD526" i="3"/>
  <c r="BE526" i="3"/>
  <c r="BF526" i="3"/>
  <c r="BG526" i="3"/>
  <c r="BH526" i="3"/>
  <c r="BI526" i="3"/>
  <c r="BJ526" i="3"/>
  <c r="BK526" i="3"/>
  <c r="BM526" i="3"/>
  <c r="BN526" i="3"/>
  <c r="BL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c r="AC528" i="3"/>
  <c r="BB528" i="3"/>
  <c r="BC528" i="3"/>
  <c r="BD528" i="3"/>
  <c r="BE528" i="3"/>
  <c r="BF528" i="3"/>
  <c r="BG528" i="3"/>
  <c r="BH528" i="3"/>
  <c r="BI528" i="3"/>
  <c r="BJ528" i="3"/>
  <c r="BK528" i="3"/>
  <c r="BM528" i="3"/>
  <c r="BL528" i="3"/>
  <c r="BN528" i="3"/>
  <c r="BO528" i="3"/>
  <c r="BP528" i="3"/>
  <c r="BQ528" i="3"/>
  <c r="BR528" i="3"/>
  <c r="BS528" i="3"/>
  <c r="BT528" i="3"/>
  <c r="H529" i="3"/>
  <c r="AC529" i="3"/>
  <c r="BB529" i="3"/>
  <c r="BA529" i="3"/>
  <c r="BC529" i="3"/>
  <c r="BD529" i="3"/>
  <c r="BE529" i="3"/>
  <c r="BF529" i="3"/>
  <c r="BG529" i="3"/>
  <c r="BH529" i="3"/>
  <c r="BI529" i="3"/>
  <c r="BJ529" i="3"/>
  <c r="BK529" i="3"/>
  <c r="BM529" i="3"/>
  <c r="BN529" i="3"/>
  <c r="BO529" i="3"/>
  <c r="BP529" i="3"/>
  <c r="BR529" i="3"/>
  <c r="BS529" i="3"/>
  <c r="BT529" i="3"/>
  <c r="H530" i="3"/>
  <c r="AC530" i="3"/>
  <c r="G530" i="3"/>
  <c r="BB530" i="3"/>
  <c r="BC530" i="3"/>
  <c r="BA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c r="AC532" i="3"/>
  <c r="BB532" i="3"/>
  <c r="BA532" i="3"/>
  <c r="BC532" i="3"/>
  <c r="BD532" i="3"/>
  <c r="BE532" i="3"/>
  <c r="BF532" i="3"/>
  <c r="BG532" i="3"/>
  <c r="BH532" i="3"/>
  <c r="BI532" i="3"/>
  <c r="BJ532" i="3"/>
  <c r="BK532" i="3"/>
  <c r="BM532" i="3"/>
  <c r="BL532" i="3"/>
  <c r="BN532" i="3"/>
  <c r="BO532" i="3"/>
  <c r="BP532" i="3"/>
  <c r="BQ532" i="3"/>
  <c r="BR532" i="3"/>
  <c r="BS532" i="3"/>
  <c r="BT532" i="3"/>
  <c r="H533" i="3"/>
  <c r="AC533" i="3"/>
  <c r="BB533" i="3"/>
  <c r="BA533" i="3"/>
  <c r="BC533" i="3"/>
  <c r="BD533" i="3"/>
  <c r="BE533" i="3"/>
  <c r="BF533" i="3"/>
  <c r="BG533" i="3"/>
  <c r="BH533" i="3"/>
  <c r="BI533" i="3"/>
  <c r="BJ533" i="3"/>
  <c r="BK533" i="3"/>
  <c r="BM533" i="3"/>
  <c r="BN533" i="3"/>
  <c r="BO533" i="3"/>
  <c r="BP533" i="3"/>
  <c r="BR533" i="3"/>
  <c r="BS533" i="3"/>
  <c r="BT533" i="3"/>
  <c r="H534" i="3"/>
  <c r="AC534" i="3"/>
  <c r="BB534" i="3"/>
  <c r="BC534" i="3"/>
  <c r="BA534" i="3"/>
  <c r="BD534" i="3"/>
  <c r="BE534" i="3"/>
  <c r="BF534" i="3"/>
  <c r="BG534" i="3"/>
  <c r="BH534" i="3"/>
  <c r="BI534" i="3"/>
  <c r="BJ534" i="3"/>
  <c r="BK534" i="3"/>
  <c r="BM534" i="3"/>
  <c r="BN534" i="3"/>
  <c r="BL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c r="AC536" i="3"/>
  <c r="BB536" i="3"/>
  <c r="BA536" i="3"/>
  <c r="BC536" i="3"/>
  <c r="BD536" i="3"/>
  <c r="BE536" i="3"/>
  <c r="BF536" i="3"/>
  <c r="BG536" i="3"/>
  <c r="BH536" i="3"/>
  <c r="BI536" i="3"/>
  <c r="BJ536" i="3"/>
  <c r="BK536" i="3"/>
  <c r="BM536" i="3"/>
  <c r="BL536" i="3"/>
  <c r="BN536" i="3"/>
  <c r="BO536" i="3"/>
  <c r="BP536" i="3"/>
  <c r="BQ536" i="3"/>
  <c r="BR536" i="3"/>
  <c r="BS536" i="3"/>
  <c r="BT536" i="3"/>
  <c r="H537" i="3"/>
  <c r="AC537" i="3"/>
  <c r="BB537" i="3"/>
  <c r="BA537" i="3"/>
  <c r="BC537" i="3"/>
  <c r="BD537" i="3"/>
  <c r="BE537" i="3"/>
  <c r="BF537" i="3"/>
  <c r="BG537" i="3"/>
  <c r="BH537" i="3"/>
  <c r="BI537" i="3"/>
  <c r="BJ537" i="3"/>
  <c r="BK537" i="3"/>
  <c r="BM537" i="3"/>
  <c r="BN537" i="3"/>
  <c r="BO537" i="3"/>
  <c r="BP537" i="3"/>
  <c r="BR537" i="3"/>
  <c r="BS537" i="3"/>
  <c r="BT537" i="3"/>
  <c r="H538" i="3"/>
  <c r="AC538" i="3"/>
  <c r="G538" i="3"/>
  <c r="BB538" i="3"/>
  <c r="BC538" i="3"/>
  <c r="BA538" i="3"/>
  <c r="BD538" i="3"/>
  <c r="BE538" i="3"/>
  <c r="BF538" i="3"/>
  <c r="BG538" i="3"/>
  <c r="BH538" i="3"/>
  <c r="BI538" i="3"/>
  <c r="BJ538" i="3"/>
  <c r="BK538" i="3"/>
  <c r="BM538" i="3"/>
  <c r="BN538" i="3"/>
  <c r="BO538" i="3"/>
  <c r="BP538" i="3"/>
  <c r="BQ538" i="3"/>
  <c r="BR538" i="3"/>
  <c r="BS538" i="3"/>
  <c r="BT538" i="3"/>
  <c r="H539" i="3"/>
  <c r="AC539" i="3"/>
  <c r="G539" i="3"/>
  <c r="BB539" i="3"/>
  <c r="BC539" i="3"/>
  <c r="BD539" i="3"/>
  <c r="BE539" i="3"/>
  <c r="BF539" i="3"/>
  <c r="BG539" i="3"/>
  <c r="BH539" i="3"/>
  <c r="BI539" i="3"/>
  <c r="BJ539" i="3"/>
  <c r="BK539" i="3"/>
  <c r="BM539" i="3"/>
  <c r="BN539" i="3"/>
  <c r="BO539" i="3"/>
  <c r="BP539" i="3"/>
  <c r="BR539" i="3"/>
  <c r="BS539" i="3"/>
  <c r="BT539" i="3"/>
  <c r="H540" i="3"/>
  <c r="AC540" i="3"/>
  <c r="BB540" i="3"/>
  <c r="BA540" i="3"/>
  <c r="BC540" i="3"/>
  <c r="BD540" i="3"/>
  <c r="BE540" i="3"/>
  <c r="BF540" i="3"/>
  <c r="BG540" i="3"/>
  <c r="BH540" i="3"/>
  <c r="BI540" i="3"/>
  <c r="BJ540" i="3"/>
  <c r="BK540" i="3"/>
  <c r="BM540" i="3"/>
  <c r="BN540" i="3"/>
  <c r="BO540" i="3"/>
  <c r="BP540" i="3"/>
  <c r="BQ540" i="3"/>
  <c r="BR540" i="3"/>
  <c r="BS540" i="3"/>
  <c r="BT540" i="3"/>
  <c r="H541" i="3"/>
  <c r="AC541" i="3"/>
  <c r="BB541" i="3"/>
  <c r="BA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A549" i="3"/>
  <c r="BD549" i="3"/>
  <c r="BE549" i="3"/>
  <c r="BF549" i="3"/>
  <c r="BG549" i="3"/>
  <c r="BH549" i="3"/>
  <c r="BI549" i="3"/>
  <c r="BJ549" i="3"/>
  <c r="BK549" i="3"/>
  <c r="BM549" i="3"/>
  <c r="BN549" i="3"/>
  <c r="BL549" i="3"/>
  <c r="BO549" i="3"/>
  <c r="BP549" i="3"/>
  <c r="BR549" i="3"/>
  <c r="BS549" i="3"/>
  <c r="BT549" i="3"/>
  <c r="H550" i="3"/>
  <c r="G550" i="3"/>
  <c r="AC550" i="3"/>
  <c r="BB550" i="3"/>
  <c r="BA550" i="3"/>
  <c r="BC550" i="3"/>
  <c r="BD550" i="3"/>
  <c r="BE550" i="3"/>
  <c r="BF550" i="3"/>
  <c r="BG550" i="3"/>
  <c r="BH550" i="3"/>
  <c r="BI550" i="3"/>
  <c r="BJ550" i="3"/>
  <c r="BK550" i="3"/>
  <c r="BM550" i="3"/>
  <c r="BN550" i="3"/>
  <c r="BO550" i="3"/>
  <c r="BP550" i="3"/>
  <c r="BQ550" i="3"/>
  <c r="BL550" i="3"/>
  <c r="BR550" i="3"/>
  <c r="BS550" i="3"/>
  <c r="BT550" i="3"/>
  <c r="H551" i="3"/>
  <c r="AC551" i="3"/>
  <c r="BB551" i="3"/>
  <c r="BC551" i="3"/>
  <c r="BD551" i="3"/>
  <c r="BE551" i="3"/>
  <c r="BF551" i="3"/>
  <c r="BA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A558" i="3"/>
  <c r="BC558" i="3"/>
  <c r="BD558" i="3"/>
  <c r="BE558" i="3"/>
  <c r="BF558" i="3"/>
  <c r="BG558" i="3"/>
  <c r="BH558" i="3"/>
  <c r="BI558" i="3"/>
  <c r="BJ558" i="3"/>
  <c r="BK558" i="3"/>
  <c r="BM558" i="3"/>
  <c r="BL558" i="3"/>
  <c r="BN558" i="3"/>
  <c r="BO558" i="3"/>
  <c r="BP558" i="3"/>
  <c r="BQ558" i="3"/>
  <c r="BR558" i="3"/>
  <c r="BS558" i="3"/>
  <c r="BT558" i="3"/>
  <c r="H559" i="3"/>
  <c r="G559" i="3"/>
  <c r="AC559" i="3"/>
  <c r="BB559" i="3"/>
  <c r="BC559" i="3"/>
  <c r="BD559" i="3"/>
  <c r="BE559" i="3"/>
  <c r="BF559" i="3"/>
  <c r="BG559" i="3"/>
  <c r="BH559" i="3"/>
  <c r="BI559" i="3"/>
  <c r="BJ559" i="3"/>
  <c r="BK559" i="3"/>
  <c r="BM559" i="3"/>
  <c r="BN559" i="3"/>
  <c r="BO559" i="3"/>
  <c r="BP559" i="3"/>
  <c r="BR559" i="3"/>
  <c r="BS559" i="3"/>
  <c r="BT559" i="3"/>
  <c r="H560" i="3"/>
  <c r="AC560" i="3"/>
  <c r="G560" i="3"/>
  <c r="BB560" i="3"/>
  <c r="BC560" i="3"/>
  <c r="BD560" i="3"/>
  <c r="BE560" i="3"/>
  <c r="BF560" i="3"/>
  <c r="BG560" i="3"/>
  <c r="BH560" i="3"/>
  <c r="BI560" i="3"/>
  <c r="BJ560" i="3"/>
  <c r="BK560" i="3"/>
  <c r="BM560" i="3"/>
  <c r="BN560" i="3"/>
  <c r="BO560" i="3"/>
  <c r="BP560" i="3"/>
  <c r="BQ560" i="3"/>
  <c r="BR560" i="3"/>
  <c r="BS560" i="3"/>
  <c r="BT560" i="3"/>
  <c r="H561" i="3"/>
  <c r="AC561" i="3"/>
  <c r="BB561" i="3"/>
  <c r="BC561" i="3"/>
  <c r="BA561" i="3"/>
  <c r="BD561" i="3"/>
  <c r="BE561" i="3"/>
  <c r="BF561" i="3"/>
  <c r="BG561" i="3"/>
  <c r="BH561" i="3"/>
  <c r="BI561" i="3"/>
  <c r="BJ561" i="3"/>
  <c r="BK561" i="3"/>
  <c r="BM561" i="3"/>
  <c r="BN561" i="3"/>
  <c r="BO561" i="3"/>
  <c r="BP561" i="3"/>
  <c r="BR561" i="3"/>
  <c r="BS561" i="3"/>
  <c r="BT561" i="3"/>
  <c r="H562" i="3"/>
  <c r="G562" i="3"/>
  <c r="AC562" i="3"/>
  <c r="BB562" i="3"/>
  <c r="BC562" i="3"/>
  <c r="BD562" i="3"/>
  <c r="BE562" i="3"/>
  <c r="BF562" i="3"/>
  <c r="BG562" i="3"/>
  <c r="BH562" i="3"/>
  <c r="BI562" i="3"/>
  <c r="BJ562" i="3"/>
  <c r="BK562" i="3"/>
  <c r="BM562" i="3"/>
  <c r="BN562" i="3"/>
  <c r="BO562" i="3"/>
  <c r="BP562" i="3"/>
  <c r="BQ562" i="3"/>
  <c r="BR562" i="3"/>
  <c r="BS562" i="3"/>
  <c r="BT562" i="3"/>
  <c r="H563" i="3"/>
  <c r="AC563" i="3"/>
  <c r="G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L564" i="3"/>
  <c r="BN564" i="3"/>
  <c r="BO564" i="3"/>
  <c r="BP564" i="3"/>
  <c r="BQ564" i="3"/>
  <c r="BR564" i="3"/>
  <c r="BS564" i="3"/>
  <c r="BT564" i="3"/>
  <c r="H565" i="3"/>
  <c r="AC565" i="3"/>
  <c r="BB565" i="3"/>
  <c r="BA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L574" i="3"/>
  <c r="BN574" i="3"/>
  <c r="BO574" i="3"/>
  <c r="BP574" i="3"/>
  <c r="BQ574" i="3"/>
  <c r="BR574" i="3"/>
  <c r="BS574" i="3"/>
  <c r="BT574" i="3"/>
  <c r="H575" i="3"/>
  <c r="G575" i="3"/>
  <c r="AC575" i="3"/>
  <c r="BB575" i="3"/>
  <c r="BC575" i="3"/>
  <c r="BD575" i="3"/>
  <c r="BE575" i="3"/>
  <c r="BF575" i="3"/>
  <c r="BG575" i="3"/>
  <c r="BH575" i="3"/>
  <c r="BI575" i="3"/>
  <c r="BJ575" i="3"/>
  <c r="BK575" i="3"/>
  <c r="BM575" i="3"/>
  <c r="BN575" i="3"/>
  <c r="BO575" i="3"/>
  <c r="BP575" i="3"/>
  <c r="BR575" i="3"/>
  <c r="BS575" i="3"/>
  <c r="BT575" i="3"/>
  <c r="H576" i="3"/>
  <c r="AC576" i="3"/>
  <c r="G576" i="3"/>
  <c r="BB576" i="3"/>
  <c r="BC576" i="3"/>
  <c r="BD576" i="3"/>
  <c r="BE576" i="3"/>
  <c r="BF576" i="3"/>
  <c r="BG576" i="3"/>
  <c r="BH576" i="3"/>
  <c r="BI576" i="3"/>
  <c r="BJ576" i="3"/>
  <c r="BK576" i="3"/>
  <c r="BM576" i="3"/>
  <c r="BN576" i="3"/>
  <c r="BO576" i="3"/>
  <c r="BP576" i="3"/>
  <c r="BQ576" i="3"/>
  <c r="BR576" i="3"/>
  <c r="BS576" i="3"/>
  <c r="BT576" i="3"/>
  <c r="H577" i="3"/>
  <c r="AC577" i="3"/>
  <c r="BB577" i="3"/>
  <c r="BC577" i="3"/>
  <c r="BA577" i="3"/>
  <c r="BD577" i="3"/>
  <c r="BE577" i="3"/>
  <c r="BF577" i="3"/>
  <c r="BG577" i="3"/>
  <c r="BH577" i="3"/>
  <c r="BI577" i="3"/>
  <c r="BJ577" i="3"/>
  <c r="BK577" i="3"/>
  <c r="BM577" i="3"/>
  <c r="BN577" i="3"/>
  <c r="BO577" i="3"/>
  <c r="BP577" i="3"/>
  <c r="BR577" i="3"/>
  <c r="BS577" i="3"/>
  <c r="BT577" i="3"/>
  <c r="H578" i="3"/>
  <c r="G578" i="3"/>
  <c r="AC578" i="3"/>
  <c r="BB578" i="3"/>
  <c r="BC578" i="3"/>
  <c r="BD578" i="3"/>
  <c r="BE578" i="3"/>
  <c r="BF578" i="3"/>
  <c r="BG578" i="3"/>
  <c r="BH578" i="3"/>
  <c r="BI578" i="3"/>
  <c r="BJ578" i="3"/>
  <c r="BK578" i="3"/>
  <c r="BM578" i="3"/>
  <c r="BN578" i="3"/>
  <c r="BO578" i="3"/>
  <c r="BP578" i="3"/>
  <c r="BQ578" i="3"/>
  <c r="BR578" i="3"/>
  <c r="BS578" i="3"/>
  <c r="BT578" i="3"/>
  <c r="H579" i="3"/>
  <c r="AC579" i="3"/>
  <c r="G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L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c r="H30" i="36"/>
  <c r="F30" i="36"/>
  <c r="AA30" i="36"/>
  <c r="C26" i="35"/>
  <c r="C79" i="35"/>
  <c r="J31" i="35"/>
  <c r="H31" i="35"/>
  <c r="F31" i="35"/>
  <c r="AA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W41" i="33"/>
  <c r="D113" i="33"/>
  <c r="F37" i="33"/>
  <c r="D111" i="33"/>
  <c r="E111" i="33"/>
  <c r="F111" i="33"/>
  <c r="S516" i="31"/>
  <c r="S518" i="31"/>
  <c r="S520" i="31"/>
  <c r="S524" i="31"/>
  <c r="F41" i="21"/>
  <c r="AA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H13" i="40"/>
  <c r="B77" i="40"/>
  <c r="J12" i="40"/>
  <c r="W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F106" i="39"/>
  <c r="G106" i="39"/>
  <c r="H106" i="39"/>
  <c r="I106" i="39"/>
  <c r="J106" i="39"/>
  <c r="K106" i="39"/>
  <c r="L106" i="39"/>
  <c r="M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AB45" i="39"/>
  <c r="B128" i="39"/>
  <c r="H44" i="39"/>
  <c r="B126" i="39"/>
  <c r="J43" i="39"/>
  <c r="W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G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F107" i="37"/>
  <c r="G107" i="37"/>
  <c r="D105" i="37"/>
  <c r="E105" i="37"/>
  <c r="D103" i="37"/>
  <c r="J35" i="37"/>
  <c r="W35" i="37"/>
  <c r="F97" i="37"/>
  <c r="E97" i="37"/>
  <c r="D97" i="37"/>
  <c r="C97" i="37"/>
  <c r="D96" i="37"/>
  <c r="E96" i="37"/>
  <c r="D94" i="37"/>
  <c r="E94" i="37"/>
  <c r="F94" i="37"/>
  <c r="M90" i="37"/>
  <c r="L90" i="37"/>
  <c r="K90" i="37"/>
  <c r="J90" i="37"/>
  <c r="I90" i="37"/>
  <c r="H90" i="37"/>
  <c r="G90" i="37"/>
  <c r="F90" i="37"/>
  <c r="E90" i="37"/>
  <c r="D90" i="37"/>
  <c r="C90" i="37"/>
  <c r="D89" i="37"/>
  <c r="E89" i="37"/>
  <c r="B86" i="37"/>
  <c r="B84" i="37"/>
  <c r="H27" i="37"/>
  <c r="U27" i="37"/>
  <c r="B82" i="37"/>
  <c r="D79" i="37"/>
  <c r="E79" i="37"/>
  <c r="D75" i="37"/>
  <c r="E75" i="37"/>
  <c r="D73" i="37"/>
  <c r="E73" i="37"/>
  <c r="F73" i="37"/>
  <c r="D71" i="37"/>
  <c r="H15" i="37"/>
  <c r="AB15" i="37"/>
  <c r="B68" i="37"/>
  <c r="H14" i="37"/>
  <c r="AB14" i="37"/>
  <c r="B66" i="37"/>
  <c r="B64" i="37"/>
  <c r="J12" i="37"/>
  <c r="W12" i="37"/>
  <c r="D63" i="37"/>
  <c r="E63" i="37"/>
  <c r="M61" i="37"/>
  <c r="L61" i="37"/>
  <c r="K61" i="37"/>
  <c r="J61" i="37"/>
  <c r="I61" i="37"/>
  <c r="H61" i="37"/>
  <c r="G61" i="37"/>
  <c r="F61" i="37"/>
  <c r="E61" i="37"/>
  <c r="D61" i="37"/>
  <c r="C61" i="37"/>
  <c r="C57" i="37"/>
  <c r="H9" i="37"/>
  <c r="U9"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E85" i="36"/>
  <c r="F85" i="36"/>
  <c r="G85" i="36"/>
  <c r="H85" i="36"/>
  <c r="I85" i="36"/>
  <c r="J85" i="36"/>
  <c r="K85" i="36"/>
  <c r="H29" i="36"/>
  <c r="D81" i="36"/>
  <c r="E81" i="36"/>
  <c r="F81" i="36"/>
  <c r="G81" i="36"/>
  <c r="H81" i="36"/>
  <c r="I81" i="36"/>
  <c r="J81" i="36"/>
  <c r="K81" i="36"/>
  <c r="L81" i="36"/>
  <c r="M81" i="36"/>
  <c r="F79" i="36"/>
  <c r="E79" i="36"/>
  <c r="D79" i="36"/>
  <c r="C79" i="36"/>
  <c r="B93" i="36"/>
  <c r="H33" i="36"/>
  <c r="B91" i="36"/>
  <c r="F32" i="36"/>
  <c r="S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B99" i="35"/>
  <c r="B97" i="35"/>
  <c r="B77" i="35"/>
  <c r="B75" i="35"/>
  <c r="J24" i="35"/>
  <c r="AC24" i="35"/>
  <c r="B73" i="35"/>
  <c r="H23" i="35"/>
  <c r="U23" i="35"/>
  <c r="B57" i="35"/>
  <c r="J11" i="35"/>
  <c r="W11" i="35"/>
  <c r="B61" i="35"/>
  <c r="B59" i="35"/>
  <c r="H12" i="35"/>
  <c r="U12" i="35"/>
  <c r="B131" i="34"/>
  <c r="B129" i="34"/>
  <c r="J46" i="34"/>
  <c r="W46" i="34"/>
  <c r="B127" i="34"/>
  <c r="B99" i="34"/>
  <c r="F32" i="34"/>
  <c r="S32" i="34"/>
  <c r="B97" i="34"/>
  <c r="B95" i="34"/>
  <c r="H30" i="34"/>
  <c r="U30" i="34"/>
  <c r="B93" i="34"/>
  <c r="B75" i="34"/>
  <c r="B73" i="34"/>
  <c r="B71" i="34"/>
  <c r="B130" i="33"/>
  <c r="B128" i="33"/>
  <c r="B126" i="33"/>
  <c r="B98" i="33"/>
  <c r="F31" i="33"/>
  <c r="AA31" i="33"/>
  <c r="B96" i="33"/>
  <c r="B94" i="33"/>
  <c r="B74" i="33"/>
  <c r="B72" i="33"/>
  <c r="H13" i="33"/>
  <c r="U13" i="33"/>
  <c r="B70" i="33"/>
  <c r="J12" i="33"/>
  <c r="AC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J28" i="34"/>
  <c r="AC28" i="34"/>
  <c r="B89" i="34"/>
  <c r="J27" i="34"/>
  <c r="W27" i="34"/>
  <c r="D88" i="34"/>
  <c r="E88" i="34"/>
  <c r="F88" i="34"/>
  <c r="G88" i="34"/>
  <c r="H88" i="34"/>
  <c r="I88" i="34"/>
  <c r="J88" i="34"/>
  <c r="K88" i="34"/>
  <c r="L88" i="34"/>
  <c r="M88" i="34"/>
  <c r="D86" i="34"/>
  <c r="E86" i="34"/>
  <c r="F86" i="34"/>
  <c r="G86" i="34"/>
  <c r="D82" i="34"/>
  <c r="E82" i="34"/>
  <c r="F82" i="34"/>
  <c r="G82" i="34"/>
  <c r="D80" i="34"/>
  <c r="E80" i="34"/>
  <c r="D78" i="34"/>
  <c r="E78" i="34"/>
  <c r="F78" i="34"/>
  <c r="G78" i="34"/>
  <c r="D70" i="34"/>
  <c r="E70" i="34"/>
  <c r="M68" i="34"/>
  <c r="L68" i="34"/>
  <c r="K68" i="34"/>
  <c r="J68" i="34"/>
  <c r="I68" i="34"/>
  <c r="H68" i="34"/>
  <c r="G68" i="34"/>
  <c r="F68" i="34"/>
  <c r="E68" i="34"/>
  <c r="D68" i="34"/>
  <c r="C68" i="34"/>
  <c r="C64" i="34"/>
  <c r="H9" i="34"/>
  <c r="AB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8" i="34"/>
  <c r="AC8" i="34"/>
  <c r="H8" i="34"/>
  <c r="U8" i="34"/>
  <c r="F8" i="34"/>
  <c r="AA8" i="34"/>
  <c r="D121" i="33"/>
  <c r="E121" i="33"/>
  <c r="F121" i="33"/>
  <c r="F109" i="33"/>
  <c r="E109" i="33"/>
  <c r="D109" i="33"/>
  <c r="C109" i="33"/>
  <c r="D91" i="33"/>
  <c r="E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D106" i="33"/>
  <c r="E106" i="33"/>
  <c r="F106" i="33"/>
  <c r="M102" i="33"/>
  <c r="L102" i="33"/>
  <c r="K102" i="33"/>
  <c r="J102" i="33"/>
  <c r="I102" i="33"/>
  <c r="H102" i="33"/>
  <c r="G102" i="33"/>
  <c r="F102" i="33"/>
  <c r="E102" i="33"/>
  <c r="D102" i="33"/>
  <c r="C102" i="33"/>
  <c r="D101" i="33"/>
  <c r="E101" i="33"/>
  <c r="B92" i="33"/>
  <c r="B90" i="33"/>
  <c r="D87" i="33"/>
  <c r="E87" i="33"/>
  <c r="D85" i="33"/>
  <c r="E85" i="33"/>
  <c r="D81" i="33"/>
  <c r="E81" i="33"/>
  <c r="D79" i="33"/>
  <c r="E79" i="33"/>
  <c r="F79" i="33"/>
  <c r="D77" i="33"/>
  <c r="E77" i="33"/>
  <c r="F77" i="33"/>
  <c r="G77" i="33"/>
  <c r="D69" i="33"/>
  <c r="E69" i="33"/>
  <c r="F69" i="33"/>
  <c r="M67" i="33"/>
  <c r="L67" i="33"/>
  <c r="K67" i="33"/>
  <c r="J67" i="33"/>
  <c r="I67" i="33"/>
  <c r="H67" i="33"/>
  <c r="G67" i="33"/>
  <c r="F67" i="33"/>
  <c r="E67" i="33"/>
  <c r="D67" i="33"/>
  <c r="C67" i="33"/>
  <c r="C63" i="33"/>
  <c r="P49" i="33"/>
  <c r="P48" i="33"/>
  <c r="V47" i="33"/>
  <c r="T47" i="33"/>
  <c r="R47" i="33"/>
  <c r="P47" i="33"/>
  <c r="Q46" i="33"/>
  <c r="Z46" i="33"/>
  <c r="Q45" i="33"/>
  <c r="Z45" i="33"/>
  <c r="Q44" i="33"/>
  <c r="Z44" i="33"/>
  <c r="Q43" i="33"/>
  <c r="Z43" i="33"/>
  <c r="Q42" i="33"/>
  <c r="Z42" i="33"/>
  <c r="J42" i="33"/>
  <c r="AC42" i="33"/>
  <c r="AC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S9" i="21"/>
  <c r="G18" i="20"/>
  <c r="B90" i="43"/>
  <c r="G19" i="20"/>
  <c r="B87" i="43"/>
  <c r="G16" i="20"/>
  <c r="B84" i="43"/>
  <c r="G15" i="20"/>
  <c r="B83" i="43"/>
  <c r="C24" i="20"/>
  <c r="B97" i="43"/>
  <c r="C21" i="20"/>
  <c r="B99" i="43"/>
  <c r="C20" i="20"/>
  <c r="B101" i="43"/>
  <c r="C18" i="20"/>
  <c r="B94" i="43"/>
  <c r="C17" i="20"/>
  <c r="B61" i="43"/>
  <c r="C16" i="20"/>
  <c r="C17" i="39"/>
  <c r="C15" i="20"/>
  <c r="B72"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AB31" i="21"/>
  <c r="B96" i="21"/>
  <c r="B94" i="21"/>
  <c r="J29" i="21"/>
  <c r="B92" i="21"/>
  <c r="B90" i="21"/>
  <c r="J27" i="21"/>
  <c r="W27" i="21"/>
  <c r="B74" i="21"/>
  <c r="B72" i="21"/>
  <c r="H13" i="21"/>
  <c r="AB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A585" i="3"/>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M586" i="3"/>
  <c r="BN586" i="3"/>
  <c r="BO586" i="3"/>
  <c r="BL586" i="3"/>
  <c r="BP586" i="3"/>
  <c r="BQ586" i="3"/>
  <c r="BR586" i="3"/>
  <c r="BS586" i="3"/>
  <c r="BT586" i="3"/>
  <c r="BB587" i="3"/>
  <c r="BA587" i="3"/>
  <c r="BC587" i="3"/>
  <c r="BD587" i="3"/>
  <c r="BE587" i="3"/>
  <c r="BF587" i="3"/>
  <c r="BG587" i="3"/>
  <c r="BH587" i="3"/>
  <c r="BI587" i="3"/>
  <c r="BJ587" i="3"/>
  <c r="BK587" i="3"/>
  <c r="BM587" i="3"/>
  <c r="BL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H12" i="21"/>
  <c r="AB12" i="21"/>
  <c r="J26" i="21"/>
  <c r="W26" i="21"/>
  <c r="F26" i="21"/>
  <c r="S26" i="21"/>
  <c r="AB41" i="21"/>
  <c r="S41" i="21"/>
  <c r="F45" i="39"/>
  <c r="S45" i="39"/>
  <c r="J45" i="39"/>
  <c r="W45" i="39"/>
  <c r="J44" i="39"/>
  <c r="AC44" i="39"/>
  <c r="F36" i="39"/>
  <c r="S36" i="39"/>
  <c r="H36" i="39"/>
  <c r="AB36" i="39"/>
  <c r="J35" i="39"/>
  <c r="AC35" i="39"/>
  <c r="F35" i="39"/>
  <c r="AA35" i="39"/>
  <c r="J36" i="39"/>
  <c r="AC36" i="39"/>
  <c r="U9" i="39"/>
  <c r="W40" i="39"/>
  <c r="W25" i="37"/>
  <c r="W31" i="37"/>
  <c r="E103" i="37"/>
  <c r="F103" i="37"/>
  <c r="G103" i="37"/>
  <c r="H103" i="37"/>
  <c r="I103" i="37"/>
  <c r="J103" i="37"/>
  <c r="K103" i="37"/>
  <c r="L103" i="37"/>
  <c r="M103" i="37"/>
  <c r="F39" i="37"/>
  <c r="S39" i="37"/>
  <c r="U14" i="37"/>
  <c r="F29" i="36"/>
  <c r="AA29" i="36"/>
  <c r="F16" i="36"/>
  <c r="AA16" i="36"/>
  <c r="U9" i="36"/>
  <c r="U31" i="36"/>
  <c r="J33" i="36"/>
  <c r="AC33" i="36"/>
  <c r="H22" i="35"/>
  <c r="AB22" i="35"/>
  <c r="AC27" i="35"/>
  <c r="U31" i="35"/>
  <c r="W22" i="35"/>
  <c r="S31" i="35"/>
  <c r="F36" i="34"/>
  <c r="J35" i="34"/>
  <c r="AC35" i="34"/>
  <c r="H39" i="33"/>
  <c r="AB39" i="33"/>
  <c r="F26" i="33"/>
  <c r="AA26" i="33"/>
  <c r="U35" i="33"/>
  <c r="S40" i="33"/>
  <c r="W39" i="33"/>
  <c r="H39" i="37"/>
  <c r="AB39" i="37"/>
  <c r="S27" i="35"/>
  <c r="F11" i="40"/>
  <c r="AA11" i="40"/>
  <c r="H11" i="40"/>
  <c r="AB11" i="40"/>
  <c r="AB39" i="40"/>
  <c r="AC40" i="40"/>
  <c r="AA9" i="40"/>
  <c r="AC9" i="40"/>
  <c r="U9" i="40"/>
  <c r="S34" i="40"/>
  <c r="U38" i="40"/>
  <c r="S40" i="40"/>
  <c r="W31" i="40"/>
  <c r="S38" i="40"/>
  <c r="F42" i="39"/>
  <c r="AA42" i="39"/>
  <c r="F41" i="39"/>
  <c r="S41" i="39"/>
  <c r="H40" i="39"/>
  <c r="AB40" i="39"/>
  <c r="H39" i="39"/>
  <c r="U39" i="39"/>
  <c r="H34" i="39"/>
  <c r="U34" i="39"/>
  <c r="E108" i="39"/>
  <c r="H31" i="39"/>
  <c r="AB31" i="39"/>
  <c r="F31" i="39"/>
  <c r="AA31" i="39"/>
  <c r="E100" i="39"/>
  <c r="F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W31" i="39"/>
  <c r="H27" i="39"/>
  <c r="U27" i="39"/>
  <c r="J19" i="39"/>
  <c r="AC19" i="39"/>
  <c r="J17" i="39"/>
  <c r="W17" i="39"/>
  <c r="J27" i="39"/>
  <c r="AC27" i="39"/>
  <c r="F27" i="39"/>
  <c r="AA27" i="39"/>
  <c r="F11" i="21"/>
  <c r="S11" i="21"/>
  <c r="S40" i="21"/>
  <c r="U34" i="21"/>
  <c r="C25" i="39"/>
  <c r="C21" i="39"/>
  <c r="S40" i="39"/>
  <c r="H32" i="33"/>
  <c r="AB32" i="33"/>
  <c r="H11" i="21"/>
  <c r="U11" i="21"/>
  <c r="J11" i="21"/>
  <c r="W11" i="21"/>
  <c r="H37" i="40"/>
  <c r="U37" i="40"/>
  <c r="H36" i="40"/>
  <c r="AB36" i="40"/>
  <c r="F35" i="40"/>
  <c r="AA35" i="40"/>
  <c r="H23" i="40"/>
  <c r="AB23" i="40"/>
  <c r="H17" i="40"/>
  <c r="U17" i="40"/>
  <c r="J15" i="40"/>
  <c r="W15" i="40"/>
  <c r="J11" i="40"/>
  <c r="W11" i="40"/>
  <c r="AB12" i="35"/>
  <c r="AB12" i="36"/>
  <c r="W32" i="40"/>
  <c r="S44" i="39"/>
  <c r="F37" i="39"/>
  <c r="AA37" i="39"/>
  <c r="J34" i="36"/>
  <c r="W34" i="36"/>
  <c r="U30" i="36"/>
  <c r="J30" i="35"/>
  <c r="W30" i="35"/>
  <c r="H30" i="35"/>
  <c r="AB30" i="35"/>
  <c r="F22" i="35"/>
  <c r="AA22" i="35"/>
  <c r="H10" i="35"/>
  <c r="U10" i="35"/>
  <c r="F33" i="36"/>
  <c r="AA33" i="36"/>
  <c r="H16" i="36"/>
  <c r="AB16" i="36"/>
  <c r="L85" i="36"/>
  <c r="M85" i="36"/>
  <c r="J29" i="36"/>
  <c r="AC29" i="36"/>
  <c r="F12" i="36"/>
  <c r="F24" i="36"/>
  <c r="F34" i="36"/>
  <c r="F14" i="35"/>
  <c r="AA14" i="35"/>
  <c r="F23" i="35"/>
  <c r="AA23" i="35"/>
  <c r="J32" i="35"/>
  <c r="AC32" i="35"/>
  <c r="J16" i="35"/>
  <c r="AC16" i="35"/>
  <c r="H16" i="35"/>
  <c r="U16" i="35"/>
  <c r="F16" i="35"/>
  <c r="S16" i="35"/>
  <c r="H14" i="35"/>
  <c r="AB14" i="35"/>
  <c r="J29" i="35"/>
  <c r="AC29" i="35"/>
  <c r="H33" i="35"/>
  <c r="J20" i="35"/>
  <c r="W20" i="35"/>
  <c r="F35" i="37"/>
  <c r="E101" i="37"/>
  <c r="F101" i="37"/>
  <c r="G101" i="37"/>
  <c r="H101" i="37"/>
  <c r="I101" i="37"/>
  <c r="J101" i="37"/>
  <c r="K101" i="37"/>
  <c r="L101" i="37"/>
  <c r="M101" i="37"/>
  <c r="J34" i="37"/>
  <c r="W34" i="37"/>
  <c r="AB34" i="37"/>
  <c r="J33" i="37"/>
  <c r="AC33" i="37"/>
  <c r="U42" i="34"/>
  <c r="H40" i="34"/>
  <c r="U40" i="34"/>
  <c r="E114" i="34"/>
  <c r="H36" i="34"/>
  <c r="F37" i="34"/>
  <c r="S35" i="34"/>
  <c r="F28" i="34"/>
  <c r="AA28" i="34"/>
  <c r="F27" i="34"/>
  <c r="AA27" i="34"/>
  <c r="F25" i="34"/>
  <c r="S25" i="34"/>
  <c r="H23" i="34"/>
  <c r="J23" i="34"/>
  <c r="W23" i="34"/>
  <c r="F19" i="34"/>
  <c r="H17" i="34"/>
  <c r="U17" i="34"/>
  <c r="F15" i="34"/>
  <c r="AA15" i="34"/>
  <c r="W8" i="34"/>
  <c r="W28" i="34"/>
  <c r="F41" i="33"/>
  <c r="AA41" i="33"/>
  <c r="S38" i="33"/>
  <c r="E113" i="33"/>
  <c r="F32" i="33"/>
  <c r="AA32" i="33"/>
  <c r="J19" i="33"/>
  <c r="AC19" i="33"/>
  <c r="J15" i="33"/>
  <c r="AC15" i="33"/>
  <c r="S26" i="33"/>
  <c r="W40" i="33"/>
  <c r="F37" i="40"/>
  <c r="AA37" i="40"/>
  <c r="F36" i="40"/>
  <c r="AA36" i="40"/>
  <c r="H28" i="40"/>
  <c r="U28" i="40"/>
  <c r="F23" i="40"/>
  <c r="AA23" i="40"/>
  <c r="F17" i="40"/>
  <c r="AA17" i="40"/>
  <c r="J17" i="40"/>
  <c r="W17" i="40"/>
  <c r="F15" i="40"/>
  <c r="S15" i="40"/>
  <c r="H15" i="40"/>
  <c r="AB15" i="40"/>
  <c r="S12" i="36"/>
  <c r="AA12" i="36"/>
  <c r="AB30" i="36"/>
  <c r="F29" i="35"/>
  <c r="H29" i="35"/>
  <c r="AB29" i="35"/>
  <c r="H33" i="37"/>
  <c r="F33" i="37"/>
  <c r="AA33" i="37"/>
  <c r="U34" i="37"/>
  <c r="S34" i="37"/>
  <c r="AA34" i="37"/>
  <c r="J43" i="34"/>
  <c r="AB42" i="34"/>
  <c r="J40" i="34"/>
  <c r="F114" i="34"/>
  <c r="G114" i="34"/>
  <c r="H114" i="34"/>
  <c r="I114" i="34"/>
  <c r="J114" i="34"/>
  <c r="K114" i="34"/>
  <c r="L114" i="34"/>
  <c r="M114" i="34"/>
  <c r="H38" i="34"/>
  <c r="AB38" i="34"/>
  <c r="J36" i="34"/>
  <c r="H37" i="34"/>
  <c r="U37" i="34"/>
  <c r="H25" i="34"/>
  <c r="AB25" i="34"/>
  <c r="J25" i="34"/>
  <c r="AC25" i="34"/>
  <c r="F23" i="34"/>
  <c r="J19" i="34"/>
  <c r="J17" i="34"/>
  <c r="W17" i="34"/>
  <c r="S41" i="33"/>
  <c r="F113" i="33"/>
  <c r="G113" i="33"/>
  <c r="H113" i="33"/>
  <c r="I113" i="33"/>
  <c r="J113" i="33"/>
  <c r="K113" i="33"/>
  <c r="L113" i="33"/>
  <c r="M113" i="33"/>
  <c r="H37" i="33"/>
  <c r="AB37" i="33"/>
  <c r="H15" i="33"/>
  <c r="AB15" i="33"/>
  <c r="F28" i="40"/>
  <c r="AA28" i="40"/>
  <c r="AA42" i="34"/>
  <c r="S42" i="34"/>
  <c r="AC38" i="34"/>
  <c r="AA38" i="34"/>
  <c r="J37" i="34"/>
  <c r="AC37" i="34"/>
  <c r="S28" i="34"/>
  <c r="G123" i="21"/>
  <c r="H123" i="21"/>
  <c r="I123" i="21"/>
  <c r="J123" i="21"/>
  <c r="K123" i="21"/>
  <c r="L123" i="21"/>
  <c r="M123" i="21"/>
  <c r="J42" i="21"/>
  <c r="AC42" i="21"/>
  <c r="H42" i="21"/>
  <c r="U42" i="21"/>
  <c r="J44" i="34"/>
  <c r="F44" i="34"/>
  <c r="J10" i="35"/>
  <c r="AC10" i="35"/>
  <c r="J14" i="21"/>
  <c r="W14" i="21"/>
  <c r="F14" i="21"/>
  <c r="H14" i="21"/>
  <c r="U14" i="21"/>
  <c r="H28" i="21"/>
  <c r="F28" i="21"/>
  <c r="J28" i="21"/>
  <c r="W28" i="21"/>
  <c r="H30" i="21"/>
  <c r="U30" i="21"/>
  <c r="F30" i="21"/>
  <c r="J30" i="21"/>
  <c r="J44" i="21"/>
  <c r="AC44" i="21"/>
  <c r="H44" i="21"/>
  <c r="U44" i="21"/>
  <c r="F44" i="21"/>
  <c r="H46" i="21"/>
  <c r="J46" i="21"/>
  <c r="W46" i="21"/>
  <c r="F46" i="21"/>
  <c r="AA46" i="21"/>
  <c r="E119" i="21"/>
  <c r="F119" i="21"/>
  <c r="G119" i="21"/>
  <c r="H119" i="21"/>
  <c r="I119" i="21"/>
  <c r="J119" i="21"/>
  <c r="K119" i="21"/>
  <c r="L119" i="21"/>
  <c r="M119" i="21"/>
  <c r="H26" i="33"/>
  <c r="U26" i="33"/>
  <c r="H28" i="33"/>
  <c r="AB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H29" i="21"/>
  <c r="U29" i="21"/>
  <c r="J31" i="21"/>
  <c r="AC31" i="21"/>
  <c r="F31" i="21"/>
  <c r="F45" i="21"/>
  <c r="AA45" i="21"/>
  <c r="F27" i="33"/>
  <c r="J13" i="33"/>
  <c r="AC13" i="33"/>
  <c r="F13" i="33"/>
  <c r="S13" i="33"/>
  <c r="J29" i="33"/>
  <c r="H29" i="33"/>
  <c r="U29" i="33"/>
  <c r="F29" i="33"/>
  <c r="J31" i="33"/>
  <c r="H31" i="33"/>
  <c r="AB31" i="33"/>
  <c r="H45" i="33"/>
  <c r="U45" i="33"/>
  <c r="J45" i="33"/>
  <c r="W45" i="33"/>
  <c r="F45" i="33"/>
  <c r="J14" i="34"/>
  <c r="F14" i="34"/>
  <c r="S14" i="34"/>
  <c r="H14" i="34"/>
  <c r="U14" i="34"/>
  <c r="F30" i="34"/>
  <c r="J30" i="34"/>
  <c r="H32" i="34"/>
  <c r="U32" i="34"/>
  <c r="J32" i="34"/>
  <c r="W32" i="34"/>
  <c r="H46" i="34"/>
  <c r="U46" i="34"/>
  <c r="F46" i="34"/>
  <c r="S46" i="34"/>
  <c r="H11" i="35"/>
  <c r="AB11" i="35"/>
  <c r="AC11" i="35"/>
  <c r="J26" i="36"/>
  <c r="W26" i="36"/>
  <c r="H28" i="36"/>
  <c r="J32" i="36"/>
  <c r="W32" i="36"/>
  <c r="J11" i="36"/>
  <c r="AC11" i="36"/>
  <c r="H11" i="36"/>
  <c r="U11" i="36"/>
  <c r="F11" i="36"/>
  <c r="AA11" i="36"/>
  <c r="H13" i="36"/>
  <c r="J13" i="36"/>
  <c r="AC13" i="36"/>
  <c r="F13" i="36"/>
  <c r="S13" i="36"/>
  <c r="F89" i="37"/>
  <c r="G89" i="37"/>
  <c r="H89" i="37"/>
  <c r="I89" i="37"/>
  <c r="J89" i="37"/>
  <c r="K89" i="37"/>
  <c r="L89" i="37"/>
  <c r="M89" i="37"/>
  <c r="J29" i="37"/>
  <c r="W29" i="37"/>
  <c r="F29" i="37"/>
  <c r="S29" i="37"/>
  <c r="F105" i="37"/>
  <c r="G105" i="37"/>
  <c r="H36" i="37"/>
  <c r="AB36" i="37"/>
  <c r="J37" i="37"/>
  <c r="H37" i="37"/>
  <c r="H40" i="37"/>
  <c r="U40" i="37"/>
  <c r="J40" i="37"/>
  <c r="AC40" i="37"/>
  <c r="F40" i="37"/>
  <c r="AC12" i="40"/>
  <c r="H14" i="33"/>
  <c r="U14" i="33"/>
  <c r="F14" i="33"/>
  <c r="S14" i="33"/>
  <c r="J14" i="33"/>
  <c r="W14" i="33"/>
  <c r="H30" i="33"/>
  <c r="AB30" i="33"/>
  <c r="F30" i="33"/>
  <c r="J30" i="33"/>
  <c r="W30" i="33"/>
  <c r="H44" i="33"/>
  <c r="J44" i="33"/>
  <c r="F44" i="33"/>
  <c r="S44" i="33"/>
  <c r="J46" i="33"/>
  <c r="F46" i="33"/>
  <c r="H46" i="33"/>
  <c r="H13" i="34"/>
  <c r="U13" i="34"/>
  <c r="J13" i="34"/>
  <c r="F13" i="34"/>
  <c r="J29" i="34"/>
  <c r="F29" i="34"/>
  <c r="H29" i="34"/>
  <c r="AB29" i="34"/>
  <c r="J31" i="34"/>
  <c r="AC31" i="34"/>
  <c r="H31" i="34"/>
  <c r="AB31" i="34"/>
  <c r="F31" i="34"/>
  <c r="S31" i="34"/>
  <c r="H45" i="34"/>
  <c r="U45" i="34"/>
  <c r="J45" i="34"/>
  <c r="F45" i="34"/>
  <c r="H47" i="34"/>
  <c r="F47" i="34"/>
  <c r="S47" i="34"/>
  <c r="J47" i="34"/>
  <c r="F13" i="35"/>
  <c r="J13" i="35"/>
  <c r="H13" i="35"/>
  <c r="U13" i="35"/>
  <c r="J25" i="35"/>
  <c r="W25" i="35"/>
  <c r="F25" i="35"/>
  <c r="H25" i="35"/>
  <c r="J35" i="35"/>
  <c r="F35" i="35"/>
  <c r="AA35" i="35"/>
  <c r="H35" i="35"/>
  <c r="AB35" i="35"/>
  <c r="J25" i="36"/>
  <c r="W25" i="36"/>
  <c r="F25" i="36"/>
  <c r="S25" i="36"/>
  <c r="H25" i="36"/>
  <c r="AB25" i="36"/>
  <c r="H13" i="37"/>
  <c r="F13" i="37"/>
  <c r="S13" i="37"/>
  <c r="J13" i="37"/>
  <c r="W13" i="37"/>
  <c r="F28" i="37"/>
  <c r="AA28" i="37"/>
  <c r="J28" i="37"/>
  <c r="H28" i="37"/>
  <c r="U28" i="37"/>
  <c r="H38" i="37"/>
  <c r="AB38" i="37"/>
  <c r="J38" i="37"/>
  <c r="AC38" i="37"/>
  <c r="F38" i="37"/>
  <c r="S38" i="37"/>
  <c r="F43" i="39"/>
  <c r="H43" i="39"/>
  <c r="U43" i="39"/>
  <c r="J14" i="39"/>
  <c r="AC14" i="39"/>
  <c r="F14" i="39"/>
  <c r="S14" i="39"/>
  <c r="H14" i="39"/>
  <c r="AB14" i="39"/>
  <c r="F12" i="40"/>
  <c r="S12" i="40"/>
  <c r="H12" i="40"/>
  <c r="AB12" i="40"/>
  <c r="H30" i="40"/>
  <c r="AB30" i="40"/>
  <c r="F33" i="40"/>
  <c r="AA33" i="40"/>
  <c r="H33" i="40"/>
  <c r="U33" i="40"/>
  <c r="J35" i="40"/>
  <c r="AC35" i="40"/>
  <c r="J37" i="40"/>
  <c r="AC37" i="40"/>
  <c r="U13" i="40"/>
  <c r="F14" i="37"/>
  <c r="S14" i="37"/>
  <c r="F13" i="39"/>
  <c r="J13" i="39"/>
  <c r="W13" i="39"/>
  <c r="H13" i="39"/>
  <c r="H14" i="40"/>
  <c r="J14" i="40"/>
  <c r="W14" i="40"/>
  <c r="F14" i="40"/>
  <c r="AA14" i="40"/>
  <c r="J14" i="37"/>
  <c r="J27" i="37"/>
  <c r="AC27" i="37"/>
  <c r="U31" i="34"/>
  <c r="J36" i="37"/>
  <c r="AC36" i="37"/>
  <c r="J10" i="36"/>
  <c r="AC10" i="36"/>
  <c r="AB26" i="33"/>
  <c r="AB30" i="21"/>
  <c r="AA14" i="37"/>
  <c r="W31" i="34"/>
  <c r="W13" i="36"/>
  <c r="S11" i="36"/>
  <c r="AA14" i="34"/>
  <c r="U31" i="33"/>
  <c r="AC28" i="21"/>
  <c r="BA586" i="3"/>
  <c r="AZ586" i="3"/>
  <c r="F17" i="21"/>
  <c r="AA17" i="21"/>
  <c r="H17" i="21"/>
  <c r="AB17" i="21"/>
  <c r="F15" i="21"/>
  <c r="J41" i="39"/>
  <c r="W41" i="39"/>
  <c r="W44" i="39"/>
  <c r="W35" i="39"/>
  <c r="S35" i="39"/>
  <c r="G544" i="3"/>
  <c r="G540" i="3"/>
  <c r="G535" i="3"/>
  <c r="G531" i="3"/>
  <c r="G527" i="3"/>
  <c r="G518" i="3"/>
  <c r="G510" i="3"/>
  <c r="G504" i="3"/>
  <c r="G496" i="3"/>
  <c r="G584" i="3"/>
  <c r="G580" i="3"/>
  <c r="G572" i="3"/>
  <c r="G568" i="3"/>
  <c r="G564" i="3"/>
  <c r="G554" i="3"/>
  <c r="BL584" i="3"/>
  <c r="AZ584" i="3"/>
  <c r="BL576" i="3"/>
  <c r="BL572" i="3"/>
  <c r="BL568" i="3"/>
  <c r="BL560" i="3"/>
  <c r="BL554" i="3"/>
  <c r="BL546" i="3"/>
  <c r="BL542" i="3"/>
  <c r="BL538" i="3"/>
  <c r="BL530" i="3"/>
  <c r="BL522" i="3"/>
  <c r="BL512" i="3"/>
  <c r="AZ512" i="3"/>
  <c r="BL502" i="3"/>
  <c r="BL494" i="3"/>
  <c r="BL582" i="3"/>
  <c r="BL578" i="3"/>
  <c r="BL570" i="3"/>
  <c r="BL566" i="3"/>
  <c r="BL562" i="3"/>
  <c r="BL556" i="3"/>
  <c r="BL552" i="3"/>
  <c r="BL544" i="3"/>
  <c r="BL540" i="3"/>
  <c r="G533" i="3"/>
  <c r="G529" i="3"/>
  <c r="G525" i="3"/>
  <c r="BL518" i="3"/>
  <c r="BL510" i="3"/>
  <c r="BL500" i="3"/>
  <c r="G493" i="3"/>
  <c r="BA584" i="3"/>
  <c r="BA582" i="3"/>
  <c r="AZ582" i="3"/>
  <c r="BA580" i="3"/>
  <c r="AZ580" i="3"/>
  <c r="BA578" i="3"/>
  <c r="AZ578" i="3"/>
  <c r="BA576" i="3"/>
  <c r="BA574" i="3"/>
  <c r="AZ574" i="3"/>
  <c r="BA572" i="3"/>
  <c r="AZ572" i="3"/>
  <c r="BA570" i="3"/>
  <c r="AZ570" i="3"/>
  <c r="BA568" i="3"/>
  <c r="BA566" i="3"/>
  <c r="AZ566" i="3"/>
  <c r="BA564" i="3"/>
  <c r="AZ564" i="3"/>
  <c r="BA562" i="3"/>
  <c r="AZ562" i="3"/>
  <c r="BA560" i="3"/>
  <c r="AZ558" i="3"/>
  <c r="BA556" i="3"/>
  <c r="AZ556" i="3"/>
  <c r="BA554" i="3"/>
  <c r="AZ554" i="3"/>
  <c r="BA552" i="3"/>
  <c r="AZ552" i="3"/>
  <c r="BA548" i="3"/>
  <c r="BA546" i="3"/>
  <c r="AZ546" i="3"/>
  <c r="BA544" i="3"/>
  <c r="AZ544" i="3"/>
  <c r="BA542" i="3"/>
  <c r="AZ542" i="3"/>
  <c r="AZ540" i="3"/>
  <c r="AZ538" i="3"/>
  <c r="AZ536" i="3"/>
  <c r="AZ534" i="3"/>
  <c r="AZ532" i="3"/>
  <c r="BA528" i="3"/>
  <c r="AZ528" i="3"/>
  <c r="BA526" i="3"/>
  <c r="AZ526" i="3"/>
  <c r="BA524" i="3"/>
  <c r="AZ524" i="3"/>
  <c r="BA522" i="3"/>
  <c r="AZ522" i="3"/>
  <c r="BA518" i="3"/>
  <c r="AZ518" i="3"/>
  <c r="BA516" i="3"/>
  <c r="AZ516" i="3"/>
  <c r="BA514" i="3"/>
  <c r="AZ510" i="3"/>
  <c r="BA506" i="3"/>
  <c r="AZ504" i="3"/>
  <c r="BA500" i="3"/>
  <c r="AZ498" i="3"/>
  <c r="BA494" i="3"/>
  <c r="AZ587" i="3"/>
  <c r="BA583" i="3"/>
  <c r="BA581" i="3"/>
  <c r="AZ581" i="3"/>
  <c r="BA579" i="3"/>
  <c r="BA575" i="3"/>
  <c r="AZ575" i="3"/>
  <c r="BA573" i="3"/>
  <c r="BA571" i="3"/>
  <c r="AZ571" i="3"/>
  <c r="BA569" i="3"/>
  <c r="BA567" i="3"/>
  <c r="AZ567" i="3"/>
  <c r="BA563" i="3"/>
  <c r="BA559" i="3"/>
  <c r="BA555" i="3"/>
  <c r="BA553" i="3"/>
  <c r="AZ553" i="3"/>
  <c r="BA547" i="3"/>
  <c r="BA545" i="3"/>
  <c r="BA543" i="3"/>
  <c r="BA539" i="3"/>
  <c r="BA535" i="3"/>
  <c r="BA531" i="3"/>
  <c r="BA527" i="3"/>
  <c r="BA523" i="3"/>
  <c r="BA517" i="3"/>
  <c r="BA513" i="3"/>
  <c r="BA507" i="3"/>
  <c r="BA503" i="3"/>
  <c r="BA499" i="3"/>
  <c r="BA495" i="3"/>
  <c r="AZ495" i="3"/>
  <c r="AZ560" i="3"/>
  <c r="G583" i="3"/>
  <c r="G581" i="3"/>
  <c r="G577" i="3"/>
  <c r="G573" i="3"/>
  <c r="G571" i="3"/>
  <c r="G569" i="3"/>
  <c r="G567" i="3"/>
  <c r="G565" i="3"/>
  <c r="G561" i="3"/>
  <c r="BA557" i="3"/>
  <c r="AC557" i="3"/>
  <c r="G557" i="3"/>
  <c r="BQ557" i="3"/>
  <c r="BL557" i="3"/>
  <c r="BQ583" i="3"/>
  <c r="BL583" i="3"/>
  <c r="AZ583" i="3"/>
  <c r="BQ581" i="3"/>
  <c r="BL581" i="3"/>
  <c r="BQ579" i="3"/>
  <c r="BL579" i="3"/>
  <c r="BQ577" i="3"/>
  <c r="BQ575" i="3"/>
  <c r="BL575" i="3"/>
  <c r="BQ573" i="3"/>
  <c r="BL573" i="3"/>
  <c r="AZ573" i="3"/>
  <c r="BQ571" i="3"/>
  <c r="BL571" i="3"/>
  <c r="BQ569" i="3"/>
  <c r="BL569" i="3"/>
  <c r="AZ569" i="3"/>
  <c r="BQ567" i="3"/>
  <c r="BL567" i="3"/>
  <c r="BQ565" i="3"/>
  <c r="BQ563" i="3"/>
  <c r="BL563" i="3"/>
  <c r="BQ561" i="3"/>
  <c r="BL561" i="3"/>
  <c r="BQ559" i="3"/>
  <c r="G555" i="3"/>
  <c r="G553" i="3"/>
  <c r="G549" i="3"/>
  <c r="G547" i="3"/>
  <c r="G545" i="3"/>
  <c r="G543" i="3"/>
  <c r="G541" i="3"/>
  <c r="G537" i="3"/>
  <c r="BQ555" i="3"/>
  <c r="BL555" i="3"/>
  <c r="AZ555" i="3"/>
  <c r="BQ553" i="3"/>
  <c r="BL553" i="3"/>
  <c r="BQ551" i="3"/>
  <c r="BL551" i="3"/>
  <c r="BQ549" i="3"/>
  <c r="BQ547" i="3"/>
  <c r="BL547" i="3"/>
  <c r="AZ547" i="3"/>
  <c r="BQ545" i="3"/>
  <c r="BL545" i="3"/>
  <c r="AZ545" i="3"/>
  <c r="BQ543" i="3"/>
  <c r="BL543" i="3"/>
  <c r="AZ543" i="3"/>
  <c r="BQ541" i="3"/>
  <c r="BL541" i="3"/>
  <c r="BQ539" i="3"/>
  <c r="BQ537" i="3"/>
  <c r="BL537" i="3"/>
  <c r="BQ535" i="3"/>
  <c r="BQ533" i="3"/>
  <c r="BL533" i="3"/>
  <c r="BQ531" i="3"/>
  <c r="BQ529" i="3"/>
  <c r="BL529" i="3"/>
  <c r="BQ527" i="3"/>
  <c r="BQ525" i="3"/>
  <c r="BL525" i="3"/>
  <c r="BQ523" i="3"/>
  <c r="AC521" i="3"/>
  <c r="G521" i="3"/>
  <c r="BQ521" i="3"/>
  <c r="BL521" i="3"/>
  <c r="AZ521" i="3"/>
  <c r="AZ520" i="3"/>
  <c r="G517" i="3"/>
  <c r="G513" i="3"/>
  <c r="BQ519" i="3"/>
  <c r="BQ517" i="3"/>
  <c r="BL517" i="3"/>
  <c r="BQ515" i="3"/>
  <c r="BQ513" i="3"/>
  <c r="BL513" i="3"/>
  <c r="BQ511" i="3"/>
  <c r="AC509" i="3"/>
  <c r="BQ509" i="3"/>
  <c r="BL509" i="3"/>
  <c r="AZ508" i="3"/>
  <c r="G505" i="3"/>
  <c r="G501" i="3"/>
  <c r="G497" i="3"/>
  <c r="BQ507" i="3"/>
  <c r="BQ505" i="3"/>
  <c r="BL505" i="3"/>
  <c r="BQ503" i="3"/>
  <c r="BQ501" i="3"/>
  <c r="BL501" i="3"/>
  <c r="BQ499" i="3"/>
  <c r="BL499" i="3"/>
  <c r="BQ497" i="3"/>
  <c r="BL497" i="3"/>
  <c r="BQ495" i="3"/>
  <c r="BL495" i="3"/>
  <c r="BQ493" i="3"/>
  <c r="BQ5" i="3"/>
  <c r="O27" i="31"/>
  <c r="O28" i="31"/>
  <c r="O26" i="31"/>
  <c r="M27" i="31"/>
  <c r="M28" i="31"/>
  <c r="M26" i="31"/>
  <c r="I26" i="31"/>
  <c r="I25" i="31"/>
  <c r="Q26" i="31"/>
  <c r="K26" i="31"/>
  <c r="I27" i="31"/>
  <c r="Q27" i="31"/>
  <c r="K27" i="31"/>
  <c r="I28" i="31"/>
  <c r="Q28" i="31"/>
  <c r="K28" i="31"/>
  <c r="S21" i="40"/>
  <c r="H25" i="21"/>
  <c r="F25" i="21"/>
  <c r="J25" i="21"/>
  <c r="AC25" i="21"/>
  <c r="E125" i="33"/>
  <c r="F125" i="33"/>
  <c r="H43" i="33"/>
  <c r="H17" i="37"/>
  <c r="AB27" i="37"/>
  <c r="AA36" i="39"/>
  <c r="F39" i="33"/>
  <c r="AA39" i="33"/>
  <c r="E123" i="33"/>
  <c r="F42" i="33"/>
  <c r="AA42" i="33"/>
  <c r="H28" i="34"/>
  <c r="F14" i="36"/>
  <c r="AA14" i="36"/>
  <c r="F22" i="36"/>
  <c r="F26" i="36"/>
  <c r="S26" i="36"/>
  <c r="H27" i="34"/>
  <c r="AB27" i="34"/>
  <c r="H35" i="34"/>
  <c r="F41" i="34"/>
  <c r="H41" i="34"/>
  <c r="U41" i="34"/>
  <c r="J41" i="34"/>
  <c r="F10" i="35"/>
  <c r="S10" i="35"/>
  <c r="H23" i="37"/>
  <c r="AB23" i="37"/>
  <c r="J32" i="37"/>
  <c r="AC32" i="37"/>
  <c r="F36" i="37"/>
  <c r="AA36" i="37"/>
  <c r="F37" i="37"/>
  <c r="AA37" i="37"/>
  <c r="F31" i="40"/>
  <c r="AA31" i="40"/>
  <c r="H31" i="40"/>
  <c r="U31" i="40"/>
  <c r="F32" i="40"/>
  <c r="S32" i="40"/>
  <c r="H32" i="40"/>
  <c r="AB32" i="40"/>
  <c r="J36" i="40"/>
  <c r="W36" i="40"/>
  <c r="H19" i="37"/>
  <c r="F123" i="33"/>
  <c r="G123" i="33"/>
  <c r="H123" i="33"/>
  <c r="I123" i="33"/>
  <c r="J123" i="33"/>
  <c r="K123" i="33"/>
  <c r="L123" i="33"/>
  <c r="M123" i="33"/>
  <c r="H42" i="33"/>
  <c r="G125" i="33"/>
  <c r="J43" i="33"/>
  <c r="AC43" i="33"/>
  <c r="S28" i="31"/>
  <c r="U35" i="35"/>
  <c r="W23" i="35"/>
  <c r="AB28" i="37"/>
  <c r="U39" i="37"/>
  <c r="W26" i="37"/>
  <c r="U26" i="37"/>
  <c r="AB13" i="34"/>
  <c r="AA13" i="33"/>
  <c r="AC45" i="33"/>
  <c r="U19" i="21"/>
  <c r="W44" i="21"/>
  <c r="AC46" i="21"/>
  <c r="AB38" i="21"/>
  <c r="F43" i="33"/>
  <c r="AA43" i="33"/>
  <c r="W16" i="35"/>
  <c r="W40" i="37"/>
  <c r="H107" i="37"/>
  <c r="I107" i="37"/>
  <c r="J107" i="37"/>
  <c r="K107" i="37"/>
  <c r="L107" i="37"/>
  <c r="M107" i="37"/>
  <c r="H37" i="21"/>
  <c r="U37" i="21"/>
  <c r="H19" i="34"/>
  <c r="AB19" i="34"/>
  <c r="F36" i="35"/>
  <c r="J9" i="37"/>
  <c r="W9" i="37"/>
  <c r="F9" i="37"/>
  <c r="S9" i="37"/>
  <c r="H12" i="37"/>
  <c r="AB12" i="37"/>
  <c r="E71" i="37"/>
  <c r="F71" i="37"/>
  <c r="F15" i="37"/>
  <c r="AA15" i="37"/>
  <c r="F31" i="37"/>
  <c r="S31" i="37"/>
  <c r="F12" i="39"/>
  <c r="J42" i="39"/>
  <c r="AC42" i="39"/>
  <c r="H21" i="40"/>
  <c r="AB21" i="40"/>
  <c r="AC12" i="37"/>
  <c r="G94" i="37"/>
  <c r="H94" i="37"/>
  <c r="I94" i="37"/>
  <c r="J94" i="37"/>
  <c r="K94" i="37"/>
  <c r="L94" i="37"/>
  <c r="M94" i="37"/>
  <c r="H31" i="37"/>
  <c r="U31" i="37"/>
  <c r="G71" i="37"/>
  <c r="J15" i="37"/>
  <c r="W15" i="37"/>
  <c r="AT6" i="3"/>
  <c r="H19" i="40"/>
  <c r="F88" i="40"/>
  <c r="G88" i="40"/>
  <c r="F19" i="40"/>
  <c r="S14" i="40"/>
  <c r="AB33" i="40"/>
  <c r="AC43" i="39"/>
  <c r="U45" i="39"/>
  <c r="AB44" i="39"/>
  <c r="U44" i="39"/>
  <c r="G100" i="39"/>
  <c r="H37" i="39"/>
  <c r="AB37" i="39"/>
  <c r="AC37" i="39"/>
  <c r="W37" i="39"/>
  <c r="H25" i="39"/>
  <c r="AB25" i="39"/>
  <c r="J25" i="39"/>
  <c r="W25" i="39"/>
  <c r="F25" i="39"/>
  <c r="AA25" i="39"/>
  <c r="F15" i="39"/>
  <c r="AA15" i="39"/>
  <c r="H15" i="39"/>
  <c r="U15" i="39"/>
  <c r="J15" i="39"/>
  <c r="W15" i="39"/>
  <c r="H41" i="39"/>
  <c r="AB41" i="39"/>
  <c r="W27" i="39"/>
  <c r="AA41" i="39"/>
  <c r="W9" i="39"/>
  <c r="J19" i="40"/>
  <c r="AC19" i="40"/>
  <c r="J50" i="40"/>
  <c r="H103" i="9"/>
  <c r="D8" i="53"/>
  <c r="C7" i="37"/>
  <c r="C52" i="37"/>
  <c r="D52" i="37"/>
  <c r="W35" i="40"/>
  <c r="A118" i="9"/>
  <c r="A4" i="52"/>
  <c r="B41" i="72"/>
  <c r="G4" i="4"/>
  <c r="I4" i="4"/>
  <c r="A2" i="9"/>
  <c r="F61" i="43"/>
  <c r="H64" i="43"/>
  <c r="AZ20" i="3"/>
  <c r="AZ24" i="3"/>
  <c r="AZ28" i="3"/>
  <c r="AZ32" i="3"/>
  <c r="AZ497" i="3"/>
  <c r="AZ494" i="3"/>
  <c r="AZ514" i="3"/>
  <c r="AZ530" i="3"/>
  <c r="G546"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AZ360" i="3"/>
  <c r="G361" i="3"/>
  <c r="BA362" i="3"/>
  <c r="AZ362" i="3"/>
  <c r="G370" i="3"/>
  <c r="BL371" i="3"/>
  <c r="G372" i="3"/>
  <c r="BL373" i="3"/>
  <c r="BA375" i="3"/>
  <c r="AZ375" i="3"/>
  <c r="BA376" i="3"/>
  <c r="AZ376" i="3"/>
  <c r="BL376" i="3"/>
  <c r="G377" i="3"/>
  <c r="BA378" i="3"/>
  <c r="AZ378" i="3"/>
  <c r="BL378" i="3"/>
  <c r="G379" i="3"/>
  <c r="BA380" i="3"/>
  <c r="G388" i="3"/>
  <c r="BL389" i="3"/>
  <c r="G390" i="3"/>
  <c r="BL391" i="3"/>
  <c r="BA393" i="3"/>
  <c r="AZ393" i="3"/>
  <c r="BA394" i="3"/>
  <c r="AZ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22" i="3"/>
  <c r="G512" i="3"/>
  <c r="G498" i="3"/>
  <c r="G16" i="3"/>
  <c r="G15" i="3"/>
  <c r="BA304" i="3"/>
  <c r="AZ304" i="3"/>
  <c r="BA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AZ356" i="3"/>
  <c r="BL356" i="3"/>
  <c r="G357" i="3"/>
  <c r="G360" i="3"/>
  <c r="BL361" i="3"/>
  <c r="AZ361" i="3"/>
  <c r="BA363" i="3"/>
  <c r="AZ363" i="3"/>
  <c r="BA364" i="3"/>
  <c r="BL364" i="3"/>
  <c r="G365" i="3"/>
  <c r="G368" i="3"/>
  <c r="BL369" i="3"/>
  <c r="BA371" i="3"/>
  <c r="AZ371" i="3"/>
  <c r="BA372" i="3"/>
  <c r="BL372" i="3"/>
  <c r="G373" i="3"/>
  <c r="G376" i="3"/>
  <c r="BL377" i="3"/>
  <c r="BL379" i="3"/>
  <c r="BA381" i="3"/>
  <c r="AZ381" i="3"/>
  <c r="BA382" i="3"/>
  <c r="BL382" i="3"/>
  <c r="AZ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AZ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35" i="3"/>
  <c r="G342" i="3"/>
  <c r="BL345" i="3"/>
  <c r="AZ345" i="3"/>
  <c r="G346" i="3"/>
  <c r="AZ348" i="3"/>
  <c r="BL349" i="3"/>
  <c r="AZ349" i="3"/>
  <c r="BL352" i="3"/>
  <c r="AZ352" i="3"/>
  <c r="G353" i="3"/>
  <c r="BA357" i="3"/>
  <c r="AZ357" i="3"/>
  <c r="BL358" i="3"/>
  <c r="AZ358" i="3"/>
  <c r="G359" i="3"/>
  <c r="BA361" i="3"/>
  <c r="BL362" i="3"/>
  <c r="G363" i="3"/>
  <c r="BA365" i="3"/>
  <c r="AZ365" i="3"/>
  <c r="BL366" i="3"/>
  <c r="AZ366" i="3"/>
  <c r="G367" i="3"/>
  <c r="BA369" i="3"/>
  <c r="AZ369" i="3"/>
  <c r="BL370" i="3"/>
  <c r="AZ370" i="3"/>
  <c r="G371" i="3"/>
  <c r="BA373" i="3"/>
  <c r="AZ373" i="3"/>
  <c r="BL374" i="3"/>
  <c r="AZ374" i="3"/>
  <c r="G375" i="3"/>
  <c r="BA377" i="3"/>
  <c r="AZ377" i="3"/>
  <c r="AZ229" i="3"/>
  <c r="AZ233" i="3"/>
  <c r="AZ237" i="3"/>
  <c r="AZ241" i="3"/>
  <c r="AZ245" i="3"/>
  <c r="AZ249" i="3"/>
  <c r="AZ253" i="3"/>
  <c r="AZ257" i="3"/>
  <c r="AZ261" i="3"/>
  <c r="AZ265" i="3"/>
  <c r="AZ269" i="3"/>
  <c r="AZ273" i="3"/>
  <c r="BA379" i="3"/>
  <c r="BL380" i="3"/>
  <c r="G381" i="3"/>
  <c r="BA383" i="3"/>
  <c r="AZ383" i="3"/>
  <c r="BL384" i="3"/>
  <c r="AZ384" i="3"/>
  <c r="G385" i="3"/>
  <c r="BA387" i="3"/>
  <c r="AZ387" i="3"/>
  <c r="BL388" i="3"/>
  <c r="AZ388" i="3"/>
  <c r="G389" i="3"/>
  <c r="BA391" i="3"/>
  <c r="AZ391" i="3"/>
  <c r="BL392" i="3"/>
  <c r="AZ392" i="3"/>
  <c r="G393" i="3"/>
  <c r="AZ263" i="3"/>
  <c r="AZ275" i="3"/>
  <c r="AZ279" i="3"/>
  <c r="AZ283" i="3"/>
  <c r="AZ287" i="3"/>
  <c r="AZ291" i="3"/>
  <c r="AZ295" i="3"/>
  <c r="AZ299" i="3"/>
  <c r="BO5" i="3"/>
  <c r="BJ5" i="3"/>
  <c r="AZ309" i="3"/>
  <c r="AZ317" i="3"/>
  <c r="AZ325" i="3"/>
  <c r="AZ333" i="3"/>
  <c r="AZ341" i="3"/>
  <c r="AC5" i="3"/>
  <c r="AZ506" i="3"/>
  <c r="G548" i="3"/>
  <c r="G520" i="3"/>
  <c r="BS5" i="3"/>
  <c r="BN5" i="3"/>
  <c r="BK5" i="3"/>
  <c r="G17" i="3"/>
  <c r="BA17" i="3"/>
  <c r="AZ350" i="3"/>
  <c r="AZ364" i="3"/>
  <c r="AZ368" i="3"/>
  <c r="BA15" i="3"/>
  <c r="AZ15" i="3"/>
  <c r="AZ380" i="3"/>
  <c r="AZ396" i="3"/>
  <c r="AZ499" i="3"/>
  <c r="G509" i="3"/>
  <c r="AZ491" i="3"/>
  <c r="AZ390" i="3"/>
  <c r="F83" i="43"/>
  <c r="H85" i="43"/>
  <c r="F50" i="43"/>
  <c r="H54" i="43"/>
  <c r="F72" i="43"/>
  <c r="H75" i="43"/>
  <c r="S14" i="35"/>
  <c r="U35" i="21"/>
  <c r="AC35" i="21"/>
  <c r="G8" i="1"/>
  <c r="G10" i="1"/>
  <c r="AZ501" i="3"/>
  <c r="W44" i="34"/>
  <c r="AC44" i="34"/>
  <c r="S15" i="37"/>
  <c r="U12" i="40"/>
  <c r="AA12" i="40"/>
  <c r="J37" i="33"/>
  <c r="W37" i="33"/>
  <c r="G106" i="33"/>
  <c r="H106" i="33"/>
  <c r="I106" i="33"/>
  <c r="J106" i="33"/>
  <c r="K106" i="33"/>
  <c r="L106" i="33"/>
  <c r="M106" i="33"/>
  <c r="J34" i="33"/>
  <c r="W34" i="33"/>
  <c r="F33" i="34"/>
  <c r="S33" i="34"/>
  <c r="W12" i="36"/>
  <c r="AC12" i="36"/>
  <c r="H20" i="36"/>
  <c r="U20" i="36"/>
  <c r="J20" i="36"/>
  <c r="W20" i="36"/>
  <c r="J27" i="36"/>
  <c r="W27" i="36"/>
  <c r="AC33" i="40"/>
  <c r="G111" i="40"/>
  <c r="H111" i="40"/>
  <c r="I111" i="40"/>
  <c r="J111" i="40"/>
  <c r="K111" i="40"/>
  <c r="L111" i="40"/>
  <c r="M111" i="40"/>
  <c r="H35" i="40"/>
  <c r="AB35" i="40"/>
  <c r="W29" i="35"/>
  <c r="H35" i="37"/>
  <c r="U35" i="37"/>
  <c r="AC14" i="35"/>
  <c r="H20" i="35"/>
  <c r="F20" i="35"/>
  <c r="AB23" i="35"/>
  <c r="AB29" i="36"/>
  <c r="U29" i="36"/>
  <c r="H32" i="37"/>
  <c r="AB32" i="37"/>
  <c r="F96" i="37"/>
  <c r="H27" i="40"/>
  <c r="J27" i="40"/>
  <c r="F27" i="40"/>
  <c r="J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J39" i="39"/>
  <c r="AC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D93" i="9"/>
  <c r="K6" i="1"/>
  <c r="AP6" i="1"/>
  <c r="G29" i="6"/>
  <c r="W26" i="33"/>
  <c r="AC27" i="34"/>
  <c r="AB34" i="36"/>
  <c r="U34" i="36"/>
  <c r="AB33" i="36"/>
  <c r="U33" i="36"/>
  <c r="AC12" i="39"/>
  <c r="W12" i="39"/>
  <c r="AC39" i="40"/>
  <c r="W39" i="40"/>
  <c r="AZ401" i="3"/>
  <c r="AZ412" i="3"/>
  <c r="AZ417" i="3"/>
  <c r="AZ428" i="3"/>
  <c r="AZ433" i="3"/>
  <c r="AZ465" i="3"/>
  <c r="W12" i="33"/>
  <c r="AA32" i="36"/>
  <c r="AZ551" i="3"/>
  <c r="AZ408" i="3"/>
  <c r="AZ437" i="3"/>
  <c r="AZ441" i="3"/>
  <c r="AZ457" i="3"/>
  <c r="AZ473" i="3"/>
  <c r="AZ490" i="3"/>
  <c r="BL14" i="3"/>
  <c r="AZ266" i="3"/>
  <c r="U30" i="33"/>
  <c r="AA47" i="34"/>
  <c r="F12" i="33"/>
  <c r="H12" i="39"/>
  <c r="F39" i="40"/>
  <c r="AA39" i="40"/>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c r="S13" i="1"/>
  <c r="AR13" i="1"/>
  <c r="R13" i="1"/>
  <c r="J51" i="67"/>
  <c r="C42" i="1"/>
  <c r="C24" i="12"/>
  <c r="AC34" i="33"/>
  <c r="AA34" i="33"/>
  <c r="B41" i="1"/>
  <c r="S35" i="40"/>
  <c r="U35" i="40"/>
  <c r="AC36" i="40"/>
  <c r="W38" i="40"/>
  <c r="AA32" i="40"/>
  <c r="S17" i="40"/>
  <c r="S23" i="40"/>
  <c r="AC17" i="40"/>
  <c r="AC15" i="40"/>
  <c r="S30" i="40"/>
  <c r="S28" i="40"/>
  <c r="U21" i="40"/>
  <c r="U37" i="39"/>
  <c r="S37" i="39"/>
  <c r="F32" i="39"/>
  <c r="AA32" i="39"/>
  <c r="U25" i="39"/>
  <c r="U31" i="39"/>
  <c r="J21" i="39"/>
  <c r="W21" i="39"/>
  <c r="F21" i="39"/>
  <c r="AA21" i="39"/>
  <c r="H21" i="39"/>
  <c r="AB21" i="39"/>
  <c r="W19" i="39"/>
  <c r="S15" i="39"/>
  <c r="S9" i="39"/>
  <c r="U14" i="39"/>
  <c r="AC13" i="39"/>
  <c r="U26" i="36"/>
  <c r="AA26" i="36"/>
  <c r="AC26" i="36"/>
  <c r="W14" i="36"/>
  <c r="AB14" i="36"/>
  <c r="U22" i="36"/>
  <c r="AA25" i="36"/>
  <c r="U24" i="36"/>
  <c r="AB20" i="36"/>
  <c r="U16" i="36"/>
  <c r="S14" i="36"/>
  <c r="S23" i="35"/>
  <c r="AB13" i="35"/>
  <c r="U28" i="35"/>
  <c r="U32" i="35"/>
  <c r="AA33" i="35"/>
  <c r="S32" i="35"/>
  <c r="S28" i="35"/>
  <c r="AB16" i="35"/>
  <c r="U22" i="35"/>
  <c r="AC20" i="35"/>
  <c r="U14" i="35"/>
  <c r="AC9" i="35"/>
  <c r="W9" i="35"/>
  <c r="F9" i="35"/>
  <c r="S9" i="35"/>
  <c r="H9" i="35"/>
  <c r="U9" i="35"/>
  <c r="AB40" i="37"/>
  <c r="W27" i="37"/>
  <c r="S26" i="37"/>
  <c r="AC29" i="37"/>
  <c r="U29" i="37"/>
  <c r="S32" i="37"/>
  <c r="AB31" i="37"/>
  <c r="W30" i="37"/>
  <c r="S36" i="37"/>
  <c r="AA38" i="37"/>
  <c r="U32" i="37"/>
  <c r="W38" i="37"/>
  <c r="W39" i="37"/>
  <c r="S30" i="37"/>
  <c r="S37" i="37"/>
  <c r="AC15" i="37"/>
  <c r="J17" i="37"/>
  <c r="G73" i="37"/>
  <c r="F17" i="37"/>
  <c r="AA17" i="37"/>
  <c r="F75" i="37"/>
  <c r="F19" i="37"/>
  <c r="F79" i="37"/>
  <c r="G79" i="37"/>
  <c r="F23" i="37"/>
  <c r="S23" i="37"/>
  <c r="U23" i="37"/>
  <c r="U15" i="37"/>
  <c r="AC13" i="37"/>
  <c r="AA13" i="37"/>
  <c r="H10" i="37"/>
  <c r="AB10" i="37"/>
  <c r="F63" i="37"/>
  <c r="G63" i="37"/>
  <c r="H63" i="37"/>
  <c r="F11" i="37"/>
  <c r="S11" i="37"/>
  <c r="S27" i="34"/>
  <c r="W25" i="34"/>
  <c r="AB8" i="34"/>
  <c r="AA33" i="34"/>
  <c r="U44" i="34"/>
  <c r="U43" i="34"/>
  <c r="AC39" i="34"/>
  <c r="AC42" i="34"/>
  <c r="U39" i="34"/>
  <c r="S43" i="34"/>
  <c r="AB41" i="34"/>
  <c r="AA25" i="34"/>
  <c r="U27" i="34"/>
  <c r="H10" i="34"/>
  <c r="AB10" i="34"/>
  <c r="F70" i="34"/>
  <c r="G70" i="34"/>
  <c r="H70" i="34"/>
  <c r="I70" i="34"/>
  <c r="J70" i="34"/>
  <c r="K70" i="34"/>
  <c r="L70" i="34"/>
  <c r="M70" i="34"/>
  <c r="AA35" i="33"/>
  <c r="AB29" i="33"/>
  <c r="W38" i="33"/>
  <c r="H41" i="33"/>
  <c r="U41" i="33"/>
  <c r="G121" i="33"/>
  <c r="H121" i="33"/>
  <c r="I121" i="33"/>
  <c r="J121" i="33"/>
  <c r="K121" i="33"/>
  <c r="L121" i="33"/>
  <c r="M121" i="33"/>
  <c r="S42" i="33"/>
  <c r="F36" i="33"/>
  <c r="AA36" i="33"/>
  <c r="G111" i="33"/>
  <c r="H108" i="33"/>
  <c r="I108" i="33"/>
  <c r="J108" i="33"/>
  <c r="K108" i="33"/>
  <c r="L108" i="33"/>
  <c r="M108" i="33"/>
  <c r="J35" i="33"/>
  <c r="AC35" i="33"/>
  <c r="S37" i="33"/>
  <c r="AA37" i="33"/>
  <c r="S39" i="33"/>
  <c r="F101" i="33"/>
  <c r="G101" i="33"/>
  <c r="H101" i="33"/>
  <c r="I101" i="33"/>
  <c r="J101" i="33"/>
  <c r="K101" i="33"/>
  <c r="L101" i="33"/>
  <c r="M101" i="33"/>
  <c r="J32" i="33"/>
  <c r="AC32" i="33"/>
  <c r="W43" i="33"/>
  <c r="S43" i="33"/>
  <c r="F91" i="33"/>
  <c r="G91" i="33"/>
  <c r="H27" i="33"/>
  <c r="F87" i="33"/>
  <c r="G87" i="33"/>
  <c r="H25" i="33"/>
  <c r="F25" i="33"/>
  <c r="S25" i="33"/>
  <c r="J23" i="33"/>
  <c r="F85" i="33"/>
  <c r="H23" i="33"/>
  <c r="F81" i="33"/>
  <c r="G81" i="33"/>
  <c r="F19" i="33"/>
  <c r="S19" i="33"/>
  <c r="W19" i="33"/>
  <c r="J17" i="33"/>
  <c r="W17" i="33"/>
  <c r="W15" i="33"/>
  <c r="U9" i="33"/>
  <c r="J10" i="33"/>
  <c r="W10" i="33"/>
  <c r="H10" i="33"/>
  <c r="U10" i="33"/>
  <c r="AB14" i="33"/>
  <c r="W43" i="21"/>
  <c r="W36" i="21"/>
  <c r="W41" i="21"/>
  <c r="AB39" i="21"/>
  <c r="S39" i="21"/>
  <c r="AA36" i="21"/>
  <c r="J15" i="21"/>
  <c r="F77" i="21"/>
  <c r="G77" i="21"/>
  <c r="F23" i="21"/>
  <c r="S23" i="21"/>
  <c r="E85" i="21"/>
  <c r="F85" i="21"/>
  <c r="D120" i="9"/>
  <c r="F34" i="67"/>
  <c r="F62" i="67"/>
  <c r="M20" i="67"/>
  <c r="F34" i="15"/>
  <c r="F62" i="15"/>
  <c r="BL17" i="3"/>
  <c r="J56" i="9"/>
  <c r="J57" i="9"/>
  <c r="J59" i="9"/>
  <c r="J61" i="9"/>
  <c r="A24" i="51"/>
  <c r="B18" i="72"/>
  <c r="U29" i="34"/>
  <c r="E32" i="6"/>
  <c r="G1" i="68"/>
  <c r="K1" i="12"/>
  <c r="E19" i="69"/>
  <c r="E19" i="68"/>
  <c r="E19" i="11"/>
  <c r="E1" i="73"/>
  <c r="G22" i="69"/>
  <c r="G22" i="68"/>
  <c r="G26" i="12"/>
  <c r="G22" i="11"/>
  <c r="C6" i="43"/>
  <c r="C7" i="39"/>
  <c r="C67" i="39"/>
  <c r="C7" i="35"/>
  <c r="C48" i="35"/>
  <c r="D48" i="35"/>
  <c r="C7" i="21"/>
  <c r="C7" i="40"/>
  <c r="C63" i="40"/>
  <c r="M47" i="9"/>
  <c r="G23" i="43"/>
  <c r="A4" i="51"/>
  <c r="B6" i="72"/>
  <c r="H67" i="43"/>
  <c r="L20" i="6"/>
  <c r="B6" i="1"/>
  <c r="E6" i="1"/>
  <c r="K11" i="1"/>
  <c r="M11" i="1"/>
  <c r="O11" i="1"/>
  <c r="B9" i="1"/>
  <c r="E9" i="1"/>
  <c r="K7" i="1"/>
  <c r="M7" i="1"/>
  <c r="O7" i="1"/>
  <c r="P7" i="1"/>
  <c r="G1" i="15"/>
  <c r="G1" i="69"/>
  <c r="G1" i="67"/>
  <c r="W23" i="40"/>
  <c r="U32" i="40"/>
  <c r="AB31" i="40"/>
  <c r="S37" i="40"/>
  <c r="AB28" i="40"/>
  <c r="W28" i="40"/>
  <c r="W34" i="40"/>
  <c r="W19" i="40"/>
  <c r="S36" i="40"/>
  <c r="W37" i="40"/>
  <c r="AC14" i="40"/>
  <c r="S33" i="40"/>
  <c r="AA15" i="40"/>
  <c r="U11" i="40"/>
  <c r="S31" i="40"/>
  <c r="AB13" i="40"/>
  <c r="U15" i="40"/>
  <c r="AB17" i="40"/>
  <c r="U8" i="40"/>
  <c r="S8" i="40"/>
  <c r="AC41" i="39"/>
  <c r="U42" i="39"/>
  <c r="U41" i="39"/>
  <c r="AC25" i="39"/>
  <c r="U13" i="39"/>
  <c r="AB13" i="39"/>
  <c r="AA13" i="39"/>
  <c r="S13" i="39"/>
  <c r="AA14" i="39"/>
  <c r="AB43" i="39"/>
  <c r="S27" i="39"/>
  <c r="AC17" i="39"/>
  <c r="AC31" i="39"/>
  <c r="AA45" i="39"/>
  <c r="AB39" i="39"/>
  <c r="S8" i="39"/>
  <c r="S20" i="36"/>
  <c r="AC25" i="36"/>
  <c r="W29" i="36"/>
  <c r="AC20" i="36"/>
  <c r="U25" i="36"/>
  <c r="AA13" i="36"/>
  <c r="W22" i="36"/>
  <c r="S9" i="36"/>
  <c r="AC25" i="35"/>
  <c r="S35" i="35"/>
  <c r="AA16" i="35"/>
  <c r="W36" i="37"/>
  <c r="S28" i="37"/>
  <c r="W32" i="37"/>
  <c r="U36" i="37"/>
  <c r="U38" i="37"/>
  <c r="AC34" i="37"/>
  <c r="AB35" i="37"/>
  <c r="AA31" i="37"/>
  <c r="AA29" i="37"/>
  <c r="AA40" i="34"/>
  <c r="AB40" i="34"/>
  <c r="U19" i="34"/>
  <c r="AB33" i="34"/>
  <c r="AA31" i="34"/>
  <c r="AB45" i="34"/>
  <c r="U25" i="34"/>
  <c r="W33" i="34"/>
  <c r="AC32" i="34"/>
  <c r="AC29" i="34"/>
  <c r="W29" i="34"/>
  <c r="AC46" i="34"/>
  <c r="AA32" i="34"/>
  <c r="AB30" i="34"/>
  <c r="U38" i="34"/>
  <c r="AC40" i="34"/>
  <c r="W40" i="34"/>
  <c r="AA19" i="34"/>
  <c r="S19" i="34"/>
  <c r="AA36" i="34"/>
  <c r="S36" i="34"/>
  <c r="S8" i="34"/>
  <c r="U9" i="34"/>
  <c r="AA46" i="34"/>
  <c r="AB32" i="34"/>
  <c r="AB14" i="34"/>
  <c r="AC43" i="34"/>
  <c r="W43" i="34"/>
  <c r="AC23" i="34"/>
  <c r="W35" i="34"/>
  <c r="AC37" i="33"/>
  <c r="U39" i="33"/>
  <c r="U38" i="33"/>
  <c r="S33" i="33"/>
  <c r="AB34" i="33"/>
  <c r="U44" i="33"/>
  <c r="AB44" i="33"/>
  <c r="S30" i="33"/>
  <c r="AA30" i="33"/>
  <c r="AC14" i="33"/>
  <c r="AC30" i="33"/>
  <c r="S31" i="33"/>
  <c r="W13" i="33"/>
  <c r="U37" i="33"/>
  <c r="W9" i="33"/>
  <c r="W8" i="33"/>
  <c r="AB42" i="21"/>
  <c r="S45" i="21"/>
  <c r="J101" i="21"/>
  <c r="K101" i="21"/>
  <c r="L101" i="21"/>
  <c r="M101" i="21"/>
  <c r="F33" i="21"/>
  <c r="AA33" i="21"/>
  <c r="J33" i="21"/>
  <c r="AC33" i="21"/>
  <c r="H33" i="21"/>
  <c r="AB33" i="21"/>
  <c r="F37" i="21"/>
  <c r="AA37" i="21"/>
  <c r="AA26" i="21"/>
  <c r="AB14" i="21"/>
  <c r="U40" i="21"/>
  <c r="U31" i="21"/>
  <c r="U13" i="21"/>
  <c r="S35" i="21"/>
  <c r="J37" i="21"/>
  <c r="W37" i="21"/>
  <c r="H15" i="21"/>
  <c r="J17" i="21"/>
  <c r="AC19" i="21"/>
  <c r="W39" i="21"/>
  <c r="AC14" i="21"/>
  <c r="S46" i="21"/>
  <c r="H45" i="21"/>
  <c r="U45" i="21"/>
  <c r="AC38" i="21"/>
  <c r="H32" i="21"/>
  <c r="AB32" i="21"/>
  <c r="J9" i="21"/>
  <c r="W9" i="21"/>
  <c r="J32" i="21"/>
  <c r="W32" i="21"/>
  <c r="F32" i="21"/>
  <c r="AA32" i="21"/>
  <c r="U17" i="21"/>
  <c r="S19" i="21"/>
  <c r="AA9" i="21"/>
  <c r="K141" i="21"/>
  <c r="K144" i="21"/>
  <c r="K143" i="21"/>
  <c r="U27" i="21"/>
  <c r="AB44" i="21"/>
  <c r="W13" i="21"/>
  <c r="W42" i="21"/>
  <c r="AC45" i="21"/>
  <c r="F10" i="21"/>
  <c r="AA10" i="21"/>
  <c r="K145" i="21"/>
  <c r="W25" i="21"/>
  <c r="W31" i="21"/>
  <c r="S17" i="21"/>
  <c r="AC27" i="21"/>
  <c r="AC26" i="21"/>
  <c r="AB29" i="21"/>
  <c r="AC34" i="21"/>
  <c r="AB36" i="21"/>
  <c r="C19" i="39"/>
  <c r="C17" i="40"/>
  <c r="C21" i="40"/>
  <c r="U30" i="40"/>
  <c r="B56" i="43"/>
  <c r="B51" i="43"/>
  <c r="B58" i="43"/>
  <c r="B65" i="43"/>
  <c r="D23" i="15"/>
  <c r="D22" i="15"/>
  <c r="E4" i="4"/>
  <c r="B5" i="62"/>
  <c r="B73" i="72"/>
  <c r="C4" i="4"/>
  <c r="F30" i="68"/>
  <c r="F48" i="68"/>
  <c r="F28" i="67"/>
  <c r="F52" i="9"/>
  <c r="F32" i="67"/>
  <c r="F60" i="67"/>
  <c r="F32" i="15"/>
  <c r="F60" i="15"/>
  <c r="F28" i="15"/>
  <c r="S39" i="40"/>
  <c r="S12" i="33"/>
  <c r="AA12" i="33"/>
  <c r="F54" i="9"/>
  <c r="J32" i="39"/>
  <c r="W32" i="39"/>
  <c r="H32" i="39"/>
  <c r="AB32" i="39"/>
  <c r="S32" i="39"/>
  <c r="U21" i="39"/>
  <c r="S17" i="37"/>
  <c r="J19" i="37"/>
  <c r="G75" i="37"/>
  <c r="S19" i="37"/>
  <c r="AA19" i="37"/>
  <c r="AA23" i="37"/>
  <c r="J23" i="37"/>
  <c r="W23" i="37"/>
  <c r="J10" i="37"/>
  <c r="W10" i="37"/>
  <c r="H11" i="37"/>
  <c r="AB11" i="37"/>
  <c r="J10" i="34"/>
  <c r="AC10" i="34"/>
  <c r="AB41" i="33"/>
  <c r="W35" i="33"/>
  <c r="H111" i="33"/>
  <c r="I111" i="33"/>
  <c r="J111" i="33"/>
  <c r="K111" i="33"/>
  <c r="L111" i="33"/>
  <c r="M111" i="33"/>
  <c r="J36" i="33"/>
  <c r="W36" i="33"/>
  <c r="H36" i="33"/>
  <c r="U36" i="33"/>
  <c r="S36" i="33"/>
  <c r="U27" i="33"/>
  <c r="AB27" i="33"/>
  <c r="H91" i="33"/>
  <c r="I91" i="33"/>
  <c r="J91" i="33"/>
  <c r="K91" i="33"/>
  <c r="L91" i="33"/>
  <c r="M91" i="33"/>
  <c r="J27" i="33"/>
  <c r="AC27" i="33"/>
  <c r="U25" i="33"/>
  <c r="AB25" i="33"/>
  <c r="AA25" i="33"/>
  <c r="H87" i="33"/>
  <c r="I87" i="33"/>
  <c r="J87" i="33"/>
  <c r="K87" i="33"/>
  <c r="L87" i="33"/>
  <c r="M87" i="33"/>
  <c r="J25" i="33"/>
  <c r="AC25" i="33"/>
  <c r="AB23" i="33"/>
  <c r="U23" i="33"/>
  <c r="F23" i="33"/>
  <c r="G85" i="33"/>
  <c r="AC23" i="33"/>
  <c r="W23" i="33"/>
  <c r="AA19" i="33"/>
  <c r="H19" i="33"/>
  <c r="U19" i="33"/>
  <c r="G79" i="33"/>
  <c r="H17" i="33"/>
  <c r="AB17" i="33"/>
  <c r="F17" i="33"/>
  <c r="S17" i="33"/>
  <c r="S37" i="21"/>
  <c r="AA23" i="21"/>
  <c r="J23" i="21"/>
  <c r="W23" i="21"/>
  <c r="G85" i="21"/>
  <c r="H23" i="21"/>
  <c r="AP7" i="1"/>
  <c r="AB45" i="21"/>
  <c r="AC9" i="21"/>
  <c r="U32" i="21"/>
  <c r="U32" i="39"/>
  <c r="W19" i="37"/>
  <c r="AC19" i="37"/>
  <c r="AC23" i="37"/>
  <c r="I63" i="37"/>
  <c r="J63" i="37"/>
  <c r="K63" i="37"/>
  <c r="L63" i="37"/>
  <c r="M63" i="37"/>
  <c r="J11" i="37"/>
  <c r="AC11" i="37"/>
  <c r="W27" i="33"/>
  <c r="W25" i="33"/>
  <c r="AA23" i="33"/>
  <c r="S23" i="33"/>
  <c r="AB19" i="33"/>
  <c r="U23" i="21"/>
  <c r="AB23" i="21"/>
  <c r="AC23" i="21"/>
  <c r="AD3" i="71"/>
  <c r="J1" i="73"/>
  <c r="H69" i="43"/>
  <c r="H50" i="43"/>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E21" i="71"/>
  <c r="E20" i="71"/>
  <c r="E19" i="71"/>
  <c r="E18" i="71"/>
  <c r="E17" i="71"/>
  <c r="E16" i="71"/>
  <c r="V20" i="71"/>
  <c r="C20" i="71"/>
  <c r="C19" i="71"/>
  <c r="C18" i="71"/>
  <c r="C17" i="71"/>
  <c r="D21" i="71"/>
  <c r="D18" i="71"/>
  <c r="T20" i="71"/>
  <c r="D19" i="71"/>
  <c r="D20" i="71"/>
  <c r="U20" i="71"/>
  <c r="E10" i="76"/>
  <c r="F3" i="73"/>
  <c r="B7" i="76"/>
  <c r="AO13" i="1"/>
  <c r="E7" i="76"/>
  <c r="B12" i="76"/>
  <c r="F7" i="73"/>
  <c r="M28" i="67"/>
  <c r="D6" i="73"/>
  <c r="J15" i="15"/>
  <c r="F4" i="73"/>
  <c r="C76" i="67"/>
  <c r="D7" i="73"/>
  <c r="F26" i="15"/>
  <c r="F5" i="73"/>
  <c r="F43" i="67"/>
  <c r="M29" i="15"/>
  <c r="D4" i="73"/>
  <c r="B8" i="76"/>
  <c r="M26" i="67"/>
  <c r="E11" i="76"/>
  <c r="B13" i="76"/>
  <c r="J15" i="67"/>
  <c r="C76" i="15"/>
  <c r="E6" i="6"/>
  <c r="D10" i="68"/>
  <c r="C10" i="68"/>
  <c r="B29" i="1"/>
  <c r="C8" i="68"/>
  <c r="G16" i="1"/>
  <c r="F10" i="39"/>
  <c r="AA10" i="39"/>
  <c r="F28" i="6"/>
  <c r="F30" i="6"/>
  <c r="D19" i="6"/>
  <c r="D20" i="6"/>
  <c r="D21" i="6"/>
  <c r="D22" i="6"/>
  <c r="D23" i="6"/>
  <c r="D24" i="6"/>
  <c r="D25" i="6"/>
  <c r="D26" i="6"/>
  <c r="D27" i="6"/>
  <c r="E28" i="6"/>
  <c r="D28" i="6"/>
  <c r="D29" i="6"/>
  <c r="D30" i="6"/>
  <c r="D31" i="6"/>
  <c r="I6" i="6"/>
  <c r="F11" i="39"/>
  <c r="AA11" i="39"/>
  <c r="C38" i="39"/>
  <c r="F38" i="39"/>
  <c r="AA38" i="39"/>
  <c r="C69" i="39"/>
  <c r="D67" i="39"/>
  <c r="D69" i="39"/>
  <c r="E67" i="39"/>
  <c r="E69" i="39"/>
  <c r="F67" i="39"/>
  <c r="F69" i="39"/>
  <c r="G67" i="39"/>
  <c r="G69" i="39"/>
  <c r="H67" i="39"/>
  <c r="H69" i="39"/>
  <c r="I67" i="39"/>
  <c r="I69" i="39"/>
  <c r="J67" i="39"/>
  <c r="J69" i="39"/>
  <c r="K67" i="39"/>
  <c r="K69" i="39"/>
  <c r="L67" i="39"/>
  <c r="L69" i="39"/>
  <c r="M67" i="39"/>
  <c r="M69" i="39"/>
  <c r="N67" i="39"/>
  <c r="N69" i="39"/>
  <c r="O67" i="39"/>
  <c r="O69" i="39"/>
  <c r="P27" i="43"/>
  <c r="B70" i="39"/>
  <c r="F7" i="39"/>
  <c r="AA7" i="39"/>
  <c r="R47" i="39"/>
  <c r="H10" i="39"/>
  <c r="AB10" i="39"/>
  <c r="H11" i="39"/>
  <c r="AB11" i="39"/>
  <c r="H38" i="39"/>
  <c r="AB38" i="39"/>
  <c r="H7" i="39"/>
  <c r="AB7" i="39"/>
  <c r="T47" i="39"/>
  <c r="J10" i="39"/>
  <c r="AC10" i="39"/>
  <c r="J11" i="39"/>
  <c r="AC11" i="39"/>
  <c r="J38" i="39"/>
  <c r="AC38" i="39"/>
  <c r="J7" i="39"/>
  <c r="AC7" i="39"/>
  <c r="V47" i="39"/>
  <c r="R48" i="39"/>
  <c r="C48" i="39"/>
  <c r="B56" i="39"/>
  <c r="E56" i="39"/>
  <c r="F56" i="39"/>
  <c r="B57" i="39"/>
  <c r="F57" i="39"/>
  <c r="B58" i="39"/>
  <c r="F58" i="39"/>
  <c r="B59" i="39"/>
  <c r="F59" i="39"/>
  <c r="B60" i="39"/>
  <c r="BF5" i="3"/>
  <c r="E11" i="6"/>
  <c r="E60" i="39"/>
  <c r="F60" i="39"/>
  <c r="B61" i="39"/>
  <c r="E12" i="6"/>
  <c r="E61" i="39"/>
  <c r="F61" i="39"/>
  <c r="B62" i="39"/>
  <c r="E13" i="6"/>
  <c r="E62" i="39"/>
  <c r="F62" i="39"/>
  <c r="B63" i="39"/>
  <c r="E14" i="6"/>
  <c r="E63" i="39"/>
  <c r="F63" i="39"/>
  <c r="B64" i="39"/>
  <c r="E15" i="6"/>
  <c r="E64" i="39"/>
  <c r="F64" i="39"/>
  <c r="F65" i="39"/>
  <c r="B2" i="39"/>
  <c r="C6" i="68"/>
  <c r="C7" i="68"/>
  <c r="C5" i="68"/>
  <c r="C20" i="68"/>
  <c r="K1" i="73"/>
  <c r="D5" i="73"/>
  <c r="G1" i="73"/>
  <c r="B40" i="1"/>
  <c r="F22" i="68"/>
  <c r="M6" i="1"/>
  <c r="K14" i="1"/>
  <c r="M14" i="1"/>
  <c r="M16" i="1"/>
  <c r="N16" i="1"/>
  <c r="B21" i="1"/>
  <c r="B23" i="1"/>
  <c r="C23" i="68"/>
  <c r="C24" i="68"/>
  <c r="C25" i="68"/>
  <c r="C22" i="68"/>
  <c r="Q16" i="1"/>
  <c r="F27" i="68"/>
  <c r="C28" i="68"/>
  <c r="C27" i="68"/>
  <c r="C26" i="68"/>
  <c r="D22" i="68"/>
  <c r="C29" i="68"/>
  <c r="D27" i="68"/>
  <c r="C30" i="68"/>
  <c r="C31" i="68"/>
  <c r="B24" i="1"/>
  <c r="F34" i="68"/>
  <c r="O6" i="1"/>
  <c r="O8" i="1"/>
  <c r="O9" i="1"/>
  <c r="O12" i="1"/>
  <c r="O14" i="1"/>
  <c r="O16" i="1"/>
  <c r="C34" i="68"/>
  <c r="C35" i="68"/>
  <c r="C36" i="68"/>
  <c r="D9" i="68"/>
  <c r="D19" i="68"/>
  <c r="D37" i="68"/>
  <c r="C37" i="68"/>
  <c r="C38" i="68"/>
  <c r="C33" i="68"/>
  <c r="C39" i="68"/>
  <c r="C42" i="68"/>
  <c r="C43" i="68"/>
  <c r="C41" i="68"/>
  <c r="C46" i="68"/>
  <c r="C45" i="68"/>
  <c r="C44" i="68"/>
  <c r="D41" i="68"/>
  <c r="C47" i="68"/>
  <c r="D45" i="68"/>
  <c r="C48" i="68"/>
  <c r="C49" i="68"/>
  <c r="F50" i="68"/>
  <c r="C51" i="68"/>
  <c r="C52" i="68"/>
  <c r="B2" i="68"/>
  <c r="B3" i="68"/>
  <c r="C57" i="68"/>
  <c r="C56" i="68"/>
  <c r="D34" i="9"/>
  <c r="B11" i="76"/>
  <c r="M9" i="67"/>
  <c r="E13" i="76"/>
  <c r="E9" i="76"/>
  <c r="D35" i="9"/>
  <c r="F6" i="73"/>
  <c r="E8" i="76"/>
  <c r="B9" i="76"/>
  <c r="L47" i="67"/>
  <c r="E2" i="69"/>
  <c r="F42" i="67"/>
  <c r="M24" i="15"/>
  <c r="F38" i="15"/>
  <c r="M23" i="15"/>
  <c r="D3" i="73"/>
  <c r="F26" i="67"/>
  <c r="F40" i="67"/>
  <c r="M23" i="67"/>
  <c r="F42" i="15"/>
  <c r="F6" i="67"/>
  <c r="M8" i="15"/>
  <c r="M6" i="15"/>
  <c r="F16" i="15"/>
  <c r="F20" i="31"/>
  <c r="M22" i="15"/>
  <c r="F36" i="67"/>
  <c r="E12" i="76"/>
  <c r="B10" i="76"/>
  <c r="E2" i="68"/>
  <c r="U29" i="35"/>
  <c r="W30" i="36"/>
  <c r="AB36" i="33"/>
  <c r="W32" i="33"/>
  <c r="S32" i="33"/>
  <c r="W33" i="33"/>
  <c r="AC28" i="33"/>
  <c r="U28" i="33"/>
  <c r="S28" i="33"/>
  <c r="U17" i="33"/>
  <c r="AC17" i="33"/>
  <c r="U15" i="33"/>
  <c r="S15" i="33"/>
  <c r="G69" i="33"/>
  <c r="H69" i="33"/>
  <c r="I69" i="33"/>
  <c r="J69" i="33"/>
  <c r="K69" i="33"/>
  <c r="L69" i="33"/>
  <c r="M69" i="33"/>
  <c r="H11" i="33"/>
  <c r="AB11" i="33"/>
  <c r="F11" i="33"/>
  <c r="AA11" i="33"/>
  <c r="J11" i="33"/>
  <c r="W11" i="33"/>
  <c r="U11" i="33"/>
  <c r="R25" i="31"/>
  <c r="S25" i="31"/>
  <c r="R26" i="31"/>
  <c r="S26" i="31"/>
  <c r="S22" i="31"/>
  <c r="H15" i="34"/>
  <c r="AB15" i="34"/>
  <c r="J15" i="34"/>
  <c r="W15" i="34"/>
  <c r="AA39" i="34"/>
  <c r="F80" i="34"/>
  <c r="G80" i="34"/>
  <c r="F17" i="34"/>
  <c r="AA17" i="34"/>
  <c r="AC17" i="34"/>
  <c r="AB17" i="34"/>
  <c r="AC15" i="34"/>
  <c r="S15" i="34"/>
  <c r="W34" i="39"/>
  <c r="AB34" i="39"/>
  <c r="S42" i="39"/>
  <c r="AC32" i="39"/>
  <c r="S34" i="39"/>
  <c r="U29" i="39"/>
  <c r="W29" i="39"/>
  <c r="W23" i="39"/>
  <c r="S21" i="39"/>
  <c r="U19" i="39"/>
  <c r="S19" i="39"/>
  <c r="U17" i="39"/>
  <c r="AB8" i="39"/>
  <c r="H5" i="3"/>
  <c r="H109" i="9"/>
  <c r="D16" i="53"/>
  <c r="B16" i="53"/>
  <c r="B33" i="72"/>
  <c r="B13" i="53"/>
  <c r="B29" i="72"/>
  <c r="B19" i="53"/>
  <c r="B37" i="72"/>
  <c r="C28" i="67"/>
  <c r="E15" i="71"/>
  <c r="E14" i="71"/>
  <c r="E13" i="71"/>
  <c r="E12" i="71"/>
  <c r="V16" i="71"/>
  <c r="AA17" i="33"/>
  <c r="S32" i="21"/>
  <c r="AC17" i="21"/>
  <c r="W17" i="21"/>
  <c r="F48" i="9"/>
  <c r="O52" i="9"/>
  <c r="F30" i="11"/>
  <c r="C48" i="11"/>
  <c r="F31" i="12"/>
  <c r="M18" i="67"/>
  <c r="F30" i="69"/>
  <c r="F48" i="69"/>
  <c r="M18" i="15"/>
  <c r="D68" i="9"/>
  <c r="AA23" i="39"/>
  <c r="S23" i="39"/>
  <c r="S39" i="39"/>
  <c r="AA39" i="39"/>
  <c r="S27" i="40"/>
  <c r="AA27" i="40"/>
  <c r="U27" i="40"/>
  <c r="AB27" i="40"/>
  <c r="U20" i="35"/>
  <c r="AB20" i="35"/>
  <c r="AZ17" i="3"/>
  <c r="AZ379" i="3"/>
  <c r="AZ372" i="3"/>
  <c r="AZ337" i="3"/>
  <c r="AZ305" i="3"/>
  <c r="AZ343" i="3"/>
  <c r="S12" i="39"/>
  <c r="AA12" i="39"/>
  <c r="S36" i="35"/>
  <c r="AA36" i="35"/>
  <c r="AB42" i="33"/>
  <c r="U42" i="33"/>
  <c r="U35" i="34"/>
  <c r="AB35" i="34"/>
  <c r="U17" i="37"/>
  <c r="AB17" i="37"/>
  <c r="S25" i="21"/>
  <c r="AA25" i="21"/>
  <c r="AZ513" i="3"/>
  <c r="AB14" i="40"/>
  <c r="U14" i="40"/>
  <c r="AC28" i="37"/>
  <c r="W28" i="37"/>
  <c r="AB25" i="35"/>
  <c r="U25" i="35"/>
  <c r="AC13" i="35"/>
  <c r="W13" i="35"/>
  <c r="AC47" i="34"/>
  <c r="W47" i="34"/>
  <c r="U47" i="34"/>
  <c r="AB47" i="34"/>
  <c r="W45" i="34"/>
  <c r="AC45" i="34"/>
  <c r="S29" i="34"/>
  <c r="AA29" i="34"/>
  <c r="AA13" i="34"/>
  <c r="S13" i="34"/>
  <c r="AA46" i="33"/>
  <c r="S46" i="33"/>
  <c r="U37" i="37"/>
  <c r="AB37" i="37"/>
  <c r="AB13" i="36"/>
  <c r="U13" i="36"/>
  <c r="S30" i="34"/>
  <c r="AA30" i="34"/>
  <c r="AA45" i="33"/>
  <c r="S45" i="33"/>
  <c r="W31" i="33"/>
  <c r="AC31" i="33"/>
  <c r="AA27" i="33"/>
  <c r="S27" i="33"/>
  <c r="S31" i="21"/>
  <c r="AA31" i="21"/>
  <c r="U46" i="21"/>
  <c r="AB46" i="21"/>
  <c r="AC30" i="21"/>
  <c r="W30" i="21"/>
  <c r="AA28" i="21"/>
  <c r="S28" i="21"/>
  <c r="AA44" i="34"/>
  <c r="S44" i="34"/>
  <c r="AA23" i="34"/>
  <c r="S23" i="34"/>
  <c r="W36" i="34"/>
  <c r="AC36" i="34"/>
  <c r="U23" i="34"/>
  <c r="AB23" i="34"/>
  <c r="U36" i="34"/>
  <c r="AB36" i="34"/>
  <c r="S35" i="37"/>
  <c r="AA35" i="37"/>
  <c r="AB33" i="35"/>
  <c r="U33" i="35"/>
  <c r="AA24" i="36"/>
  <c r="S24" i="36"/>
  <c r="S12" i="21"/>
  <c r="AA12" i="21"/>
  <c r="BL577" i="3"/>
  <c r="AZ577" i="3"/>
  <c r="BL565" i="3"/>
  <c r="AZ565" i="3"/>
  <c r="AZ541" i="3"/>
  <c r="BL539" i="3"/>
  <c r="AZ539" i="3"/>
  <c r="AZ537" i="3"/>
  <c r="BL535" i="3"/>
  <c r="AZ535" i="3"/>
  <c r="AZ533" i="3"/>
  <c r="BL531" i="3"/>
  <c r="AZ531" i="3"/>
  <c r="AZ529" i="3"/>
  <c r="BL527" i="3"/>
  <c r="AZ527" i="3"/>
  <c r="U15" i="21"/>
  <c r="AB15" i="21"/>
  <c r="D121" i="9"/>
  <c r="D7" i="52"/>
  <c r="D6" i="52"/>
  <c r="W15" i="21"/>
  <c r="AC15" i="21"/>
  <c r="W17" i="37"/>
  <c r="AC17" i="37"/>
  <c r="AB12" i="39"/>
  <c r="U12" i="39"/>
  <c r="AC30" i="40"/>
  <c r="W30" i="40"/>
  <c r="AC27" i="40"/>
  <c r="W27" i="40"/>
  <c r="AA20" i="35"/>
  <c r="S20" i="35"/>
  <c r="S19" i="40"/>
  <c r="AA19" i="40"/>
  <c r="U19" i="40"/>
  <c r="AB19" i="40"/>
  <c r="AB19" i="37"/>
  <c r="U19" i="37"/>
  <c r="AC41" i="34"/>
  <c r="W41" i="34"/>
  <c r="S41" i="34"/>
  <c r="AA41" i="34"/>
  <c r="S22" i="36"/>
  <c r="AA22" i="36"/>
  <c r="AB28" i="34"/>
  <c r="U28" i="34"/>
  <c r="AB43" i="33"/>
  <c r="U43" i="33"/>
  <c r="U25" i="21"/>
  <c r="AB25" i="21"/>
  <c r="AZ557" i="3"/>
  <c r="AZ517" i="3"/>
  <c r="AZ563" i="3"/>
  <c r="AZ579" i="3"/>
  <c r="AZ568" i="3"/>
  <c r="AZ576" i="3"/>
  <c r="S15" i="21"/>
  <c r="AA15" i="21"/>
  <c r="AB45" i="33"/>
  <c r="AB46" i="34"/>
  <c r="AA14" i="33"/>
  <c r="AA44" i="33"/>
  <c r="AC14" i="37"/>
  <c r="W14" i="37"/>
  <c r="AA43" i="39"/>
  <c r="S43" i="39"/>
  <c r="AB13" i="37"/>
  <c r="U13" i="37"/>
  <c r="AC35" i="35"/>
  <c r="W35" i="35"/>
  <c r="S25" i="35"/>
  <c r="AA25" i="35"/>
  <c r="S13" i="35"/>
  <c r="AA13" i="35"/>
  <c r="S45" i="34"/>
  <c r="AA45" i="34"/>
  <c r="W13" i="34"/>
  <c r="AC13" i="34"/>
  <c r="AB46" i="33"/>
  <c r="U46" i="33"/>
  <c r="AC46" i="33"/>
  <c r="W46" i="33"/>
  <c r="AC44" i="33"/>
  <c r="W44" i="33"/>
  <c r="AA40" i="37"/>
  <c r="S40" i="37"/>
  <c r="AC37" i="37"/>
  <c r="W37" i="37"/>
  <c r="U28" i="36"/>
  <c r="AB28" i="36"/>
  <c r="W30" i="34"/>
  <c r="AC30" i="34"/>
  <c r="W14" i="34"/>
  <c r="AC14" i="34"/>
  <c r="S29" i="33"/>
  <c r="AA29" i="33"/>
  <c r="AC29" i="33"/>
  <c r="W29" i="33"/>
  <c r="AA27" i="21"/>
  <c r="S27" i="21"/>
  <c r="AA44" i="21"/>
  <c r="S44" i="21"/>
  <c r="S30" i="21"/>
  <c r="AA30" i="21"/>
  <c r="AB28" i="21"/>
  <c r="U28" i="21"/>
  <c r="S14" i="21"/>
  <c r="AA14" i="21"/>
  <c r="AC19" i="34"/>
  <c r="W19" i="34"/>
  <c r="AB33" i="37"/>
  <c r="U33" i="37"/>
  <c r="S29" i="35"/>
  <c r="AA29" i="35"/>
  <c r="AA37" i="34"/>
  <c r="S37" i="34"/>
  <c r="S34" i="36"/>
  <c r="AA34" i="36"/>
  <c r="AZ585" i="3"/>
  <c r="W29" i="21"/>
  <c r="AC29" i="21"/>
  <c r="AZ561" i="3"/>
  <c r="BL559" i="3"/>
  <c r="AZ559" i="3"/>
  <c r="AZ550" i="3"/>
  <c r="AZ549" i="3"/>
  <c r="AZ525" i="3"/>
  <c r="BL523" i="3"/>
  <c r="AZ523" i="3"/>
  <c r="BL519" i="3"/>
  <c r="AZ519" i="3"/>
  <c r="BL515" i="3"/>
  <c r="AZ515" i="3"/>
  <c r="BL511" i="3"/>
  <c r="AZ511" i="3"/>
  <c r="AZ509" i="3"/>
  <c r="BL507" i="3"/>
  <c r="AZ507" i="3"/>
  <c r="AZ505" i="3"/>
  <c r="BL503" i="3"/>
  <c r="AZ503" i="3"/>
  <c r="AZ502" i="3"/>
  <c r="AZ496" i="3"/>
  <c r="F29" i="6"/>
  <c r="BL493" i="3"/>
  <c r="AZ493" i="3"/>
  <c r="J12" i="34"/>
  <c r="F12" i="34"/>
  <c r="J34" i="35"/>
  <c r="H34" i="35"/>
  <c r="F34" i="35"/>
  <c r="D17" i="71"/>
  <c r="C16" i="71"/>
  <c r="B69" i="43"/>
  <c r="B62" i="43"/>
  <c r="B54" i="43"/>
  <c r="B67" i="43"/>
  <c r="C23" i="40"/>
  <c r="C15" i="40"/>
  <c r="H9" i="21"/>
  <c r="F13" i="21"/>
  <c r="F29" i="21"/>
  <c r="U8" i="37"/>
  <c r="W9" i="36"/>
  <c r="AC40" i="21"/>
  <c r="AA38" i="21"/>
  <c r="AA43" i="21"/>
  <c r="W42" i="33"/>
  <c r="AC35" i="37"/>
  <c r="S25" i="37"/>
  <c r="S22" i="35"/>
  <c r="AC30" i="35"/>
  <c r="AB27" i="35"/>
  <c r="W24" i="35"/>
  <c r="S16" i="36"/>
  <c r="S33" i="36"/>
  <c r="S17" i="39"/>
  <c r="AB27" i="39"/>
  <c r="U35" i="39"/>
  <c r="AB37" i="40"/>
  <c r="S31" i="39"/>
  <c r="AB25" i="37"/>
  <c r="W24" i="36"/>
  <c r="U43" i="21"/>
  <c r="U36" i="40"/>
  <c r="W8" i="39"/>
  <c r="U40" i="39"/>
  <c r="F12" i="37"/>
  <c r="S12" i="37"/>
  <c r="S42" i="21"/>
  <c r="U12" i="21"/>
  <c r="U26" i="21"/>
  <c r="AA12" i="35"/>
  <c r="H24" i="35"/>
  <c r="F24" i="35"/>
  <c r="U32" i="33"/>
  <c r="U36" i="39"/>
  <c r="W36" i="39"/>
  <c r="AC45" i="39"/>
  <c r="F27" i="37"/>
  <c r="F13" i="40"/>
  <c r="J13" i="40"/>
  <c r="H32" i="36"/>
  <c r="F11" i="35"/>
  <c r="U23" i="40"/>
  <c r="AC11" i="40"/>
  <c r="U40" i="33"/>
  <c r="AA39" i="37"/>
  <c r="AC16" i="36"/>
  <c r="AB12" i="33"/>
  <c r="C15" i="39"/>
  <c r="C27" i="39"/>
  <c r="S34" i="21"/>
  <c r="U40" i="40"/>
  <c r="U34" i="40"/>
  <c r="W8" i="40"/>
  <c r="U33" i="33"/>
  <c r="W28" i="35"/>
  <c r="W28" i="36"/>
  <c r="U30" i="37"/>
  <c r="J12" i="21"/>
  <c r="B73" i="43"/>
  <c r="B79" i="43"/>
  <c r="B76" i="43"/>
  <c r="B75" i="43"/>
  <c r="H12" i="34"/>
  <c r="J12" i="35"/>
  <c r="H36" i="35"/>
  <c r="J36" i="35"/>
  <c r="J23" i="36"/>
  <c r="H23" i="36"/>
  <c r="F23" i="36"/>
  <c r="W31" i="35"/>
  <c r="AC31" i="35"/>
  <c r="G551" i="3"/>
  <c r="BL548" i="3"/>
  <c r="AZ548" i="3"/>
  <c r="AZ258" i="3"/>
  <c r="J9" i="34"/>
  <c r="F9" i="34"/>
  <c r="AA9" i="34"/>
  <c r="AZ399" i="3"/>
  <c r="AZ404" i="3"/>
  <c r="AZ411" i="3"/>
  <c r="AZ414" i="3"/>
  <c r="AZ421" i="3"/>
  <c r="AZ423" i="3"/>
  <c r="AZ427" i="3"/>
  <c r="AZ430" i="3"/>
  <c r="AZ440" i="3"/>
  <c r="AZ449" i="3"/>
  <c r="AZ453" i="3"/>
  <c r="AZ455" i="3"/>
  <c r="AZ460" i="3"/>
  <c r="AZ471" i="3"/>
  <c r="AZ476" i="3"/>
  <c r="AZ478" i="3"/>
  <c r="AZ484" i="3"/>
  <c r="AZ492" i="3"/>
  <c r="AZ395" i="3"/>
  <c r="AZ208" i="3"/>
  <c r="AZ211" i="3"/>
  <c r="AZ219" i="3"/>
  <c r="AZ236" i="3"/>
  <c r="AZ252" i="3"/>
  <c r="AZ264" i="3"/>
  <c r="AZ270" i="3"/>
  <c r="AZ277" i="3"/>
  <c r="AZ282" i="3"/>
  <c r="AZ285" i="3"/>
  <c r="AZ290" i="3"/>
  <c r="AZ293" i="3"/>
  <c r="AZ153" i="3"/>
  <c r="AZ169" i="3"/>
  <c r="AZ185" i="3"/>
  <c r="AZ201" i="3"/>
  <c r="AZ207" i="3"/>
  <c r="AZ25" i="3"/>
  <c r="AZ30" i="3"/>
  <c r="AZ36" i="3"/>
  <c r="AZ40" i="3"/>
  <c r="AZ46" i="3"/>
  <c r="AZ49" i="3"/>
  <c r="AZ62" i="3"/>
  <c r="AZ65" i="3"/>
  <c r="AZ76" i="3"/>
  <c r="AZ81" i="3"/>
  <c r="AZ90" i="3"/>
  <c r="AZ96" i="3"/>
  <c r="AZ108" i="3"/>
  <c r="AB21" i="21"/>
  <c r="U18" i="36"/>
  <c r="D27" i="71"/>
  <c r="AB27" i="71"/>
  <c r="S28" i="71"/>
  <c r="AA29" i="71"/>
  <c r="Y9" i="71"/>
  <c r="Z9" i="71"/>
  <c r="Y10" i="71"/>
  <c r="Z10" i="71"/>
  <c r="AA9" i="71"/>
  <c r="AA10" i="71"/>
  <c r="AB24" i="71"/>
  <c r="Y22" i="71"/>
  <c r="Z22" i="71"/>
  <c r="AB23" i="71"/>
  <c r="AA22" i="71"/>
  <c r="X21" i="71"/>
  <c r="X17" i="71"/>
  <c r="Y17" i="71"/>
  <c r="Z17" i="71"/>
  <c r="AA17" i="71"/>
  <c r="AB18" i="71"/>
  <c r="Y14" i="71"/>
  <c r="Z14" i="71"/>
  <c r="X9" i="71"/>
  <c r="X10" i="71"/>
  <c r="AB10" i="71"/>
  <c r="AB9" i="71"/>
  <c r="X24" i="71"/>
  <c r="AA24" i="71"/>
  <c r="X22" i="71"/>
  <c r="AA23" i="71"/>
  <c r="Y21" i="71"/>
  <c r="Z21" i="71"/>
  <c r="Y18" i="71"/>
  <c r="Z18" i="71"/>
  <c r="AB21" i="71"/>
  <c r="X18" i="71"/>
  <c r="AA18" i="71"/>
  <c r="X13" i="71"/>
  <c r="AA14" i="71"/>
  <c r="F67" i="71"/>
  <c r="Y24" i="71"/>
  <c r="Z24" i="71"/>
  <c r="AA21" i="71"/>
  <c r="AB15" i="71"/>
  <c r="AB17" i="71"/>
  <c r="AB11" i="71"/>
  <c r="AB14" i="71"/>
  <c r="Y12" i="71"/>
  <c r="Z12" i="71"/>
  <c r="Y13" i="71"/>
  <c r="Z13" i="71"/>
  <c r="AA11" i="71"/>
  <c r="Y23" i="71"/>
  <c r="Z23" i="71"/>
  <c r="X15" i="71"/>
  <c r="AA15" i="71"/>
  <c r="AB12" i="71"/>
  <c r="AB13" i="71"/>
  <c r="Y11" i="71"/>
  <c r="Z11" i="71"/>
  <c r="AA12" i="71"/>
  <c r="AA13" i="71"/>
  <c r="X11" i="71"/>
  <c r="X12" i="71"/>
  <c r="X14" i="71"/>
  <c r="H83" i="43"/>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U33" i="21"/>
  <c r="AB13" i="33"/>
  <c r="S9" i="33"/>
  <c r="S8" i="33"/>
  <c r="U8" i="33"/>
  <c r="W8" i="21"/>
  <c r="S8" i="21"/>
  <c r="AA11" i="21"/>
  <c r="AC11" i="21"/>
  <c r="AB11" i="21"/>
  <c r="C30" i="69"/>
  <c r="F53" i="9"/>
  <c r="C5" i="11"/>
  <c r="I4" i="6"/>
  <c r="G3" i="43"/>
  <c r="H26" i="43"/>
  <c r="E29" i="6"/>
  <c r="K15" i="1"/>
  <c r="G30" i="6"/>
  <c r="G31" i="6"/>
  <c r="L19" i="6"/>
  <c r="L27" i="6"/>
  <c r="T13" i="1"/>
  <c r="C58" i="21"/>
  <c r="C59" i="34"/>
  <c r="D59" i="34"/>
  <c r="E59" i="34"/>
  <c r="F59" i="34"/>
  <c r="G59" i="34"/>
  <c r="H59" i="34"/>
  <c r="I59" i="34"/>
  <c r="J59" i="34"/>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C32" i="21"/>
  <c r="W33" i="21"/>
  <c r="AB8" i="21"/>
  <c r="P74" i="67"/>
  <c r="H62" i="43"/>
  <c r="H58" i="43"/>
  <c r="H51" i="43"/>
  <c r="H56" i="43"/>
  <c r="H65" i="43"/>
  <c r="D72" i="43"/>
  <c r="D76" i="43"/>
  <c r="D80" i="43"/>
  <c r="D61" i="43"/>
  <c r="P61" i="15"/>
  <c r="C94" i="9"/>
  <c r="C92" i="9"/>
  <c r="C48" i="69"/>
  <c r="C77" i="9"/>
  <c r="C74" i="9"/>
  <c r="C30" i="11"/>
  <c r="C21" i="69"/>
  <c r="J84" i="43"/>
  <c r="J85" i="43"/>
  <c r="J86" i="43"/>
  <c r="J87" i="43"/>
  <c r="J88" i="43"/>
  <c r="J89" i="43"/>
  <c r="J90" i="43"/>
  <c r="D83" i="43"/>
  <c r="E83" i="43"/>
  <c r="B81" i="43"/>
  <c r="D66" i="43"/>
  <c r="D64" i="43"/>
  <c r="D62" i="43"/>
  <c r="D67" i="43"/>
  <c r="D65" i="43"/>
  <c r="D63" i="43"/>
  <c r="D69" i="43"/>
  <c r="D73" i="43"/>
  <c r="D75" i="43"/>
  <c r="D79" i="43"/>
  <c r="D22" i="67"/>
  <c r="AQ13" i="1"/>
  <c r="F27" i="69"/>
  <c r="H16" i="1"/>
  <c r="P11" i="1"/>
  <c r="D9" i="11"/>
  <c r="C9" i="11"/>
  <c r="D19" i="12"/>
  <c r="C19" i="12"/>
  <c r="P9" i="1"/>
  <c r="P12" i="1"/>
  <c r="P8" i="1"/>
  <c r="H73" i="43"/>
  <c r="H90" i="43"/>
  <c r="C23" i="43"/>
  <c r="O23" i="43"/>
  <c r="I18" i="43"/>
  <c r="E17" i="43"/>
  <c r="C17" i="43"/>
  <c r="C24" i="43"/>
  <c r="A1" i="79"/>
  <c r="H55" i="43"/>
  <c r="H86" i="43"/>
  <c r="H87" i="43"/>
  <c r="H89" i="43"/>
  <c r="H88" i="43"/>
  <c r="H84" i="43"/>
  <c r="T35" i="4"/>
  <c r="A19" i="51"/>
  <c r="B14" i="72"/>
  <c r="H110" i="9"/>
  <c r="D18" i="53"/>
  <c r="B35" i="72"/>
  <c r="H52" i="43"/>
  <c r="K5" i="4"/>
  <c r="B47" i="48"/>
  <c r="Y8" i="71"/>
  <c r="Z8" i="71"/>
  <c r="X8" i="71"/>
  <c r="AB8" i="71"/>
  <c r="AA8" i="71"/>
  <c r="B8" i="74"/>
  <c r="H76" i="43"/>
  <c r="H72" i="43"/>
  <c r="H63" i="43"/>
  <c r="H61" i="43"/>
  <c r="H53" i="43"/>
  <c r="H79" i="43"/>
  <c r="D124" i="9"/>
  <c r="H74" i="43"/>
  <c r="H57" i="43"/>
  <c r="H66" i="43"/>
  <c r="H68" i="43"/>
  <c r="H80" i="43"/>
  <c r="H77" i="43"/>
  <c r="E44" i="43"/>
  <c r="C44" i="43"/>
  <c r="AC21" i="39"/>
  <c r="AB23" i="39"/>
  <c r="AB15" i="39"/>
  <c r="AC15" i="39"/>
  <c r="S25" i="39"/>
  <c r="W39" i="39"/>
  <c r="W42" i="39"/>
  <c r="W14" i="39"/>
  <c r="S29" i="39"/>
  <c r="G21" i="43"/>
  <c r="C20" i="43"/>
  <c r="E11" i="43"/>
  <c r="E9" i="43"/>
  <c r="E10" i="43"/>
  <c r="E8" i="43"/>
  <c r="D23" i="67"/>
  <c r="G25" i="12"/>
  <c r="G41" i="11"/>
  <c r="G27" i="12"/>
  <c r="G41" i="68"/>
  <c r="K59" i="34"/>
  <c r="L59" i="34"/>
  <c r="M59" i="34"/>
  <c r="N59" i="34"/>
  <c r="O59" i="34"/>
  <c r="E52" i="37"/>
  <c r="F52" i="37"/>
  <c r="G52" i="37"/>
  <c r="H52" i="37"/>
  <c r="I52" i="37"/>
  <c r="J52" i="37"/>
  <c r="K52" i="37"/>
  <c r="L52" i="37"/>
  <c r="M52" i="37"/>
  <c r="N52" i="37"/>
  <c r="O52" i="37"/>
  <c r="D58" i="21"/>
  <c r="E48" i="35"/>
  <c r="D63" i="40"/>
  <c r="C65" i="40"/>
  <c r="K4" i="4"/>
  <c r="B46" i="48"/>
  <c r="B4" i="72"/>
  <c r="B4" i="62"/>
  <c r="B71" i="72"/>
  <c r="D9" i="53"/>
  <c r="B25" i="72"/>
  <c r="B24" i="72"/>
  <c r="K120" i="9"/>
  <c r="A18" i="62"/>
  <c r="B64" i="72"/>
  <c r="Y16" i="71"/>
  <c r="Z16" i="71"/>
  <c r="Y15" i="71"/>
  <c r="Z15" i="71"/>
  <c r="AA16" i="71"/>
  <c r="AB3" i="71"/>
  <c r="B16" i="71"/>
  <c r="X16" i="71"/>
  <c r="AB16" i="71"/>
  <c r="Y3" i="71"/>
  <c r="Z3" i="71"/>
  <c r="D16" i="71"/>
  <c r="U16" i="71"/>
  <c r="F16" i="71"/>
  <c r="F15" i="71"/>
  <c r="F14" i="71"/>
  <c r="F13" i="71"/>
  <c r="F12" i="71"/>
  <c r="F11" i="71"/>
  <c r="F10" i="71"/>
  <c r="F9" i="71"/>
  <c r="F8" i="71"/>
  <c r="F7" i="71"/>
  <c r="F6" i="71"/>
  <c r="F5" i="71"/>
  <c r="AF3" i="71"/>
  <c r="P26" i="43"/>
  <c r="Q71" i="15"/>
  <c r="I1" i="73"/>
  <c r="B39" i="1"/>
  <c r="F66" i="15"/>
  <c r="Q71" i="67"/>
  <c r="C27" i="67"/>
  <c r="F71" i="67"/>
  <c r="C27" i="15"/>
  <c r="N59" i="67"/>
  <c r="L59" i="67"/>
  <c r="B13" i="70"/>
  <c r="F68" i="67"/>
  <c r="F64" i="67"/>
  <c r="D9" i="69"/>
  <c r="C36" i="69"/>
  <c r="F7" i="15"/>
  <c r="F40" i="15"/>
  <c r="F13" i="67"/>
  <c r="M8" i="67"/>
  <c r="F9" i="15"/>
  <c r="F37" i="67"/>
  <c r="L48" i="67"/>
  <c r="L47" i="15"/>
  <c r="F6" i="15"/>
  <c r="F8" i="15"/>
  <c r="M24" i="67"/>
  <c r="M26" i="15"/>
  <c r="M28" i="15"/>
  <c r="L48" i="15"/>
  <c r="M6" i="67"/>
  <c r="C16" i="15"/>
  <c r="F36" i="15"/>
  <c r="M22" i="67"/>
  <c r="F43" i="15"/>
  <c r="F13" i="15"/>
  <c r="F7" i="67"/>
  <c r="F8" i="67"/>
  <c r="M29" i="67"/>
  <c r="F16" i="67"/>
  <c r="F38" i="67"/>
  <c r="F9" i="67"/>
  <c r="M9" i="15"/>
  <c r="F37" i="15"/>
  <c r="S11" i="33"/>
  <c r="AC11" i="33"/>
  <c r="R22" i="31"/>
  <c r="D6" i="12"/>
  <c r="D8" i="12"/>
  <c r="E57" i="40"/>
  <c r="E10" i="6"/>
  <c r="U15" i="34"/>
  <c r="S17" i="34"/>
  <c r="E399" i="3"/>
  <c r="E350" i="3"/>
  <c r="E134" i="3"/>
  <c r="E216" i="3"/>
  <c r="E538" i="3"/>
  <c r="E343" i="3"/>
  <c r="G26" i="43"/>
  <c r="E336" i="3"/>
  <c r="E293" i="3"/>
  <c r="E382" i="3"/>
  <c r="E245" i="3"/>
  <c r="E117" i="3"/>
  <c r="E17" i="3"/>
  <c r="E298" i="3"/>
  <c r="E338" i="3"/>
  <c r="E97" i="3"/>
  <c r="E359" i="3"/>
  <c r="E501" i="3"/>
  <c r="K16" i="1"/>
  <c r="N370" i="46"/>
  <c r="F26" i="43"/>
  <c r="N94" i="46"/>
  <c r="E26" i="43"/>
  <c r="J26" i="43"/>
  <c r="P6" i="1"/>
  <c r="C13" i="12"/>
  <c r="B34" i="72"/>
  <c r="D17" i="53"/>
  <c r="B36" i="72"/>
  <c r="B20" i="31"/>
  <c r="B21" i="31"/>
  <c r="F64" i="15"/>
  <c r="F68" i="15"/>
  <c r="I54" i="15"/>
  <c r="J57" i="15"/>
  <c r="J55" i="15"/>
  <c r="J58" i="15"/>
  <c r="Q50" i="15"/>
  <c r="F65" i="15"/>
  <c r="M7" i="15"/>
  <c r="J6" i="15"/>
  <c r="J18" i="15"/>
  <c r="F50" i="15"/>
  <c r="F66" i="67"/>
  <c r="F31" i="67"/>
  <c r="F50" i="67"/>
  <c r="M7" i="67"/>
  <c r="J6" i="67"/>
  <c r="J18" i="67"/>
  <c r="C6" i="67"/>
  <c r="C32" i="67"/>
  <c r="F51" i="67"/>
  <c r="F31" i="15"/>
  <c r="C6" i="15"/>
  <c r="C32" i="15"/>
  <c r="F51" i="15"/>
  <c r="L58" i="15"/>
  <c r="Q73" i="15"/>
  <c r="N59" i="15"/>
  <c r="F71" i="15"/>
  <c r="J53" i="67"/>
  <c r="Q52" i="67"/>
  <c r="L56" i="67"/>
  <c r="L58" i="67"/>
  <c r="Q60" i="67"/>
  <c r="J57" i="67"/>
  <c r="J55" i="67"/>
  <c r="J58" i="67"/>
  <c r="Q50" i="67"/>
  <c r="I54" i="67"/>
  <c r="F65" i="67"/>
  <c r="B15" i="71"/>
  <c r="B14" i="71"/>
  <c r="B13" i="71"/>
  <c r="B12" i="71"/>
  <c r="S16" i="71"/>
  <c r="J7" i="37"/>
  <c r="U7" i="36"/>
  <c r="E510" i="3"/>
  <c r="E165" i="3"/>
  <c r="E244" i="3"/>
  <c r="E148" i="3"/>
  <c r="E149" i="3"/>
  <c r="E212" i="3"/>
  <c r="E167" i="3"/>
  <c r="E199" i="3"/>
  <c r="E286" i="3"/>
  <c r="AD6" i="3"/>
  <c r="R6" i="3"/>
  <c r="E421" i="3"/>
  <c r="E442" i="3"/>
  <c r="E464" i="3"/>
  <c r="E466" i="3"/>
  <c r="E487" i="3"/>
  <c r="E398" i="3"/>
  <c r="E430" i="3"/>
  <c r="E416" i="3"/>
  <c r="E449" i="3"/>
  <c r="E459" i="3"/>
  <c r="E255" i="3"/>
  <c r="E374" i="3"/>
  <c r="I3" i="6"/>
  <c r="AP6" i="3"/>
  <c r="E413" i="3"/>
  <c r="E435" i="3"/>
  <c r="E460" i="3"/>
  <c r="E491" i="3"/>
  <c r="E417" i="3"/>
  <c r="E436" i="3"/>
  <c r="E479" i="3"/>
  <c r="E39" i="3"/>
  <c r="E56" i="3"/>
  <c r="E90" i="3"/>
  <c r="E37" i="3"/>
  <c r="E57" i="3"/>
  <c r="E95" i="3"/>
  <c r="E131" i="3"/>
  <c r="E152" i="3"/>
  <c r="E187" i="3"/>
  <c r="E132" i="3"/>
  <c r="E155" i="3"/>
  <c r="E192" i="3"/>
  <c r="E240" i="3"/>
  <c r="E258" i="3"/>
  <c r="E297" i="3"/>
  <c r="E241" i="3"/>
  <c r="E259" i="3"/>
  <c r="E292" i="3"/>
  <c r="E378" i="3"/>
  <c r="E349" i="3"/>
  <c r="E389"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54" i="3"/>
  <c r="E492" i="3"/>
  <c r="E584" i="3"/>
  <c r="E23" i="3"/>
  <c r="E66" i="3"/>
  <c r="E84" i="3"/>
  <c r="E24" i="3"/>
  <c r="E67" i="3"/>
  <c r="E48" i="3"/>
  <c r="E33" i="3"/>
  <c r="E87" i="3"/>
  <c r="E144" i="3"/>
  <c r="E127" i="3"/>
  <c r="E184" i="3"/>
  <c r="E250" i="3"/>
  <c r="E233" i="3"/>
  <c r="E284" i="3"/>
  <c r="E355" i="3"/>
  <c r="E381" i="3"/>
  <c r="E68" i="3"/>
  <c r="E51" i="3"/>
  <c r="E63" i="3"/>
  <c r="E19" i="3"/>
  <c r="E81" i="3"/>
  <c r="E154" i="3"/>
  <c r="E118" i="3"/>
  <c r="E179" i="3"/>
  <c r="E264" i="3"/>
  <c r="E222" i="3"/>
  <c r="E283" i="3"/>
  <c r="E323" i="3"/>
  <c r="E373" i="3"/>
  <c r="E82" i="3"/>
  <c r="E21" i="3"/>
  <c r="E427" i="3"/>
  <c r="E490" i="3"/>
  <c r="J6" i="3"/>
  <c r="E419" i="3"/>
  <c r="E401" i="3"/>
  <c r="E40" i="3"/>
  <c r="E108" i="3"/>
  <c r="E202" i="3"/>
  <c r="E226" i="3"/>
  <c r="E346" i="3"/>
  <c r="E372" i="3"/>
  <c r="E60" i="3"/>
  <c r="E473" i="3"/>
  <c r="E455" i="3"/>
  <c r="E38" i="3"/>
  <c r="E170" i="3"/>
  <c r="E194" i="3"/>
  <c r="E219" i="3"/>
  <c r="E339" i="3"/>
  <c r="E392" i="3"/>
  <c r="E36" i="3"/>
  <c r="E123" i="3"/>
  <c r="E289" i="3"/>
  <c r="E364" i="3"/>
  <c r="E20" i="3"/>
  <c r="E176" i="3"/>
  <c r="E365"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29" i="3"/>
  <c r="E16" i="3"/>
  <c r="E188" i="3"/>
  <c r="E223" i="3"/>
  <c r="E116" i="3"/>
  <c r="E105" i="3"/>
  <c r="E393" i="3"/>
  <c r="E493" i="3"/>
  <c r="E564" i="3"/>
  <c r="E543" i="3"/>
  <c r="E486" i="3"/>
  <c r="E507" i="3"/>
  <c r="E422" i="3"/>
  <c r="E440" i="3"/>
  <c r="E376" i="3"/>
  <c r="AH6" i="3"/>
  <c r="E498" i="3"/>
  <c r="E483" i="3"/>
  <c r="E463" i="3"/>
  <c r="E25" i="3"/>
  <c r="E178" i="3"/>
  <c r="E119" i="3"/>
  <c r="E242" i="3"/>
  <c r="E276" i="3"/>
  <c r="E333" i="3"/>
  <c r="L6" i="3"/>
  <c r="E43" i="3"/>
  <c r="E540" i="3"/>
  <c r="E15" i="3"/>
  <c r="E79" i="3"/>
  <c r="E100" i="3"/>
  <c r="E137" i="3"/>
  <c r="E234" i="3"/>
  <c r="E299" i="3"/>
  <c r="E325" i="3"/>
  <c r="AQ6" i="3"/>
  <c r="E52" i="3"/>
  <c r="E112" i="3"/>
  <c r="E147" i="3"/>
  <c r="E340" i="3"/>
  <c r="E50" i="3"/>
  <c r="E62" i="3"/>
  <c r="E218" i="3"/>
  <c r="E265" i="3"/>
  <c r="E524" i="3"/>
  <c r="E101" i="3"/>
  <c r="E363" i="3"/>
  <c r="E310" i="3"/>
  <c r="E513" i="3"/>
  <c r="Y6" i="3"/>
  <c r="E575" i="3"/>
  <c r="E539" i="3"/>
  <c r="E536" i="3"/>
  <c r="E520" i="3"/>
  <c r="E348" i="3"/>
  <c r="E341" i="3"/>
  <c r="E141" i="3"/>
  <c r="E521" i="3"/>
  <c r="E552" i="3"/>
  <c r="E500"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312" i="3"/>
  <c r="E541" i="3"/>
  <c r="E554" i="3"/>
  <c r="E566" i="3"/>
  <c r="E542" i="3"/>
  <c r="E375" i="3"/>
  <c r="E386" i="3"/>
  <c r="E309" i="3"/>
  <c r="E517" i="3"/>
  <c r="E504" i="3"/>
  <c r="E582" i="3"/>
  <c r="E502" i="3"/>
  <c r="E499"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U23" i="36"/>
  <c r="AB23" i="36"/>
  <c r="W36" i="35"/>
  <c r="AC36" i="35"/>
  <c r="W12" i="35"/>
  <c r="AC12" i="35"/>
  <c r="AC12" i="21"/>
  <c r="W12" i="21"/>
  <c r="AB32" i="36"/>
  <c r="U32" i="36"/>
  <c r="S13" i="40"/>
  <c r="AA13" i="40"/>
  <c r="AA24" i="35"/>
  <c r="S24" i="35"/>
  <c r="AA13" i="21"/>
  <c r="S13" i="21"/>
  <c r="C15" i="71"/>
  <c r="T16" i="71"/>
  <c r="AA34" i="35"/>
  <c r="S34" i="35"/>
  <c r="AC34" i="35"/>
  <c r="W34" i="35"/>
  <c r="W12" i="34"/>
  <c r="AC12" i="34"/>
  <c r="F66" i="71"/>
  <c r="Q67" i="71"/>
  <c r="AC9" i="34"/>
  <c r="W9" i="34"/>
  <c r="AA23" i="36"/>
  <c r="S23" i="36"/>
  <c r="AC23" i="36"/>
  <c r="W23" i="36"/>
  <c r="AB36" i="35"/>
  <c r="U36" i="35"/>
  <c r="U12" i="34"/>
  <c r="AB12" i="34"/>
  <c r="S11" i="35"/>
  <c r="AA11" i="35"/>
  <c r="AC13" i="40"/>
  <c r="W13" i="40"/>
  <c r="S27" i="37"/>
  <c r="AA27" i="37"/>
  <c r="U24" i="35"/>
  <c r="AB24" i="35"/>
  <c r="AA29" i="21"/>
  <c r="S29" i="21"/>
  <c r="AB9" i="21"/>
  <c r="U9" i="21"/>
  <c r="AB34" i="35"/>
  <c r="U34" i="35"/>
  <c r="S12" i="34"/>
  <c r="AA12" i="34"/>
  <c r="BL5" i="3"/>
  <c r="E11" i="71"/>
  <c r="E10" i="71"/>
  <c r="E9" i="71"/>
  <c r="E8" i="71"/>
  <c r="E7" i="71"/>
  <c r="E6" i="71"/>
  <c r="E5" i="71"/>
  <c r="V12" i="71"/>
  <c r="E61" i="43"/>
  <c r="B59" i="43"/>
  <c r="C28" i="43"/>
  <c r="B116" i="43"/>
  <c r="Z7" i="43"/>
  <c r="E30" i="6"/>
  <c r="H7" i="34"/>
  <c r="AB7" i="34"/>
  <c r="J7" i="34"/>
  <c r="W7" i="34"/>
  <c r="F7" i="34"/>
  <c r="S7" i="34"/>
  <c r="AA26" i="35"/>
  <c r="S26" i="35"/>
  <c r="AC26" i="35"/>
  <c r="W26" i="35"/>
  <c r="AB26" i="35"/>
  <c r="U26" i="35"/>
  <c r="E56" i="40"/>
  <c r="C47" i="69"/>
  <c r="D45" i="69"/>
  <c r="C9" i="69"/>
  <c r="C9" i="68"/>
  <c r="E72" i="43"/>
  <c r="B70" i="43"/>
  <c r="C29" i="69"/>
  <c r="D27" i="69"/>
  <c r="F45" i="69"/>
  <c r="F27" i="11"/>
  <c r="F28" i="12"/>
  <c r="E60" i="40"/>
  <c r="K26" i="6"/>
  <c r="M26" i="6"/>
  <c r="I26" i="6"/>
  <c r="S26" i="6"/>
  <c r="E51" i="40"/>
  <c r="E58" i="40"/>
  <c r="D5" i="43"/>
  <c r="J10" i="40"/>
  <c r="AC10" i="40"/>
  <c r="U10" i="39"/>
  <c r="F10" i="40"/>
  <c r="S10" i="40"/>
  <c r="W10" i="39"/>
  <c r="H10" i="40"/>
  <c r="AB10" i="40"/>
  <c r="C7" i="43"/>
  <c r="C5" i="43"/>
  <c r="D10" i="52"/>
  <c r="D125" i="9"/>
  <c r="D11" i="52"/>
  <c r="B7" i="74"/>
  <c r="C7" i="74"/>
  <c r="H7" i="37"/>
  <c r="AB7" i="37"/>
  <c r="T42" i="37"/>
  <c r="G42" i="37"/>
  <c r="L36" i="43"/>
  <c r="S10" i="39"/>
  <c r="D65" i="40"/>
  <c r="E63" i="40"/>
  <c r="F48" i="35"/>
  <c r="AC7" i="37"/>
  <c r="V42" i="37"/>
  <c r="I42" i="37"/>
  <c r="W7" i="37"/>
  <c r="E58" i="21"/>
  <c r="I36" i="36"/>
  <c r="W7" i="36"/>
  <c r="F7" i="37"/>
  <c r="P28" i="43"/>
  <c r="B66" i="40"/>
  <c r="P25" i="43"/>
  <c r="P29" i="43"/>
  <c r="M11" i="67"/>
  <c r="J10" i="67"/>
  <c r="F11" i="15"/>
  <c r="M11" i="15"/>
  <c r="J10" i="15"/>
  <c r="F11" i="67"/>
  <c r="Q61" i="67"/>
  <c r="Q74" i="67"/>
  <c r="AE11" i="1"/>
  <c r="AE6" i="1"/>
  <c r="AE7" i="1"/>
  <c r="AE8" i="1"/>
  <c r="AE12" i="1"/>
  <c r="AE10" i="1"/>
  <c r="F41" i="67"/>
  <c r="C16" i="67"/>
  <c r="G36" i="36"/>
  <c r="S7" i="36"/>
  <c r="E426" i="3"/>
  <c r="S6" i="3"/>
  <c r="E237" i="3"/>
  <c r="E290" i="3"/>
  <c r="E578" i="3"/>
  <c r="E583" i="3"/>
  <c r="E555" i="3"/>
  <c r="E183" i="3"/>
  <c r="E495" i="3"/>
  <c r="O6" i="3"/>
  <c r="E506" i="3"/>
  <c r="E565" i="3"/>
  <c r="E61" i="3"/>
  <c r="E518" i="3"/>
  <c r="E59" i="40"/>
  <c r="E270" i="3"/>
  <c r="E180" i="3"/>
  <c r="E16" i="6"/>
  <c r="D26" i="43"/>
  <c r="C25" i="43"/>
  <c r="E347" i="3"/>
  <c r="C34" i="34"/>
  <c r="E319" i="3"/>
  <c r="E153" i="3"/>
  <c r="E328" i="3"/>
  <c r="E574" i="3"/>
  <c r="E285" i="3"/>
  <c r="E390" i="3"/>
  <c r="E523" i="3"/>
  <c r="E418" i="3"/>
  <c r="E321" i="3"/>
  <c r="E169" i="3"/>
  <c r="E304" i="3"/>
  <c r="E213" i="3"/>
  <c r="E535" i="3"/>
  <c r="E161" i="3"/>
  <c r="E135" i="3"/>
  <c r="E191" i="3"/>
  <c r="E263" i="3"/>
  <c r="E423" i="3"/>
  <c r="AI6" i="3"/>
  <c r="E385" i="3"/>
  <c r="E246" i="3"/>
  <c r="X6" i="3"/>
  <c r="E175" i="3"/>
  <c r="E508" i="3"/>
  <c r="E337" i="3"/>
  <c r="AR6" i="3"/>
  <c r="E380" i="3"/>
  <c r="E261" i="3"/>
  <c r="E503" i="3"/>
  <c r="E91" i="3"/>
  <c r="E301" i="3"/>
  <c r="E586" i="3"/>
  <c r="E124" i="3"/>
  <c r="E53" i="3"/>
  <c r="E305" i="3"/>
  <c r="E410" i="3"/>
  <c r="E533" i="3"/>
  <c r="E439" i="3"/>
  <c r="E185" i="3"/>
  <c r="E361" i="3"/>
  <c r="E221" i="3"/>
  <c r="E159" i="3"/>
  <c r="E402" i="3"/>
  <c r="E353" i="3"/>
  <c r="AA6" i="3"/>
  <c r="E530" i="3"/>
  <c r="E388" i="3"/>
  <c r="E143" i="3"/>
  <c r="E561" i="3"/>
  <c r="E231" i="3"/>
  <c r="E528" i="3"/>
  <c r="E302" i="3"/>
  <c r="E254" i="3"/>
  <c r="E303" i="3"/>
  <c r="AN6" i="3"/>
  <c r="AC6" i="3"/>
  <c r="E280" i="3"/>
  <c r="H6" i="3"/>
  <c r="Q60" i="15"/>
  <c r="Q73" i="67"/>
  <c r="M17" i="15"/>
  <c r="F59" i="67"/>
  <c r="F1" i="67"/>
  <c r="J5" i="15"/>
  <c r="J24" i="15"/>
  <c r="C49" i="67"/>
  <c r="F59" i="15"/>
  <c r="J5" i="67"/>
  <c r="J24" i="67"/>
  <c r="C49" i="15"/>
  <c r="M17" i="67"/>
  <c r="B11" i="71"/>
  <c r="B10" i="71"/>
  <c r="B9" i="71"/>
  <c r="B8" i="71"/>
  <c r="B7" i="71"/>
  <c r="B6" i="71"/>
  <c r="B5" i="71"/>
  <c r="S12" i="71"/>
  <c r="E65" i="39"/>
  <c r="Q66" i="71"/>
  <c r="Q65" i="71"/>
  <c r="C14" i="71"/>
  <c r="D15" i="71"/>
  <c r="L37" i="43"/>
  <c r="P36" i="43"/>
  <c r="N36" i="43"/>
  <c r="Q36" i="43"/>
  <c r="O36" i="43"/>
  <c r="M36" i="43"/>
  <c r="AC7" i="34"/>
  <c r="U7" i="34"/>
  <c r="AA7"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F69" i="67"/>
  <c r="C47" i="11"/>
  <c r="D45" i="11"/>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33" i="43"/>
  <c r="C40" i="43"/>
  <c r="C37" i="43"/>
  <c r="C41" i="43"/>
  <c r="K21" i="6"/>
  <c r="S8" i="1"/>
  <c r="E8" i="70"/>
  <c r="F45" i="68"/>
  <c r="K25" i="6"/>
  <c r="K20" i="6"/>
  <c r="K23" i="6"/>
  <c r="K22" i="6"/>
  <c r="K24" i="6"/>
  <c r="K19" i="6"/>
  <c r="S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D37" i="11"/>
  <c r="D14" i="12"/>
  <c r="B1" i="74"/>
  <c r="D3" i="34"/>
  <c r="D19" i="11"/>
  <c r="C19" i="11"/>
  <c r="L18" i="9"/>
  <c r="C17" i="4"/>
  <c r="B4" i="52"/>
  <c r="B43" i="72"/>
  <c r="D3" i="33"/>
  <c r="D3" i="37"/>
  <c r="C39" i="43"/>
  <c r="C42" i="43"/>
  <c r="E42" i="43"/>
  <c r="C38" i="43"/>
  <c r="AA10" i="40"/>
  <c r="U10" i="40"/>
  <c r="W10" i="40"/>
  <c r="U7" i="37"/>
  <c r="F58" i="21"/>
  <c r="E36" i="36"/>
  <c r="F63" i="40"/>
  <c r="E65" i="40"/>
  <c r="W7" i="33"/>
  <c r="I48" i="33"/>
  <c r="AA7" i="37"/>
  <c r="R42" i="37"/>
  <c r="S7" i="37"/>
  <c r="I40" i="36"/>
  <c r="J40" i="36"/>
  <c r="S7" i="33"/>
  <c r="G40" i="36"/>
  <c r="H40" i="36"/>
  <c r="G41" i="36"/>
  <c r="H41" i="36"/>
  <c r="G46" i="37"/>
  <c r="H46" i="37"/>
  <c r="G47" i="37"/>
  <c r="H47" i="37"/>
  <c r="I46" i="37"/>
  <c r="J46" i="37"/>
  <c r="G48" i="35"/>
  <c r="U7" i="33"/>
  <c r="G48" i="33"/>
  <c r="C53" i="67"/>
  <c r="C10" i="67"/>
  <c r="C5" i="67"/>
  <c r="C38" i="67"/>
  <c r="C53" i="15"/>
  <c r="C10" i="15"/>
  <c r="C5" i="15"/>
  <c r="C38" i="15"/>
  <c r="F25" i="12"/>
  <c r="F22" i="69"/>
  <c r="F41" i="69"/>
  <c r="F24" i="67"/>
  <c r="C24" i="67"/>
  <c r="F22" i="11"/>
  <c r="F24" i="15"/>
  <c r="C24" i="15"/>
  <c r="M27" i="67"/>
  <c r="M27" i="15"/>
  <c r="F34" i="34"/>
  <c r="H34" i="34"/>
  <c r="J34" i="34"/>
  <c r="C48" i="15"/>
  <c r="C66" i="15"/>
  <c r="C48" i="67"/>
  <c r="C60" i="67"/>
  <c r="E6" i="3"/>
  <c r="D116" i="43"/>
  <c r="D14" i="71"/>
  <c r="C13" i="71"/>
  <c r="P37" i="43"/>
  <c r="M37" i="43"/>
  <c r="Q37" i="43"/>
  <c r="O37" i="43"/>
  <c r="N37" i="43"/>
  <c r="M21" i="6"/>
  <c r="I21" i="6"/>
  <c r="S21" i="6"/>
  <c r="E6" i="70"/>
  <c r="C34" i="43"/>
  <c r="E34" i="43"/>
  <c r="E33" i="43"/>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D17" i="12"/>
  <c r="C17" i="12"/>
  <c r="D10" i="11"/>
  <c r="C10" i="11"/>
  <c r="D20" i="12"/>
  <c r="C20" i="12"/>
  <c r="D15" i="6"/>
  <c r="B2" i="74"/>
  <c r="D8" i="6"/>
  <c r="D14" i="6"/>
  <c r="D6" i="6"/>
  <c r="D9" i="6"/>
  <c r="D10" i="6"/>
  <c r="L19" i="9"/>
  <c r="H24" i="6"/>
  <c r="C18" i="4"/>
  <c r="D5" i="6"/>
  <c r="D12" i="6"/>
  <c r="D11" i="6"/>
  <c r="D13" i="6"/>
  <c r="E61" i="40"/>
  <c r="H26" i="6"/>
  <c r="P14" i="1"/>
  <c r="P16" i="1"/>
  <c r="C11" i="12"/>
  <c r="L16" i="1"/>
  <c r="G42" i="43"/>
  <c r="I42" i="43"/>
  <c r="E41" i="43"/>
  <c r="G41" i="43"/>
  <c r="I41" i="43"/>
  <c r="E37" i="43"/>
  <c r="G37" i="43"/>
  <c r="I37" i="43"/>
  <c r="G38" i="43"/>
  <c r="I38" i="43"/>
  <c r="E38" i="43"/>
  <c r="E40" i="43"/>
  <c r="G40" i="43"/>
  <c r="I40" i="43"/>
  <c r="E39" i="43"/>
  <c r="G39" i="43"/>
  <c r="I39" i="43"/>
  <c r="E48" i="33"/>
  <c r="I53" i="33"/>
  <c r="J53" i="33"/>
  <c r="I52" i="33"/>
  <c r="J52" i="33"/>
  <c r="E40" i="36"/>
  <c r="F40" i="36"/>
  <c r="E41" i="36"/>
  <c r="F41" i="36"/>
  <c r="G52" i="33"/>
  <c r="H52" i="33"/>
  <c r="G53" i="33"/>
  <c r="H53" i="33"/>
  <c r="H48" i="35"/>
  <c r="I41" i="36"/>
  <c r="J41" i="36"/>
  <c r="R43" i="37"/>
  <c r="E42" i="37"/>
  <c r="G63" i="40"/>
  <c r="F65" i="40"/>
  <c r="C36" i="36"/>
  <c r="G58" i="21"/>
  <c r="F41" i="68"/>
  <c r="C26" i="69"/>
  <c r="D22" i="69"/>
  <c r="C44" i="69"/>
  <c r="D41" i="69"/>
  <c r="C44" i="11"/>
  <c r="D41" i="11"/>
  <c r="D10" i="69"/>
  <c r="C34" i="69"/>
  <c r="C17" i="15"/>
  <c r="C14" i="67"/>
  <c r="C17" i="67"/>
  <c r="S38" i="39"/>
  <c r="AC34" i="34"/>
  <c r="W34" i="34"/>
  <c r="U38" i="39"/>
  <c r="AB34" i="34"/>
  <c r="U34" i="34"/>
  <c r="W38" i="39"/>
  <c r="AA34" i="34"/>
  <c r="S34" i="34"/>
  <c r="C29" i="11"/>
  <c r="D27" i="11"/>
  <c r="C24" i="11"/>
  <c r="C28" i="11"/>
  <c r="C27" i="11"/>
  <c r="C66" i="67"/>
  <c r="C60" i="15"/>
  <c r="H22" i="6"/>
  <c r="H21" i="6"/>
  <c r="R21" i="6"/>
  <c r="R8" i="1"/>
  <c r="C25" i="11"/>
  <c r="H25" i="6"/>
  <c r="R25" i="6"/>
  <c r="R12" i="1"/>
  <c r="C12" i="71"/>
  <c r="D13" i="71"/>
  <c r="C18" i="67"/>
  <c r="C15" i="67"/>
  <c r="H23" i="6"/>
  <c r="C30" i="43"/>
  <c r="B2" i="43"/>
  <c r="B3" i="43"/>
  <c r="C31" i="43"/>
  <c r="H20" i="6"/>
  <c r="R20" i="6"/>
  <c r="R7" i="1"/>
  <c r="C38" i="69"/>
  <c r="C35" i="69"/>
  <c r="E12" i="70"/>
  <c r="F34" i="11"/>
  <c r="F11" i="12"/>
  <c r="S16" i="1"/>
  <c r="E9" i="70"/>
  <c r="E2" i="70"/>
  <c r="AR9" i="1"/>
  <c r="AQ9" i="1"/>
  <c r="T9" i="1"/>
  <c r="AQ11" i="1"/>
  <c r="AR11" i="1"/>
  <c r="T11" i="1"/>
  <c r="AR12" i="1"/>
  <c r="T12" i="1"/>
  <c r="AQ12" i="1"/>
  <c r="AQ10" i="1"/>
  <c r="T10" i="1"/>
  <c r="AR10" i="1"/>
  <c r="AR7" i="1"/>
  <c r="AQ7" i="1"/>
  <c r="T7" i="1"/>
  <c r="M27" i="6"/>
  <c r="I19" i="6"/>
  <c r="D16" i="6"/>
  <c r="R26" i="6"/>
  <c r="R24" i="6"/>
  <c r="R11" i="1"/>
  <c r="R22" i="6"/>
  <c r="R9" i="1"/>
  <c r="C15" i="12"/>
  <c r="C12" i="12"/>
  <c r="R23" i="6"/>
  <c r="R10" i="1"/>
  <c r="D8" i="74"/>
  <c r="D7" i="74"/>
  <c r="C10" i="69"/>
  <c r="C8" i="69"/>
  <c r="C5" i="69"/>
  <c r="D19" i="69"/>
  <c r="F50" i="69"/>
  <c r="F50" i="11"/>
  <c r="C4" i="52"/>
  <c r="B45" i="72"/>
  <c r="A10" i="51"/>
  <c r="B9" i="72"/>
  <c r="A7" i="51"/>
  <c r="B7" i="72"/>
  <c r="G65" i="40"/>
  <c r="H63" i="40"/>
  <c r="C43" i="37"/>
  <c r="C42" i="37"/>
  <c r="I48" i="35"/>
  <c r="C48" i="33"/>
  <c r="H58" i="21"/>
  <c r="E47" i="37"/>
  <c r="F47" i="37"/>
  <c r="E46" i="37"/>
  <c r="F46" i="37"/>
  <c r="I47" i="37"/>
  <c r="J47" i="37"/>
  <c r="E53" i="33"/>
  <c r="F53" i="33"/>
  <c r="E52" i="33"/>
  <c r="F52" i="33"/>
  <c r="C33" i="15"/>
  <c r="C33" i="67"/>
  <c r="J19" i="67"/>
  <c r="B6" i="76"/>
  <c r="C14" i="15"/>
  <c r="E6" i="76"/>
  <c r="C23" i="11"/>
  <c r="C22" i="11"/>
  <c r="C26" i="11"/>
  <c r="D22" i="11"/>
  <c r="M59" i="67"/>
  <c r="J53" i="15"/>
  <c r="M59" i="15"/>
  <c r="L59" i="15"/>
  <c r="C29" i="12"/>
  <c r="D28" i="12"/>
  <c r="C26" i="12"/>
  <c r="D25" i="12"/>
  <c r="C18" i="12"/>
  <c r="C11" i="71"/>
  <c r="T12" i="71"/>
  <c r="D12" i="71"/>
  <c r="U12" i="71"/>
  <c r="C19" i="67"/>
  <c r="C20" i="67"/>
  <c r="C26" i="67"/>
  <c r="T16" i="1"/>
  <c r="C18" i="15"/>
  <c r="C15" i="15"/>
  <c r="C36" i="11"/>
  <c r="C37" i="11"/>
  <c r="C34" i="11"/>
  <c r="C14" i="12"/>
  <c r="C16" i="12"/>
  <c r="H19" i="6"/>
  <c r="S19" i="6"/>
  <c r="S27" i="6"/>
  <c r="I27" i="6"/>
  <c r="C19" i="68"/>
  <c r="C19" i="69"/>
  <c r="C24" i="69"/>
  <c r="D37" i="69"/>
  <c r="C37" i="69"/>
  <c r="C33" i="69"/>
  <c r="I5" i="6"/>
  <c r="C23" i="69"/>
  <c r="E2" i="76"/>
  <c r="B2" i="76"/>
  <c r="I63" i="40"/>
  <c r="H65" i="40"/>
  <c r="I58" i="21"/>
  <c r="J58" i="21"/>
  <c r="K58" i="21"/>
  <c r="L58" i="21"/>
  <c r="M58" i="21"/>
  <c r="N58" i="21"/>
  <c r="O58" i="21"/>
  <c r="H7" i="21"/>
  <c r="F7" i="21"/>
  <c r="J48" i="35"/>
  <c r="L56" i="15"/>
  <c r="Q52" i="15"/>
  <c r="F1" i="15"/>
  <c r="C11" i="34"/>
  <c r="Q74" i="15"/>
  <c r="Q61" i="15"/>
  <c r="C31" i="11"/>
  <c r="C21" i="12"/>
  <c r="C22" i="12"/>
  <c r="J7" i="21"/>
  <c r="C10" i="71"/>
  <c r="D11" i="71"/>
  <c r="C23" i="67"/>
  <c r="C29" i="67"/>
  <c r="J59" i="67"/>
  <c r="J60" i="67"/>
  <c r="Q48" i="67"/>
  <c r="C19" i="15"/>
  <c r="C20" i="15"/>
  <c r="C26" i="15"/>
  <c r="C38" i="11"/>
  <c r="C35" i="11"/>
  <c r="H27" i="6"/>
  <c r="R19" i="6"/>
  <c r="C20" i="69"/>
  <c r="C28" i="69"/>
  <c r="C27" i="69"/>
  <c r="C39" i="69"/>
  <c r="C43" i="69"/>
  <c r="C42" i="69"/>
  <c r="B3" i="76"/>
  <c r="U7" i="21"/>
  <c r="AB7" i="21"/>
  <c r="T48" i="21"/>
  <c r="G48" i="21"/>
  <c r="S7" i="21"/>
  <c r="AA7" i="21"/>
  <c r="R48" i="21"/>
  <c r="J63" i="40"/>
  <c r="I65" i="40"/>
  <c r="K48" i="35"/>
  <c r="L48" i="35"/>
  <c r="M48" i="35"/>
  <c r="N48" i="35"/>
  <c r="O48" i="35"/>
  <c r="H7" i="35"/>
  <c r="AC7" i="21"/>
  <c r="V48" i="21"/>
  <c r="I48" i="21"/>
  <c r="W7" i="21"/>
  <c r="AE9" i="1"/>
  <c r="J11" i="34"/>
  <c r="H11" i="34"/>
  <c r="F11" i="34"/>
  <c r="J7" i="35"/>
  <c r="AC7" i="35"/>
  <c r="V38" i="35"/>
  <c r="I38" i="35"/>
  <c r="D10" i="71"/>
  <c r="C9" i="71"/>
  <c r="Q49" i="67"/>
  <c r="J14" i="67"/>
  <c r="J13" i="67"/>
  <c r="J23" i="67"/>
  <c r="C36" i="67"/>
  <c r="C57" i="67"/>
  <c r="C64" i="67"/>
  <c r="C13" i="67"/>
  <c r="Q70" i="67"/>
  <c r="C33" i="11"/>
  <c r="C39" i="11"/>
  <c r="C61" i="67"/>
  <c r="C23" i="15"/>
  <c r="C29" i="15"/>
  <c r="C41" i="69"/>
  <c r="R27" i="6"/>
  <c r="R6" i="1"/>
  <c r="C46" i="69"/>
  <c r="C45" i="69"/>
  <c r="C25" i="69"/>
  <c r="C22" i="69"/>
  <c r="C31" i="69"/>
  <c r="J65" i="40"/>
  <c r="K63" i="40"/>
  <c r="I52" i="21"/>
  <c r="J52" i="21"/>
  <c r="U7" i="35"/>
  <c r="AB7" i="35"/>
  <c r="T38" i="35"/>
  <c r="G38" i="35"/>
  <c r="R49" i="21"/>
  <c r="E48" i="21"/>
  <c r="G52" i="21"/>
  <c r="H52" i="21"/>
  <c r="G53" i="21"/>
  <c r="H53" i="21"/>
  <c r="F7" i="35"/>
  <c r="F41" i="15"/>
  <c r="M21" i="67"/>
  <c r="M21" i="15"/>
  <c r="F35" i="67"/>
  <c r="F35" i="15"/>
  <c r="F69" i="15"/>
  <c r="W7" i="35"/>
  <c r="S11" i="34"/>
  <c r="AA11" i="34"/>
  <c r="R49" i="34"/>
  <c r="S11" i="39"/>
  <c r="U11" i="34"/>
  <c r="AB11" i="34"/>
  <c r="T49" i="34"/>
  <c r="G49" i="34"/>
  <c r="U11" i="39"/>
  <c r="W11" i="39"/>
  <c r="W11" i="34"/>
  <c r="AC11" i="34"/>
  <c r="V49" i="34"/>
  <c r="I49" i="34"/>
  <c r="C8" i="71"/>
  <c r="D9" i="71"/>
  <c r="C56" i="67"/>
  <c r="C65" i="67"/>
  <c r="J22" i="67"/>
  <c r="C37" i="67"/>
  <c r="C75" i="67"/>
  <c r="C36" i="15"/>
  <c r="J59" i="15"/>
  <c r="J60" i="15"/>
  <c r="Q48" i="15"/>
  <c r="C46" i="11"/>
  <c r="C45" i="11"/>
  <c r="C43" i="11"/>
  <c r="C42" i="11"/>
  <c r="C34" i="67"/>
  <c r="C31" i="67"/>
  <c r="F63" i="67"/>
  <c r="C62" i="67"/>
  <c r="C59" i="67"/>
  <c r="J20" i="67"/>
  <c r="J17" i="67"/>
  <c r="J19" i="15"/>
  <c r="Q49" i="15"/>
  <c r="C57" i="15"/>
  <c r="J14" i="15"/>
  <c r="J13" i="15"/>
  <c r="J23" i="15"/>
  <c r="C13" i="15"/>
  <c r="Q70" i="15"/>
  <c r="F63" i="15"/>
  <c r="C62" i="15"/>
  <c r="C34" i="15"/>
  <c r="J20" i="15"/>
  <c r="R16" i="1"/>
  <c r="C49" i="69"/>
  <c r="C51" i="69"/>
  <c r="C52" i="69"/>
  <c r="B2" i="69"/>
  <c r="B3" i="69"/>
  <c r="S7" i="35"/>
  <c r="AA7" i="35"/>
  <c r="R38" i="35"/>
  <c r="C49" i="21"/>
  <c r="C48" i="21"/>
  <c r="E52" i="21"/>
  <c r="F52" i="21"/>
  <c r="E53" i="21"/>
  <c r="F53" i="21"/>
  <c r="G42" i="35"/>
  <c r="H42" i="35"/>
  <c r="G43" i="35"/>
  <c r="H43" i="35"/>
  <c r="I53" i="21"/>
  <c r="J53" i="21"/>
  <c r="K65" i="40"/>
  <c r="L63" i="40"/>
  <c r="I42" i="35"/>
  <c r="J42" i="35"/>
  <c r="I53" i="34"/>
  <c r="J53" i="34"/>
  <c r="E49" i="34"/>
  <c r="R50" i="34"/>
  <c r="G53" i="34"/>
  <c r="H53" i="34"/>
  <c r="G54" i="34"/>
  <c r="H54" i="34"/>
  <c r="C7" i="71"/>
  <c r="D8" i="71"/>
  <c r="C58" i="67"/>
  <c r="C67" i="67"/>
  <c r="C68" i="67"/>
  <c r="C71" i="67"/>
  <c r="J16" i="67"/>
  <c r="J25" i="67"/>
  <c r="J26" i="67"/>
  <c r="J29" i="67"/>
  <c r="C30" i="67"/>
  <c r="C39" i="67"/>
  <c r="Q69" i="67"/>
  <c r="Q68" i="67"/>
  <c r="C41" i="11"/>
  <c r="C49" i="11"/>
  <c r="C51" i="11"/>
  <c r="C52" i="11"/>
  <c r="B2" i="11"/>
  <c r="B3" i="11"/>
  <c r="J22" i="15"/>
  <c r="C61" i="15"/>
  <c r="C59" i="15"/>
  <c r="C64" i="15"/>
  <c r="C37" i="15"/>
  <c r="C56" i="15"/>
  <c r="C65" i="15"/>
  <c r="C75" i="15"/>
  <c r="J17" i="15"/>
  <c r="C31" i="15"/>
  <c r="C57" i="69"/>
  <c r="C56" i="69"/>
  <c r="R39" i="35"/>
  <c r="E38" i="35"/>
  <c r="M63" i="40"/>
  <c r="L65" i="40"/>
  <c r="D2" i="21"/>
  <c r="L51" i="67"/>
  <c r="E53" i="34"/>
  <c r="F53" i="34"/>
  <c r="E54" i="34"/>
  <c r="F54" i="34"/>
  <c r="I54" i="34"/>
  <c r="J54" i="34"/>
  <c r="C49" i="34"/>
  <c r="C50" i="34"/>
  <c r="C6" i="71"/>
  <c r="D7" i="71"/>
  <c r="L57" i="67"/>
  <c r="L60" i="67"/>
  <c r="L46" i="67"/>
  <c r="Q67" i="67"/>
  <c r="C80" i="67"/>
  <c r="C79" i="67"/>
  <c r="C40" i="67"/>
  <c r="C45" i="67"/>
  <c r="C56" i="11"/>
  <c r="C57" i="11"/>
  <c r="B2" i="21"/>
  <c r="B3" i="21"/>
  <c r="J16" i="15"/>
  <c r="J25" i="15"/>
  <c r="J26" i="15"/>
  <c r="J29" i="15"/>
  <c r="C58" i="15"/>
  <c r="C67" i="15"/>
  <c r="C68" i="15"/>
  <c r="C71" i="15"/>
  <c r="C30" i="15"/>
  <c r="C39" i="15"/>
  <c r="Q69" i="15"/>
  <c r="Q68" i="15"/>
  <c r="C39" i="35"/>
  <c r="C38" i="35"/>
  <c r="N63" i="40"/>
  <c r="M65" i="40"/>
  <c r="E43" i="35"/>
  <c r="F43" i="35"/>
  <c r="E42" i="35"/>
  <c r="F42" i="35"/>
  <c r="I43" i="35"/>
  <c r="J43" i="35"/>
  <c r="D2" i="33"/>
  <c r="D6" i="71"/>
  <c r="C5" i="71"/>
  <c r="D5" i="71"/>
  <c r="Q65" i="67"/>
  <c r="Q66" i="67"/>
  <c r="Q57" i="67"/>
  <c r="B2" i="33"/>
  <c r="B3" i="33"/>
  <c r="C83" i="67"/>
  <c r="C82" i="67"/>
  <c r="Q47" i="67"/>
  <c r="Q53" i="67"/>
  <c r="C46" i="67"/>
  <c r="Q56" i="67"/>
  <c r="C43" i="67"/>
  <c r="D2" i="67"/>
  <c r="B2" i="67"/>
  <c r="C80" i="15"/>
  <c r="C79" i="15"/>
  <c r="C40" i="15"/>
  <c r="C46" i="15"/>
  <c r="S7" i="39"/>
  <c r="O63" i="40"/>
  <c r="O65" i="40"/>
  <c r="N65" i="40"/>
  <c r="D2" i="35"/>
  <c r="D2" i="34"/>
  <c r="L51" i="15"/>
  <c r="D2" i="37"/>
  <c r="D2" i="36"/>
  <c r="M24" i="43"/>
  <c r="Q75" i="67"/>
  <c r="Q62" i="67"/>
  <c r="B3" i="67"/>
  <c r="L57" i="15"/>
  <c r="L60" i="15"/>
  <c r="Q57" i="15"/>
  <c r="Q67" i="15"/>
  <c r="B2" i="35"/>
  <c r="M3" i="35"/>
  <c r="B2" i="37"/>
  <c r="B3" i="37"/>
  <c r="B2" i="34"/>
  <c r="Q47" i="15"/>
  <c r="Q53" i="15"/>
  <c r="C43" i="15"/>
  <c r="Q65" i="15"/>
  <c r="C83" i="15"/>
  <c r="C82" i="15"/>
  <c r="Q56" i="15"/>
  <c r="W7" i="39"/>
  <c r="I47" i="39"/>
  <c r="E47" i="39"/>
  <c r="U7" i="39"/>
  <c r="G47" i="39"/>
  <c r="J7" i="40"/>
  <c r="F7" i="40"/>
  <c r="H7" i="40"/>
  <c r="AO7" i="1"/>
  <c r="AO10" i="1"/>
  <c r="AO12" i="1"/>
  <c r="AO6" i="1"/>
  <c r="AO8" i="1"/>
  <c r="AO11" i="1"/>
  <c r="B3" i="35"/>
  <c r="F6" i="12"/>
  <c r="F8" i="12"/>
  <c r="B3" i="34"/>
  <c r="C6" i="12"/>
  <c r="C8" i="12"/>
  <c r="L46" i="15"/>
  <c r="B2" i="15"/>
  <c r="B3" i="15"/>
  <c r="Q66" i="15"/>
  <c r="Q75" i="15"/>
  <c r="Q62" i="15"/>
  <c r="B11" i="70"/>
  <c r="B7" i="70"/>
  <c r="B10" i="70"/>
  <c r="B12" i="70"/>
  <c r="B6" i="70"/>
  <c r="B8" i="70"/>
  <c r="G51" i="39"/>
  <c r="H51" i="39"/>
  <c r="G52" i="39"/>
  <c r="H52" i="39"/>
  <c r="I51" i="39"/>
  <c r="J51" i="39"/>
  <c r="I52" i="39"/>
  <c r="J52" i="39"/>
  <c r="E52" i="39"/>
  <c r="F52" i="39"/>
  <c r="E51" i="39"/>
  <c r="F51" i="39"/>
  <c r="U7" i="40"/>
  <c r="AB7" i="40"/>
  <c r="T42" i="40"/>
  <c r="G42" i="40"/>
  <c r="AA7" i="40"/>
  <c r="R42" i="40"/>
  <c r="S7" i="40"/>
  <c r="AC7" i="40"/>
  <c r="V42" i="40"/>
  <c r="I42" i="40"/>
  <c r="W7" i="40"/>
  <c r="AO9" i="1"/>
  <c r="C4" i="12"/>
  <c r="C31" i="12"/>
  <c r="C23" i="12"/>
  <c r="B9" i="70"/>
  <c r="B2" i="70"/>
  <c r="B3" i="70"/>
  <c r="C47" i="39"/>
  <c r="I46" i="40"/>
  <c r="J46" i="40"/>
  <c r="R43" i="40"/>
  <c r="E42" i="40"/>
  <c r="G47" i="40"/>
  <c r="H47" i="40"/>
  <c r="G46" i="40"/>
  <c r="H46" i="40"/>
  <c r="C27" i="12"/>
  <c r="C25" i="12"/>
  <c r="C30" i="12"/>
  <c r="C28" i="12"/>
  <c r="C42" i="40"/>
  <c r="C43" i="40"/>
  <c r="E47" i="40"/>
  <c r="F47" i="40"/>
  <c r="E46" i="40"/>
  <c r="F46" i="40"/>
  <c r="I47" i="40"/>
  <c r="J47" i="40"/>
  <c r="B3" i="39"/>
  <c r="C32" i="12"/>
  <c r="B2" i="12"/>
  <c r="B58" i="40"/>
  <c r="F58" i="40"/>
  <c r="B54" i="40"/>
  <c r="F54" i="40"/>
  <c r="B53" i="40"/>
  <c r="F53" i="40"/>
  <c r="B59" i="40"/>
  <c r="F59" i="40"/>
  <c r="B52" i="40"/>
  <c r="F52" i="40"/>
  <c r="B56" i="40"/>
  <c r="F56" i="40"/>
  <c r="B60" i="40"/>
  <c r="F60" i="40"/>
  <c r="B57" i="40"/>
  <c r="F57" i="40"/>
  <c r="B51" i="40"/>
  <c r="F51" i="40"/>
  <c r="F61" i="40"/>
  <c r="B2" i="40"/>
  <c r="B3" i="40"/>
  <c r="D19" i="9"/>
  <c r="D21" i="9"/>
  <c r="D102" i="9"/>
  <c r="B3" i="12"/>
  <c r="D20" i="9"/>
  <c r="D103" i="9"/>
  <c r="B6" i="74"/>
  <c r="D6" i="74"/>
  <c r="H112" i="9"/>
  <c r="C8" i="74"/>
  <c r="H111" i="9"/>
  <c r="D126" i="9"/>
  <c r="D19" i="53"/>
  <c r="B38" i="72"/>
  <c r="D21" i="53"/>
  <c r="B39" i="72"/>
  <c r="D127" i="9"/>
  <c r="D13" i="52"/>
  <c r="D12" i="52"/>
  <c r="D20" i="53"/>
  <c r="B40" i="72"/>
  <c r="C19" i="9"/>
  <c r="G19" i="9"/>
  <c r="G21" i="9"/>
  <c r="C21" i="9"/>
  <c r="D22" i="9"/>
  <c r="C102" i="9"/>
  <c r="C20" i="9"/>
  <c r="G20" i="9"/>
  <c r="C32" i="9"/>
  <c r="C35" i="9"/>
  <c r="C34" i="9"/>
  <c r="C103" i="9"/>
  <c r="H118" i="9"/>
  <c r="H101" i="9"/>
  <c r="H107" i="9"/>
  <c r="M49" i="9"/>
  <c r="L65" i="9"/>
  <c r="M65" i="9"/>
  <c r="L66" i="9"/>
  <c r="M66" i="9"/>
  <c r="D122" i="9"/>
  <c r="D123" i="9"/>
  <c r="D9" i="52"/>
  <c r="D13" i="53"/>
  <c r="D14" i="53"/>
  <c r="B32" i="72"/>
  <c r="H119" i="9"/>
  <c r="H5" i="52"/>
  <c r="L63" i="9"/>
  <c r="M63" i="9"/>
  <c r="L64" i="9"/>
  <c r="M64" i="9"/>
  <c r="L67" i="9"/>
  <c r="M67" i="9"/>
  <c r="L68" i="9"/>
  <c r="M68" i="9"/>
  <c r="M69" i="9"/>
  <c r="N69" i="9"/>
  <c r="I118" i="9"/>
  <c r="H102" i="9"/>
  <c r="D7" i="53"/>
  <c r="B21" i="72"/>
  <c r="D5" i="53"/>
  <c r="D6" i="53"/>
  <c r="B22" i="72"/>
  <c r="D118" i="9"/>
  <c r="D119" i="9"/>
  <c r="D5" i="52"/>
  <c r="B49" i="72"/>
  <c r="D45" i="9"/>
  <c r="C78" i="9"/>
  <c r="C73" i="9"/>
  <c r="C85" i="9"/>
  <c r="C93" i="9"/>
  <c r="C86" i="9"/>
  <c r="C95" i="9"/>
  <c r="C96" i="9"/>
  <c r="C97" i="9"/>
  <c r="D58" i="9"/>
  <c r="D56" i="9"/>
  <c r="M54" i="9"/>
  <c r="E96" i="9"/>
  <c r="E97" i="9"/>
  <c r="C72" i="9"/>
  <c r="C79" i="9"/>
  <c r="C80" i="9"/>
  <c r="C81" i="9"/>
  <c r="B30" i="72"/>
  <c r="C64" i="9"/>
  <c r="C63" i="9"/>
  <c r="C67" i="9"/>
  <c r="D59" i="9"/>
  <c r="M55" i="9"/>
  <c r="F118" i="9"/>
  <c r="F119" i="9"/>
  <c r="F5" i="52"/>
  <c r="B53" i="72"/>
  <c r="G118" i="9"/>
  <c r="E118" i="9"/>
  <c r="E4" i="52"/>
  <c r="B48" i="72"/>
  <c r="B20" i="72"/>
  <c r="D14" i="74"/>
  <c r="B5" i="74"/>
  <c r="C5" i="74"/>
  <c r="F4" i="52"/>
  <c r="B51" i="72"/>
  <c r="E80" i="9"/>
  <c r="E81" i="9"/>
  <c r="D4" i="52"/>
  <c r="B47" i="72"/>
  <c r="M48" i="9"/>
  <c r="G4" i="52"/>
  <c r="B52" i="72"/>
  <c r="H108" i="9"/>
  <c r="D15" i="53"/>
  <c r="B31" i="72"/>
  <c r="C68" i="9"/>
  <c r="D54" i="9"/>
  <c r="C6" i="74"/>
  <c r="D55" i="9"/>
  <c r="M53" i="9"/>
  <c r="N57" i="9"/>
  <c r="N58" i="9"/>
  <c r="P57" i="9"/>
  <c r="D53" i="9"/>
  <c r="D52" i="9"/>
  <c r="N59" i="9"/>
  <c r="N61" i="9"/>
  <c r="N60" i="9"/>
  <c r="H4" i="52"/>
  <c r="C104" i="9"/>
  <c r="D8" i="52"/>
  <c r="C105" i="9"/>
  <c r="I4" i="52"/>
  <c r="D5" i="74"/>
  <c r="F14" i="74"/>
  <c r="E14"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Administrator</author>
    <author>admin</author>
    <author>尹晓波</author>
  </authors>
  <commentList>
    <comment ref="F159" authorId="0">
      <text>
        <r>
          <rPr>
            <b/>
            <sz val="9"/>
            <rFont val="宋体"/>
            <family val="3"/>
            <charset val="134"/>
          </rPr>
          <t>Administrator:</t>
        </r>
        <r>
          <rPr>
            <sz val="9"/>
            <rFont val="宋体"/>
            <family val="3"/>
            <charset val="134"/>
          </rPr>
          <t xml:space="preserve">
原成交总价6086055元</t>
        </r>
      </text>
    </comment>
    <comment ref="F163" authorId="1">
      <text>
        <r>
          <rPr>
            <b/>
            <sz val="9"/>
            <rFont val="Tahoma"/>
            <family val="2"/>
          </rPr>
          <t>admin:</t>
        </r>
        <r>
          <rPr>
            <sz val="9"/>
            <rFont val="Tahoma"/>
            <family val="2"/>
          </rPr>
          <t xml:space="preserve">
</t>
        </r>
        <r>
          <rPr>
            <sz val="9"/>
            <rFont val="宋体"/>
            <family val="3"/>
            <charset val="134"/>
          </rPr>
          <t>远成交总价</t>
        </r>
        <r>
          <rPr>
            <sz val="9"/>
            <rFont val="Tahoma"/>
            <family val="2"/>
          </rPr>
          <t>6341655</t>
        </r>
      </text>
    </comment>
    <comment ref="F174" authorId="0">
      <text>
        <r>
          <rPr>
            <b/>
            <sz val="9"/>
            <rFont val="宋体"/>
            <family val="3"/>
            <charset val="134"/>
          </rPr>
          <t>Administrator:</t>
        </r>
        <r>
          <rPr>
            <sz val="9"/>
            <rFont val="宋体"/>
            <family val="3"/>
            <charset val="134"/>
          </rPr>
          <t xml:space="preserve">
原成交总价5545348，277万未回款优惠15%即415500元</t>
        </r>
      </text>
    </comment>
    <comment ref="F183" authorId="1">
      <text>
        <r>
          <rPr>
            <b/>
            <sz val="9"/>
            <rFont val="Tahoma"/>
            <family val="2"/>
          </rPr>
          <t>admin:</t>
        </r>
        <r>
          <rPr>
            <sz val="9"/>
            <rFont val="Tahoma"/>
            <family val="2"/>
          </rPr>
          <t xml:space="preserve">
</t>
        </r>
        <r>
          <rPr>
            <sz val="9"/>
            <rFont val="宋体"/>
            <family val="3"/>
            <charset val="134"/>
          </rPr>
          <t>原成交总价</t>
        </r>
        <r>
          <rPr>
            <sz val="9"/>
            <rFont val="Tahoma"/>
            <family val="2"/>
          </rPr>
          <t>5921352</t>
        </r>
      </text>
    </comment>
    <comment ref="F184" authorId="1">
      <text>
        <r>
          <rPr>
            <b/>
            <sz val="9"/>
            <rFont val="Tahoma"/>
            <family val="2"/>
          </rPr>
          <t>admin:</t>
        </r>
        <r>
          <rPr>
            <sz val="14"/>
            <rFont val="Tahoma"/>
            <family val="2"/>
          </rPr>
          <t xml:space="preserve">
</t>
        </r>
        <r>
          <rPr>
            <sz val="14"/>
            <rFont val="宋体"/>
            <family val="3"/>
            <charset val="134"/>
          </rPr>
          <t>原成交总价</t>
        </r>
        <r>
          <rPr>
            <sz val="14"/>
            <rFont val="Tahoma"/>
            <family val="2"/>
          </rPr>
          <t>5180431</t>
        </r>
      </text>
    </comment>
    <comment ref="F185" authorId="1">
      <text>
        <r>
          <rPr>
            <b/>
            <sz val="9"/>
            <rFont val="Tahoma"/>
            <family val="2"/>
          </rPr>
          <t>admin:</t>
        </r>
        <r>
          <rPr>
            <sz val="9"/>
            <rFont val="Tahoma"/>
            <family val="2"/>
          </rPr>
          <t xml:space="preserve">
</t>
        </r>
        <r>
          <rPr>
            <sz val="9"/>
            <rFont val="宋体"/>
            <family val="3"/>
            <charset val="134"/>
          </rPr>
          <t>原成交总价</t>
        </r>
        <r>
          <rPr>
            <sz val="9"/>
            <rFont val="Tahoma"/>
            <family val="2"/>
          </rPr>
          <t>5141453</t>
        </r>
      </text>
    </comment>
    <comment ref="F212" authorId="0">
      <text>
        <r>
          <rPr>
            <b/>
            <sz val="9"/>
            <rFont val="宋体"/>
            <family val="3"/>
            <charset val="134"/>
          </rPr>
          <t>Administrator:</t>
        </r>
        <r>
          <rPr>
            <sz val="9"/>
            <rFont val="宋体"/>
            <family val="3"/>
            <charset val="134"/>
          </rPr>
          <t xml:space="preserve">
原成交总价5777046，享受288万回款优惠15%即432000元</t>
        </r>
      </text>
    </comment>
    <comment ref="F217" authorId="0">
      <text>
        <r>
          <rPr>
            <b/>
            <sz val="9"/>
            <rFont val="宋体"/>
            <family val="3"/>
            <charset val="134"/>
          </rPr>
          <t xml:space="preserve">Administrator:
</t>
        </r>
        <r>
          <rPr>
            <sz val="9"/>
            <rFont val="宋体"/>
            <family val="3"/>
            <charset val="134"/>
          </rPr>
          <t>原成交总价420万，260万未回款优惠15%即39万</t>
        </r>
      </text>
    </comment>
    <comment ref="F243" authorId="1">
      <text>
        <r>
          <rPr>
            <b/>
            <sz val="9"/>
            <rFont val="Tahoma"/>
            <family val="2"/>
          </rPr>
          <t>admin:</t>
        </r>
        <r>
          <rPr>
            <sz val="9"/>
            <rFont val="Tahoma"/>
            <family val="2"/>
          </rPr>
          <t xml:space="preserve">
</t>
        </r>
        <r>
          <rPr>
            <sz val="9"/>
            <rFont val="宋体"/>
            <family val="3"/>
            <charset val="134"/>
          </rPr>
          <t>原成交总价</t>
        </r>
        <r>
          <rPr>
            <sz val="9"/>
            <rFont val="Tahoma"/>
            <family val="2"/>
          </rPr>
          <t>5272410</t>
        </r>
      </text>
    </comment>
    <comment ref="F257" authorId="1">
      <text>
        <r>
          <rPr>
            <b/>
            <sz val="9"/>
            <rFont val="Tahoma"/>
            <family val="2"/>
          </rPr>
          <t>admin:</t>
        </r>
        <r>
          <rPr>
            <sz val="9"/>
            <rFont val="Tahoma"/>
            <family val="2"/>
          </rPr>
          <t xml:space="preserve">
</t>
        </r>
        <r>
          <rPr>
            <sz val="9"/>
            <rFont val="宋体"/>
            <family val="3"/>
            <charset val="134"/>
          </rPr>
          <t>原成交总价</t>
        </r>
        <r>
          <rPr>
            <sz val="9"/>
            <rFont val="Tahoma"/>
            <family val="2"/>
          </rPr>
          <t>4854860</t>
        </r>
      </text>
    </comment>
    <comment ref="F258" authorId="2">
      <text>
        <r>
          <rPr>
            <b/>
            <sz val="9"/>
            <rFont val="宋体"/>
            <family val="3"/>
            <charset val="134"/>
          </rPr>
          <t>尹晓波:</t>
        </r>
        <r>
          <rPr>
            <sz val="9"/>
            <rFont val="宋体"/>
            <family val="3"/>
            <charset val="134"/>
          </rPr>
          <t xml:space="preserve">
原成交总价5272410</t>
        </r>
      </text>
    </comment>
    <comment ref="F268" authorId="1">
      <text>
        <r>
          <rPr>
            <b/>
            <sz val="9"/>
            <rFont val="Tahoma"/>
            <family val="2"/>
          </rPr>
          <t>admin:</t>
        </r>
        <r>
          <rPr>
            <sz val="9"/>
            <rFont val="Tahoma"/>
            <family val="2"/>
          </rPr>
          <t xml:space="preserve">
</t>
        </r>
        <r>
          <rPr>
            <sz val="9"/>
            <rFont val="宋体"/>
            <family val="3"/>
            <charset val="134"/>
          </rPr>
          <t>原成交总价</t>
        </r>
        <r>
          <rPr>
            <sz val="9"/>
            <rFont val="Tahoma"/>
            <family val="2"/>
          </rPr>
          <t>6023015</t>
        </r>
      </text>
    </comment>
    <comment ref="F270" authorId="1">
      <text>
        <r>
          <rPr>
            <b/>
            <sz val="9"/>
            <rFont val="Tahoma"/>
            <family val="2"/>
          </rPr>
          <t>admin:</t>
        </r>
        <r>
          <rPr>
            <sz val="9"/>
            <rFont val="Tahoma"/>
            <family val="2"/>
          </rPr>
          <t xml:space="preserve">
2021.8.26,</t>
        </r>
        <r>
          <rPr>
            <sz val="9"/>
            <rFont val="宋体"/>
            <family val="3"/>
            <charset val="134"/>
          </rPr>
          <t>前置回款优惠</t>
        </r>
        <r>
          <rPr>
            <sz val="9"/>
            <rFont val="Tahoma"/>
            <family val="2"/>
          </rPr>
          <t>23</t>
        </r>
        <r>
          <rPr>
            <sz val="9"/>
            <rFont val="宋体"/>
            <family val="3"/>
            <charset val="134"/>
          </rPr>
          <t>万</t>
        </r>
      </text>
    </comment>
    <comment ref="F271" authorId="1">
      <text>
        <r>
          <rPr>
            <b/>
            <sz val="9"/>
            <rFont val="Tahoma"/>
            <family val="2"/>
          </rPr>
          <t>admin:</t>
        </r>
        <r>
          <rPr>
            <sz val="9"/>
            <rFont val="Tahoma"/>
            <family val="2"/>
          </rPr>
          <t xml:space="preserve">
2021.8.26,</t>
        </r>
        <r>
          <rPr>
            <sz val="9"/>
            <rFont val="宋体"/>
            <family val="3"/>
            <charset val="134"/>
          </rPr>
          <t>前置回款优惠</t>
        </r>
        <r>
          <rPr>
            <sz val="9"/>
            <rFont val="Tahoma"/>
            <family val="2"/>
          </rPr>
          <t>23</t>
        </r>
        <r>
          <rPr>
            <sz val="9"/>
            <rFont val="宋体"/>
            <family val="3"/>
            <charset val="134"/>
          </rPr>
          <t>万</t>
        </r>
      </text>
    </comment>
    <comment ref="F331" authorId="1">
      <text>
        <r>
          <rPr>
            <b/>
            <sz val="9"/>
            <rFont val="Tahoma"/>
            <family val="2"/>
          </rPr>
          <t>admin:</t>
        </r>
        <r>
          <rPr>
            <sz val="9"/>
            <rFont val="Tahoma"/>
            <family val="2"/>
          </rPr>
          <t xml:space="preserve">
</t>
        </r>
        <r>
          <rPr>
            <sz val="9"/>
            <rFont val="宋体"/>
            <family val="3"/>
            <charset val="134"/>
          </rPr>
          <t>超出备案价</t>
        </r>
      </text>
    </comment>
    <comment ref="F332" authorId="1">
      <text>
        <r>
          <rPr>
            <b/>
            <sz val="9"/>
            <rFont val="Tahoma"/>
            <family val="2"/>
          </rPr>
          <t>admin:</t>
        </r>
        <r>
          <rPr>
            <sz val="9"/>
            <rFont val="Tahoma"/>
            <family val="2"/>
          </rPr>
          <t xml:space="preserve">
</t>
        </r>
        <r>
          <rPr>
            <sz val="9"/>
            <rFont val="宋体"/>
            <family val="3"/>
            <charset val="134"/>
          </rPr>
          <t>超出备案价</t>
        </r>
      </text>
    </comment>
    <comment ref="F351" authorId="0">
      <text>
        <r>
          <rPr>
            <b/>
            <sz val="9"/>
            <rFont val="宋体"/>
            <family val="3"/>
            <charset val="134"/>
          </rPr>
          <t>Administrator:</t>
        </r>
        <r>
          <rPr>
            <sz val="9"/>
            <rFont val="宋体"/>
            <family val="3"/>
            <charset val="134"/>
          </rPr>
          <t xml:space="preserve">
原成交总价7168094元</t>
        </r>
      </text>
    </comment>
    <comment ref="F352" authorId="0">
      <text>
        <r>
          <rPr>
            <b/>
            <sz val="9"/>
            <rFont val="宋体"/>
            <family val="3"/>
            <charset val="134"/>
          </rPr>
          <t>Administrator:</t>
        </r>
        <r>
          <rPr>
            <sz val="9"/>
            <rFont val="宋体"/>
            <family val="3"/>
            <charset val="134"/>
          </rPr>
          <t xml:space="preserve">
原成交总价6477056元</t>
        </r>
      </text>
    </comment>
    <comment ref="F359" authorId="0">
      <text>
        <r>
          <rPr>
            <b/>
            <sz val="9"/>
            <rFont val="宋体"/>
            <family val="3"/>
            <charset val="134"/>
          </rPr>
          <t>Administrator:</t>
        </r>
        <r>
          <rPr>
            <sz val="9"/>
            <rFont val="宋体"/>
            <family val="3"/>
            <charset val="134"/>
          </rPr>
          <t xml:space="preserve">
原成交总价3460228元，</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<sst xmlns="http://schemas.openxmlformats.org/spreadsheetml/2006/main" count="8835" uniqueCount="3995">
  <si>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</si>
  <si>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</si>
  <si>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</si>
  <si>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</si>
  <si>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</si>
  <si>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</si>
  <si>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</si>
  <si>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</si>
  <si>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</si>
  <si>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</si>
  <si>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</si>
  <si>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</si>
  <si>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</si>
  <si>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</si>
  <si>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</si>
  <si>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</si>
  <si>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</si>
  <si>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</si>
  <si>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</si>
  <si>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</si>
  <si>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</si>
  <si>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</si>
  <si>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</si>
  <si>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</si>
  <si>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</si>
  <si>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</si>
  <si>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</si>
  <si>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</si>
  <si>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</si>
  <si>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</si>
  <si>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</si>
  <si>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</si>
  <si>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</si>
  <si>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</si>
  <si>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</si>
  <si>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</si>
  <si>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</si>
  <si>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</si>
  <si>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</si>
  <si>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</si>
  <si>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</si>
  <si>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</si>
  <si>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</si>
  <si>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</si>
  <si>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</si>
  <si>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</si>
  <si>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</si>
  <si>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</si>
  <si>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</si>
  <si>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</si>
  <si>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</si>
  <si>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</si>
  <si>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</si>
  <si>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</si>
  <si>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</si>
  <si>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</si>
  <si>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</si>
  <si>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</si>
  <si>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</si>
  <si>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</si>
  <si>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</si>
  <si>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</si>
  <si>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</si>
  <si>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</si>
  <si>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</si>
  <si>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</si>
  <si>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</si>
  <si>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</si>
  <si>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</si>
  <si>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</si>
  <si>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</si>
  <si>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</si>
  <si>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</si>
  <si>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</si>
  <si>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</si>
  <si>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</si>
  <si>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</si>
  <si>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</si>
  <si>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</si>
  <si>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</si>
  <si>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</si>
  <si>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</si>
  <si>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</si>
  <si>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</si>
  <si>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</si>
  <si>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</si>
  <si>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</si>
  <si>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</si>
  <si>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</si>
  <si>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</si>
  <si>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</si>
  <si>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</si>
  <si>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</si>
  <si>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</si>
  <si>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</si>
  <si>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</si>
  <si>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</si>
  <si>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</si>
  <si>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</si>
  <si>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</si>
  <si>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</si>
  <si>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</si>
  <si>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</si>
  <si>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</si>
  <si>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</si>
  <si>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</si>
  <si>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</si>
  <si>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</si>
  <si>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</si>
  <si>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</si>
  <si>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</si>
  <si>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</si>
  <si>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</si>
  <si>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</si>
  <si>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</si>
  <si>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</si>
  <si>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</si>
  <si>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</si>
  <si>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</si>
  <si>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</si>
  <si>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</si>
  <si>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</si>
  <si>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</si>
  <si>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</si>
  <si>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</si>
  <si>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</si>
  <si>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</si>
  <si>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</si>
  <si>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</si>
  <si>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</si>
  <si>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</si>
  <si>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</si>
  <si>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</si>
  <si>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</si>
  <si>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</si>
  <si>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</si>
  <si>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</si>
  <si>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</si>
  <si>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</si>
  <si>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</si>
  <si>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</si>
  <si>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</si>
  <si>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</si>
  <si>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</si>
  <si>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</si>
  <si>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</si>
  <si>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</si>
  <si>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</si>
  <si>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</si>
  <si>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</si>
  <si>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</si>
  <si>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</si>
  <si>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</si>
  <si>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</si>
  <si>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</si>
  <si>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</si>
  <si>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</si>
  <si>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</si>
  <si>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</si>
  <si>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</si>
  <si>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</si>
  <si>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</si>
  <si>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</si>
  <si>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</si>
  <si>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</si>
  <si>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</si>
  <si>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</si>
  <si>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</si>
  <si>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</si>
  <si>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</si>
  <si>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</si>
  <si>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</si>
  <si>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</si>
  <si>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</si>
  <si>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</si>
  <si>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</si>
  <si>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</si>
  <si>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</si>
  <si>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</si>
  <si>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</si>
  <si>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</si>
  <si>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</si>
  <si>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</si>
  <si>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</si>
  <si>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</si>
  <si>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</si>
  <si>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</si>
  <si>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</si>
  <si>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</si>
  <si>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</si>
  <si>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</si>
  <si>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</si>
  <si>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</si>
  <si>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</si>
  <si>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</si>
  <si>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</si>
  <si>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</si>
  <si>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</si>
  <si>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</si>
  <si>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</si>
  <si>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</si>
  <si>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</si>
  <si>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</si>
  <si>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</si>
  <si>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</si>
  <si>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</si>
  <si>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</si>
  <si>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</si>
  <si>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</si>
  <si>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</si>
  <si>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</si>
  <si>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</si>
  <si>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</si>
  <si>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</si>
  <si>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</si>
  <si>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</si>
  <si>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</si>
  <si>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</si>
  <si>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</si>
  <si>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</si>
  <si>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</si>
  <si>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</si>
  <si>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</si>
  <si>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</si>
  <si>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</si>
  <si>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</si>
  <si>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</si>
  <si>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</si>
  <si>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</si>
  <si>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</si>
  <si>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</si>
  <si>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</si>
  <si>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</si>
  <si>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</si>
  <si>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</si>
  <si>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</si>
  <si>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</si>
  <si>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</si>
  <si>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</si>
  <si>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</si>
  <si>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</si>
  <si>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</si>
  <si>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</si>
  <si>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</si>
  <si>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</si>
  <si>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</si>
  <si>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</si>
  <si>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</si>
  <si>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</si>
  <si>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</si>
  <si>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</si>
  <si>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</si>
  <si>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</si>
  <si>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</si>
  <si>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</si>
  <si>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</si>
  <si>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</si>
  <si>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</si>
  <si>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</si>
  <si>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</si>
  <si>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</si>
  <si>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</si>
  <si>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</si>
  <si>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</si>
  <si>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</si>
  <si>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</si>
  <si>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</si>
  <si>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</si>
  <si>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</si>
  <si>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</si>
  <si>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</si>
  <si>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</si>
  <si>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</si>
  <si>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</si>
  <si>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</si>
  <si>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</si>
  <si>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</si>
  <si>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</si>
  <si>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</si>
  <si>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</si>
  <si>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</si>
  <si>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</si>
  <si>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</si>
  <si>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</si>
  <si>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</si>
  <si>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</si>
  <si>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</si>
  <si>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</si>
  <si>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</si>
  <si>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</si>
  <si>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</si>
  <si>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</si>
  <si>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</si>
  <si>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</si>
  <si>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</si>
  <si>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</si>
  <si>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</si>
  <si>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</si>
  <si>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</si>
  <si>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</si>
  <si>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</si>
  <si>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</si>
  <si>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</si>
  <si>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</si>
  <si>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</si>
  <si>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</si>
  <si>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</si>
  <si>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</si>
  <si>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</si>
  <si>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</si>
  <si>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</si>
  <si>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</si>
  <si>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</si>
  <si>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</si>
  <si>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</si>
  <si>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</si>
  <si>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</si>
  <si>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</si>
  <si>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</si>
  <si>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</si>
  <si>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</si>
  <si>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</si>
  <si>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</si>
  <si>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</si>
  <si>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</si>
  <si>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</si>
  <si>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</si>
  <si>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</si>
  <si>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</si>
  <si>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</si>
  <si>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</si>
  <si>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</si>
  <si>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</si>
  <si>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</si>
  <si>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</si>
  <si>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</si>
  <si>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</si>
  <si>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</si>
  <si>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</si>
  <si>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</si>
  <si>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</si>
  <si>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</si>
  <si>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</si>
  <si>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</si>
  <si>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</si>
  <si>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</si>
  <si>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</si>
  <si>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</si>
  <si>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</si>
  <si>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</si>
  <si>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</si>
  <si>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</si>
  <si>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</si>
  <si>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</si>
  <si>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</si>
  <si>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</si>
  <si>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</si>
  <si>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</si>
  <si>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</si>
  <si>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</si>
  <si>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</si>
  <si>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</si>
  <si>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</si>
  <si>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</si>
  <si>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</si>
  <si>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</si>
  <si>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</si>
  <si>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</si>
  <si>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</si>
  <si>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</si>
  <si>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</si>
  <si>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</si>
  <si>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</si>
  <si>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</si>
  <si>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</si>
  <si>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</si>
  <si>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</si>
  <si>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</si>
  <si>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</si>
  <si>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</si>
  <si>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</si>
  <si>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</si>
  <si>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</si>
  <si>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</si>
  <si>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</si>
  <si>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</si>
  <si>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</si>
  <si>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</si>
  <si>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</si>
  <si>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</si>
  <si>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</si>
  <si>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</si>
  <si>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</si>
  <si>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</si>
  <si>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</si>
  <si>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</si>
  <si>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</si>
  <si>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</si>
  <si>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</si>
  <si>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</si>
  <si>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</si>
  <si>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</si>
  <si>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</si>
  <si>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</si>
  <si>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</si>
  <si>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</si>
  <si>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</si>
  <si>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</si>
  <si>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</si>
  <si>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</si>
  <si>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</si>
  <si>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</si>
  <si>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</si>
  <si>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</si>
  <si>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</si>
  <si>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</si>
  <si>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</si>
  <si>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</si>
  <si>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</si>
  <si>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</si>
  <si>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</si>
  <si>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</si>
  <si>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</si>
  <si>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</si>
  <si>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</si>
  <si>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</si>
  <si>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</si>
  <si>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</si>
  <si>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</si>
  <si>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</si>
  <si>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</si>
  <si>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</si>
  <si>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</si>
  <si>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</si>
  <si>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</si>
  <si>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</si>
  <si>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</si>
  <si>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</si>
  <si>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</si>
  <si>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</si>
  <si>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</si>
  <si>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</si>
  <si>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</si>
  <si>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</si>
  <si>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</si>
  <si>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</si>
  <si>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</si>
  <si>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</si>
  <si>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</si>
  <si>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</si>
  <si>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</si>
  <si>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</si>
  <si>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</si>
  <si>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</si>
  <si>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</si>
  <si>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</si>
  <si>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</si>
  <si>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</si>
  <si>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</si>
  <si>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</si>
  <si>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</si>
  <si>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</si>
  <si>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</si>
  <si>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</si>
  <si>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</si>
  <si>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</si>
  <si>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</si>
  <si>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</si>
  <si>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</si>
  <si>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</si>
  <si>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</si>
  <si>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</si>
  <si>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</si>
  <si>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</si>
  <si>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</si>
  <si>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</si>
  <si>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</si>
  <si>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</si>
  <si>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</si>
  <si>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</si>
  <si>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</si>
  <si>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</si>
  <si>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</si>
  <si>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</si>
  <si>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</si>
  <si>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</si>
  <si>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</si>
  <si>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</si>
  <si>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</si>
  <si>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</si>
  <si>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</si>
  <si>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</si>
  <si>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</si>
  <si>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</si>
  <si>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</si>
  <si>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</si>
  <si>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</si>
  <si>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</si>
  <si>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</si>
  <si>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</si>
  <si>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</si>
  <si>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</si>
  <si>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</si>
  <si>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</si>
  <si>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</si>
  <si>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</si>
  <si>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</si>
  <si>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</si>
  <si>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</si>
  <si>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</si>
  <si>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</si>
  <si>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</si>
  <si>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</si>
  <si>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</si>
  <si>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</si>
  <si>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</si>
  <si>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</si>
  <si>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</si>
  <si>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</si>
  <si>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</si>
  <si>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</si>
  <si>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</si>
  <si>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</si>
  <si>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</si>
  <si>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</si>
  <si>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</si>
  <si>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</si>
  <si>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</si>
  <si>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</si>
  <si>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</si>
  <si>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</si>
  <si>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</si>
  <si>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</si>
  <si>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</si>
  <si>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</si>
  <si>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</si>
  <si>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</si>
  <si>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</si>
  <si>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</si>
  <si>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</si>
  <si>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</si>
  <si>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</si>
  <si>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</si>
  <si>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</si>
  <si>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</si>
  <si>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</si>
  <si>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</si>
  <si>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</si>
  <si>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</si>
  <si>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</si>
  <si>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</si>
  <si>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</si>
  <si>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</si>
  <si>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</si>
  <si>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</si>
  <si>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</si>
  <si>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</si>
  <si>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</si>
  <si>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</si>
  <si>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</si>
  <si>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</si>
  <si>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</si>
  <si>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</si>
  <si>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</si>
  <si>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</si>
  <si>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</si>
  <si>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</si>
  <si>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</si>
  <si>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</si>
  <si>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</si>
  <si>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</si>
  <si>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</si>
  <si>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</si>
  <si>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</si>
  <si>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</si>
  <si>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</si>
  <si>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</si>
  <si>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</si>
  <si>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</si>
  <si>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</si>
  <si>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</si>
  <si>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</si>
  <si>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</si>
  <si>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</si>
  <si>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</si>
  <si>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</si>
  <si>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</si>
  <si>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</si>
  <si>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</si>
  <si>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</si>
  <si>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</si>
  <si>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</si>
  <si>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</si>
  <si>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</si>
  <si>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</si>
  <si>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</si>
  <si>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</si>
  <si>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</si>
  <si>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</si>
  <si>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</si>
  <si>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</si>
  <si>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</si>
  <si>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</si>
  <si>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</si>
  <si>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</si>
  <si>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</si>
  <si>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</si>
  <si>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</si>
  <si>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</si>
  <si>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</si>
  <si>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</si>
  <si>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</si>
  <si>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</si>
  <si>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</si>
  <si>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</si>
  <si>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</si>
  <si>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</si>
  <si>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</si>
  <si>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</si>
  <si>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</si>
  <si>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</si>
  <si>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</si>
  <si>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</si>
  <si>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</si>
  <si>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</si>
  <si>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</si>
  <si>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</si>
  <si>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</si>
  <si>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</si>
  <si>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</si>
  <si>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</si>
  <si>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</si>
  <si>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</si>
  <si>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</si>
  <si>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</si>
  <si>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</si>
  <si>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</si>
  <si>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</si>
  <si>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</si>
  <si>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</si>
  <si>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</si>
  <si>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</si>
  <si>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</si>
  <si>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</si>
  <si>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</si>
  <si>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</si>
  <si>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</si>
  <si>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</si>
  <si>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</si>
  <si>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</si>
  <si>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</si>
  <si>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</si>
  <si>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</si>
  <si>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</si>
  <si>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</si>
  <si>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</si>
  <si>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</si>
  <si>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</si>
  <si>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</si>
  <si>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</si>
  <si>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</si>
  <si>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</si>
  <si>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</si>
  <si>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</si>
  <si>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</si>
  <si>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</si>
  <si>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</si>
  <si>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</si>
  <si>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</si>
  <si>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</si>
  <si>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</si>
  <si>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</si>
  <si>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</si>
  <si>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</si>
  <si>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</si>
  <si>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</si>
  <si>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</si>
  <si>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</si>
  <si>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</si>
  <si>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</si>
  <si>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</si>
  <si>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</si>
  <si>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</si>
  <si>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</si>
  <si>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</si>
  <si>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</si>
  <si>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</si>
  <si>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</si>
  <si>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</si>
  <si>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</si>
  <si>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</si>
  <si>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</si>
  <si>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</si>
  <si>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</si>
  <si>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</si>
  <si>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</si>
  <si>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</si>
  <si>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</si>
  <si>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</si>
  <si>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</si>
  <si>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</si>
  <si>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</si>
  <si>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</si>
  <si>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</si>
  <si>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</si>
  <si>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</si>
  <si>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</si>
  <si>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</si>
  <si>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</si>
  <si>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</si>
  <si>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</si>
  <si>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</si>
  <si>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</si>
  <si>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</si>
  <si>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</si>
  <si>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</si>
  <si>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</si>
  <si>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</si>
  <si>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</si>
  <si>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</si>
  <si>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</si>
  <si>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</si>
  <si>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</si>
  <si>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</si>
  <si>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</si>
  <si>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</si>
  <si>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</si>
  <si>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</si>
  <si>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</si>
  <si>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</si>
  <si>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</si>
  <si>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</si>
  <si>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</si>
  <si>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</si>
  <si>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</si>
  <si>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</si>
  <si>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</si>
  <si>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</si>
  <si>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</si>
  <si>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</si>
  <si>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</si>
  <si>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</si>
  <si>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</si>
  <si>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</si>
  <si>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</si>
  <si>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</si>
  <si>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</si>
  <si>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</si>
  <si>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</si>
  <si>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</si>
  <si>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</si>
  <si>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</si>
  <si>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</si>
  <si>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</si>
  <si>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</si>
  <si>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</si>
  <si>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</si>
  <si>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</si>
  <si>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</si>
  <si>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</si>
  <si>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</si>
  <si>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</si>
  <si>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</si>
  <si>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</si>
  <si>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</si>
  <si>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</si>
  <si>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</si>
  <si>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</si>
  <si>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</si>
  <si>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</si>
  <si>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</si>
  <si>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</si>
  <si>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</si>
  <si>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</si>
  <si>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</si>
  <si>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</si>
  <si>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</si>
  <si>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</si>
  <si>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</si>
  <si>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</si>
  <si>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</si>
  <si>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</si>
  <si>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</si>
  <si>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</si>
  <si>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</si>
  <si>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</si>
  <si>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</si>
  <si>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</si>
  <si>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</si>
  <si>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</si>
  <si>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</si>
  <si>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</si>
  <si>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</si>
  <si>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</si>
  <si>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</si>
  <si>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</si>
  <si>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</si>
  <si>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</si>
  <si>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</si>
  <si>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</si>
  <si>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</si>
  <si>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</si>
  <si>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</si>
  <si>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</si>
  <si>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</si>
  <si>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</si>
  <si>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</si>
  <si>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</si>
  <si>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</si>
  <si>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</si>
  <si>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</si>
  <si>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</si>
  <si>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</si>
  <si>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</si>
  <si>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</si>
  <si>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</si>
  <si>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</si>
  <si>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</si>
  <si>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</si>
  <si>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</si>
  <si>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</si>
  <si>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</si>
  <si>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</si>
  <si>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</si>
  <si>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</si>
  <si>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</si>
  <si>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</si>
  <si>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</si>
  <si>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</si>
  <si>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</si>
  <si>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</si>
  <si>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</si>
  <si>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</si>
  <si>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</si>
  <si>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</si>
  <si>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</si>
  <si>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</si>
  <si>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</si>
  <si>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</si>
  <si>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</si>
  <si>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</si>
  <si>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</si>
  <si>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</si>
  <si>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</si>
  <si>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</si>
  <si>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</si>
  <si>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</si>
  <si>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</si>
  <si>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</si>
  <si>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</si>
  <si>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</si>
  <si>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</si>
  <si>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</si>
  <si>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</si>
  <si>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</si>
  <si>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</si>
  <si>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</si>
  <si>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</si>
  <si>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</si>
  <si>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</si>
  <si>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</si>
  <si>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</si>
  <si>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</si>
  <si>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</si>
  <si>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</si>
  <si>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</si>
  <si>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</si>
  <si>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</si>
  <si>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</si>
  <si>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</si>
  <si>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</si>
  <si>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</si>
  <si>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</si>
  <si>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</si>
  <si>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</si>
  <si>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</si>
  <si>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</si>
  <si>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</si>
  <si>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</si>
  <si>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</si>
  <si>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</si>
  <si>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</si>
  <si>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</si>
  <si>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</si>
  <si>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</si>
  <si>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</si>
  <si>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</si>
  <si>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</si>
  <si>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</si>
  <si>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</si>
  <si>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</si>
  <si>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</si>
  <si>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</si>
  <si>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</si>
  <si>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</si>
  <si>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</si>
  <si>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</si>
  <si>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</si>
  <si>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</si>
  <si>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</si>
  <si>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</si>
  <si>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</si>
  <si>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</si>
  <si>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</si>
  <si>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</si>
  <si>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</si>
  <si>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</si>
  <si>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</si>
  <si>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</si>
  <si>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</si>
  <si>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</si>
  <si>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</si>
  <si>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</si>
  <si>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</si>
  <si>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</si>
  <si>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</si>
  <si>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</si>
  <si>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</si>
  <si>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</si>
  <si>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</si>
  <si>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</si>
  <si>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</si>
  <si>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</si>
  <si>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</si>
  <si>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</si>
  <si>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</si>
  <si>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</si>
  <si>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</si>
  <si>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</si>
  <si>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</si>
  <si>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</si>
  <si>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</si>
  <si>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</si>
  <si>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</si>
  <si>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</si>
  <si>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</si>
  <si>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</si>
  <si>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</si>
  <si>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</si>
  <si>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</si>
  <si>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</si>
  <si>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</si>
  <si>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</si>
  <si>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</si>
  <si>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</si>
  <si>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</si>
  <si>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</si>
  <si>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</si>
  <si>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</si>
  <si>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</si>
  <si>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</si>
  <si>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</si>
  <si>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</si>
  <si>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</si>
  <si>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</si>
  <si>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</si>
  <si>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</si>
  <si>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</si>
  <si>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</si>
  <si>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</si>
  <si>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</si>
  <si>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</si>
  <si>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</si>
  <si>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</si>
  <si>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</si>
  <si>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</si>
  <si>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</si>
  <si>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</si>
  <si>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</si>
  <si>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</si>
  <si>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</si>
  <si>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</si>
  <si>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</si>
  <si>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</si>
  <si>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</si>
  <si>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</si>
  <si>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</si>
  <si>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</si>
  <si>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</si>
  <si>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</si>
  <si>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</si>
  <si>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</si>
  <si>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</si>
  <si>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</si>
  <si>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</si>
  <si>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</si>
  <si>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</si>
  <si>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</si>
  <si>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</si>
  <si>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</si>
  <si>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</si>
  <si>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</si>
  <si>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</si>
  <si>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</si>
  <si>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</si>
  <si>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</si>
  <si>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</si>
  <si>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</si>
  <si>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</si>
  <si>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</si>
  <si>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</si>
  <si>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</si>
  <si>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</si>
  <si>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</si>
  <si>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</si>
  <si>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</si>
  <si>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</si>
  <si>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</si>
  <si>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</si>
  <si>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</si>
  <si>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</si>
  <si>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</si>
  <si>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</si>
  <si>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</si>
  <si>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</si>
  <si>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</si>
  <si>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</si>
  <si>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</si>
  <si>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</si>
  <si>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</si>
  <si>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</si>
  <si>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</si>
  <si>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</si>
  <si>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</si>
  <si>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</si>
  <si>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</si>
  <si>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</si>
  <si>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</si>
  <si>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</si>
  <si>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</si>
  <si>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</si>
  <si>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</si>
  <si>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</si>
  <si>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</si>
  <si>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</si>
  <si>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</si>
  <si>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</si>
  <si>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</si>
  <si>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</si>
  <si>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</si>
  <si>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</si>
  <si>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</si>
  <si>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</si>
  <si>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</si>
  <si>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</si>
  <si>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</si>
  <si>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</si>
  <si>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</si>
  <si>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</si>
  <si>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</si>
  <si>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</si>
  <si>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</si>
  <si>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</si>
  <si>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</si>
  <si>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</si>
  <si>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</si>
  <si>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</si>
  <si>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</si>
  <si>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</si>
  <si>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</si>
  <si>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</si>
  <si>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</si>
  <si>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</si>
  <si>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</si>
  <si>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</si>
  <si>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</si>
  <si>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</si>
  <si>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</si>
  <si>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</si>
  <si>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</si>
  <si>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</si>
  <si>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</si>
  <si>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</si>
  <si>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</si>
  <si>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</si>
  <si>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</si>
  <si>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</si>
  <si>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</si>
  <si>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</si>
  <si>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</si>
  <si>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</si>
  <si>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</si>
  <si>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</si>
  <si>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</si>
  <si>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</si>
  <si>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</si>
  <si>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</si>
  <si>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</si>
  <si>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</si>
  <si>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</si>
  <si>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</si>
  <si>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</si>
  <si>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</si>
  <si>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</si>
  <si>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</si>
  <si>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</si>
  <si>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</si>
  <si>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</si>
  <si>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</si>
  <si>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</si>
  <si>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</si>
  <si>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</si>
  <si>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</si>
  <si>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</si>
  <si>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</si>
  <si>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</si>
  <si>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</si>
  <si>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</si>
  <si>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</si>
  <si>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</si>
  <si>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</si>
  <si>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</si>
  <si>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</si>
  <si>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</si>
  <si>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</si>
  <si>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</si>
  <si>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</si>
  <si>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</si>
  <si>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</si>
  <si>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</si>
  <si>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</si>
  <si>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</si>
  <si>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</si>
  <si>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</si>
  <si>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</si>
  <si>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</si>
  <si>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</si>
  <si>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</si>
  <si>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</si>
  <si>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</si>
  <si>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</si>
  <si>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</si>
  <si>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</si>
  <si>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</si>
  <si>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</si>
  <si>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</si>
  <si>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</si>
  <si>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</si>
  <si>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</si>
  <si>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</si>
  <si>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</si>
  <si>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</si>
  <si>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</si>
  <si>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</si>
  <si>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</si>
  <si>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</si>
  <si>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</si>
  <si>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</si>
  <si>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</si>
  <si>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</si>
  <si>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</si>
  <si>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</si>
  <si>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</si>
  <si>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</si>
  <si>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</si>
  <si>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</si>
  <si>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</si>
  <si>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</si>
  <si>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</si>
  <si>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</si>
  <si>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</si>
  <si>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</si>
  <si>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</si>
  <si>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</si>
  <si>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</si>
  <si>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</si>
  <si>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</si>
  <si>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</si>
  <si>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</si>
  <si>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</si>
  <si>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</si>
  <si>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</si>
  <si>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</si>
  <si>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</si>
  <si>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</si>
  <si>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</si>
  <si>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</si>
  <si>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</si>
  <si>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</si>
  <si>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</si>
  <si>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</si>
  <si>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</si>
  <si>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</si>
  <si>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</si>
  <si>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</si>
  <si>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</si>
  <si>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</si>
  <si>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</si>
  <si>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</si>
  <si>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</si>
  <si>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</si>
  <si>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</si>
  <si>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</si>
  <si>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</si>
  <si>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</si>
  <si>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</si>
  <si>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</si>
  <si>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</si>
  <si>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</si>
  <si>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</si>
  <si>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</si>
  <si>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</si>
  <si>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</si>
  <si>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</si>
  <si>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</si>
  <si>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</si>
  <si>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</si>
  <si>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</si>
  <si>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</si>
  <si>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</si>
  <si>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</si>
  <si>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</si>
  <si>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</si>
  <si>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</si>
  <si>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</si>
  <si>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</si>
  <si>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</si>
  <si>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</si>
  <si>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</si>
  <si>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</si>
  <si>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</si>
  <si>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</si>
  <si>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</si>
  <si>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</si>
  <si>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</si>
  <si>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</si>
  <si>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</si>
  <si>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</si>
  <si>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</si>
  <si>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</si>
  <si>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</si>
  <si>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</si>
  <si>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</si>
  <si>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</si>
  <si>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</si>
  <si>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</si>
  <si>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</si>
  <si>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</si>
  <si>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</si>
  <si>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</si>
  <si>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</si>
  <si>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</si>
  <si>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</si>
  <si>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</si>
  <si>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</si>
  <si>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</si>
  <si>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</si>
  <si>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</si>
  <si>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</si>
  <si>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</si>
  <si>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</si>
  <si>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</si>
  <si>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</si>
  <si>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</si>
  <si>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</si>
  <si>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</si>
  <si>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</si>
  <si>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</si>
  <si>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</si>
  <si>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</si>
  <si>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</si>
  <si>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</si>
  <si>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</si>
  <si>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</si>
  <si>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</si>
  <si>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</si>
  <si>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</si>
  <si>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</si>
  <si>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</si>
  <si>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</si>
  <si>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</si>
  <si>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</si>
  <si>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</si>
  <si>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</si>
  <si>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</si>
  <si>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</si>
  <si>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</si>
  <si>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</si>
  <si>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</si>
  <si>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</si>
  <si>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</si>
  <si>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</si>
  <si>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</si>
  <si>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</si>
  <si>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</si>
  <si>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</si>
  <si>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</si>
  <si>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</si>
  <si>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</si>
  <si>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</si>
  <si>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</si>
  <si>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</si>
  <si>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</si>
  <si>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</si>
  <si>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</si>
  <si>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</si>
  <si>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</si>
  <si>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</si>
  <si>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</si>
  <si>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</si>
  <si>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</si>
  <si>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</si>
  <si>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</si>
  <si>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</si>
  <si>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</si>
  <si>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</si>
  <si>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</si>
  <si>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</si>
  <si>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</si>
  <si>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</si>
  <si>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</si>
  <si>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</si>
  <si>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</si>
  <si>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</si>
  <si>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</si>
  <si>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</si>
  <si>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</si>
  <si>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</si>
  <si>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</si>
  <si>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</si>
  <si>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</si>
  <si>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</si>
  <si>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</si>
  <si>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</si>
  <si>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</si>
  <si>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</si>
  <si>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</si>
  <si>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</si>
  <si>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</si>
  <si>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</si>
  <si>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</si>
  <si>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</si>
  <si>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</si>
  <si>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</si>
  <si>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</si>
  <si>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</si>
  <si>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</si>
  <si>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</si>
  <si>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</si>
  <si>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</si>
  <si>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</si>
  <si>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</si>
  <si>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</si>
  <si>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</si>
  <si>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</si>
  <si>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</si>
  <si>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</si>
  <si>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</si>
  <si>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</si>
  <si>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</si>
  <si>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</si>
  <si>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</si>
  <si>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</si>
  <si>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</si>
  <si>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</si>
  <si>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</si>
  <si>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</si>
  <si>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</si>
  <si>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</si>
  <si>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</si>
  <si>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</si>
  <si>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</si>
  <si>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</si>
  <si>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</si>
  <si>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</si>
  <si>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</si>
  <si>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</si>
  <si>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</si>
  <si>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</si>
  <si>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</si>
  <si>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</si>
  <si>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</si>
  <si>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</si>
  <si>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</si>
  <si>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</si>
  <si>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</si>
  <si>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</si>
  <si>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</si>
  <si>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</si>
  <si>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</si>
  <si>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</si>
  <si>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</si>
  <si>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</si>
  <si>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</si>
  <si>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</si>
  <si>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</si>
  <si>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</si>
  <si>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</si>
  <si>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</si>
  <si>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</si>
  <si>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</si>
  <si>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</si>
  <si>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</si>
  <si>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</si>
  <si>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</si>
  <si>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</si>
  <si>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</si>
  <si>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</si>
  <si>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</si>
  <si>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</si>
  <si>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</si>
  <si>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</si>
  <si>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</si>
  <si>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</si>
  <si>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</si>
  <si>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</si>
  <si>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</si>
  <si>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</si>
  <si>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</si>
  <si>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</si>
  <si>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</si>
  <si>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</si>
  <si>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</si>
  <si>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</si>
  <si>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</si>
  <si>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</si>
  <si>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</si>
  <si>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</si>
  <si>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</si>
  <si>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</si>
  <si>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</si>
  <si>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</si>
  <si>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</si>
  <si>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</si>
  <si>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</si>
  <si>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</si>
  <si>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</si>
  <si>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</si>
  <si>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</si>
  <si>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</si>
  <si>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</si>
  <si>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</si>
  <si>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</si>
  <si>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</si>
  <si>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</si>
  <si>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</si>
  <si>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</si>
  <si>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</si>
  <si>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</si>
  <si>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</si>
  <si>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</si>
  <si>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</si>
  <si>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</si>
  <si>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</si>
  <si>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</si>
  <si>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</si>
  <si>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</si>
  <si>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</si>
  <si>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</si>
  <si>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</si>
  <si>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</si>
  <si>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</si>
  <si>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</si>
  <si>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</si>
  <si>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</si>
  <si>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</si>
  <si>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</si>
  <si>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</si>
  <si>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</si>
  <si>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</si>
  <si>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</si>
  <si>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</si>
  <si>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</si>
  <si>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</si>
  <si>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</si>
  <si>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</si>
  <si>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</si>
  <si>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</si>
  <si>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</si>
  <si>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</si>
  <si>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</si>
  <si>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</si>
  <si>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</si>
  <si>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</si>
  <si>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</si>
  <si>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</si>
  <si>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</si>
  <si>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</si>
  <si>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</si>
  <si>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</si>
  <si>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</si>
  <si>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</si>
  <si>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</si>
  <si>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</si>
  <si>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</si>
  <si>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</si>
  <si>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</si>
  <si>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</si>
  <si>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</si>
  <si>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</si>
  <si>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</si>
  <si>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</si>
  <si>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</si>
  <si>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</si>
  <si>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</si>
  <si>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</si>
  <si>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</si>
  <si>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</si>
  <si>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</si>
  <si>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</si>
  <si>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</si>
  <si>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</si>
  <si>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</si>
  <si>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</si>
  <si>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</si>
  <si>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</si>
  <si>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</si>
  <si>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</si>
  <si>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</si>
  <si>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</si>
  <si>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</si>
  <si>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</si>
  <si>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</si>
  <si>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</si>
  <si>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</si>
  <si>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</si>
  <si>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</si>
  <si>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</si>
  <si>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</si>
  <si>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</si>
  <si>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</si>
  <si>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</si>
  <si>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</si>
  <si>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</si>
  <si>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</si>
  <si>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</si>
  <si>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</si>
  <si>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</si>
  <si>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</si>
  <si>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</si>
  <si>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</si>
  <si>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</si>
  <si>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</si>
  <si>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</si>
  <si>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</si>
  <si>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</si>
  <si>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</si>
  <si>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</si>
  <si>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</si>
  <si>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</si>
  <si>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</si>
  <si>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</si>
  <si>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</si>
  <si>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</si>
  <si>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</si>
  <si>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</si>
  <si>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</si>
  <si>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</si>
  <si>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</si>
  <si>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</si>
  <si>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</si>
  <si>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</si>
  <si>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</si>
  <si>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</si>
  <si>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</si>
  <si>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</si>
  <si>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</si>
  <si>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</si>
  <si>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</si>
  <si>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</si>
  <si>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</si>
  <si>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</si>
  <si>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</si>
  <si>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</si>
  <si>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</si>
  <si>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</si>
  <si>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</si>
  <si>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</si>
  <si>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</si>
  <si>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</si>
  <si>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</si>
  <si>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</si>
  <si>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</si>
  <si>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</si>
  <si>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</si>
  <si>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</si>
  <si>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</si>
  <si>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</si>
  <si>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</si>
  <si>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</si>
  <si>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</si>
  <si>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</si>
  <si>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</si>
  <si>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</si>
  <si>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</si>
  <si>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</si>
  <si>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</si>
  <si>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</si>
  <si>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</si>
  <si>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</si>
  <si>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</si>
  <si>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</si>
  <si>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</si>
  <si>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</si>
  <si>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</si>
  <si>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</si>
  <si>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</si>
  <si>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</si>
  <si>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</si>
  <si>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</si>
  <si>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</si>
  <si>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</si>
  <si>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</si>
  <si>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</si>
  <si>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</si>
  <si>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</si>
  <si>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</si>
  <si>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</si>
  <si>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</si>
  <si>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</si>
  <si>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</si>
  <si>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</si>
  <si>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</si>
  <si>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</si>
  <si>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</si>
  <si>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</si>
  <si>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</si>
  <si>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</si>
  <si>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</si>
  <si>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</si>
  <si>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</si>
  <si>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</si>
  <si>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</si>
  <si>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</si>
  <si>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</si>
  <si>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</si>
  <si>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</si>
  <si>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</si>
  <si>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</si>
  <si>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</si>
  <si>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</si>
  <si>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</si>
  <si>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</si>
  <si>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</si>
  <si>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</si>
  <si>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</si>
  <si>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</si>
  <si>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</si>
  <si>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</si>
  <si>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</si>
  <si>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</si>
  <si>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</si>
  <si>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</si>
  <si>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</si>
  <si>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</si>
  <si>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</si>
  <si>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</si>
  <si>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</si>
  <si>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</si>
  <si>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</si>
  <si>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</si>
  <si>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</si>
  <si>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</si>
  <si>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</si>
  <si>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</si>
  <si>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</si>
  <si>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</si>
  <si>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</si>
  <si>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</si>
  <si>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</si>
  <si>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</si>
  <si>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</si>
  <si>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</si>
  <si>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</si>
  <si>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</si>
  <si>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</si>
  <si>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</si>
  <si>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</si>
  <si>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</si>
  <si>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</si>
  <si>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</si>
  <si>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</si>
  <si>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</si>
  <si>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</si>
  <si>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</si>
  <si>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</si>
  <si>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</si>
  <si>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</si>
  <si>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</si>
  <si>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</si>
  <si>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</si>
  <si>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</si>
  <si>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</si>
  <si>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</si>
  <si>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</si>
  <si>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</si>
  <si>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</si>
  <si>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</si>
  <si>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</si>
  <si>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</si>
  <si>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</si>
  <si>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</si>
  <si>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</si>
  <si>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</si>
  <si>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</si>
  <si>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</si>
  <si>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</si>
  <si>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</si>
  <si>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</si>
  <si>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</si>
  <si>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</si>
  <si>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</si>
  <si>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</si>
  <si>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</si>
  <si>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</si>
  <si>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</si>
  <si>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</si>
  <si>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</si>
  <si>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</si>
  <si>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</si>
  <si>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</si>
  <si>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</si>
  <si>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</si>
  <si>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</si>
  <si>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</si>
  <si>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</si>
  <si>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</si>
  <si>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</si>
  <si>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</si>
  <si>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</si>
  <si>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</si>
  <si>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</si>
  <si>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</si>
  <si>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</si>
  <si>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</si>
  <si>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</si>
  <si>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</si>
  <si>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</si>
  <si>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</si>
  <si>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</si>
  <si>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</si>
  <si>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</si>
  <si>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</si>
  <si>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</si>
  <si>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</si>
  <si>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</si>
  <si>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</si>
  <si>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</si>
  <si>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</si>
  <si>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</si>
  <si>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</si>
  <si>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</si>
  <si>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</si>
  <si>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</si>
  <si>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</si>
  <si>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</si>
  <si>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</si>
  <si>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</si>
  <si>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</si>
  <si>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</si>
  <si>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</si>
  <si>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</si>
  <si>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</si>
  <si>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</si>
  <si>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</si>
  <si>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</si>
  <si>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</si>
  <si>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</si>
  <si>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</si>
  <si>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</si>
  <si>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</si>
  <si>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</si>
  <si>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</si>
  <si>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</si>
  <si>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</si>
  <si>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</si>
  <si>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</si>
  <si>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</si>
  <si>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</si>
  <si>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</si>
  <si>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</si>
  <si>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</si>
  <si>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</si>
  <si>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</si>
  <si>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</si>
  <si>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</si>
  <si>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</si>
  <si>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</si>
  <si>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</si>
  <si>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</si>
  <si>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</si>
  <si>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</si>
  <si>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</si>
  <si>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</si>
  <si>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</si>
  <si>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</si>
  <si>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</si>
  <si>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</si>
  <si>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</si>
  <si>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</si>
  <si>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</si>
  <si>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</si>
  <si>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</si>
  <si>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</si>
  <si>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</si>
  <si>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</si>
  <si>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</si>
  <si>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</si>
  <si>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</si>
  <si>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</si>
  <si>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</si>
  <si>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</si>
  <si>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</si>
  <si>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</si>
  <si>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</si>
  <si>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</si>
  <si>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</si>
  <si>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</si>
  <si>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</si>
  <si>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</si>
  <si>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</si>
  <si>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</si>
  <si>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</si>
  <si>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</si>
  <si>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</si>
  <si>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</si>
  <si>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</si>
  <si>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</si>
  <si>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</si>
  <si>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</si>
  <si>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</si>
  <si>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</si>
  <si>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</si>
  <si>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</si>
  <si>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</si>
  <si>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</si>
  <si>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</si>
  <si>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</si>
  <si>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</si>
  <si>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</si>
  <si>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</si>
  <si>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</si>
  <si>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</si>
  <si>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</si>
  <si>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</si>
  <si>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</si>
  <si>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</si>
  <si>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</si>
  <si>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</si>
  <si>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</si>
  <si>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</si>
  <si>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</si>
  <si>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</si>
  <si>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</si>
  <si>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</si>
  <si>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</si>
  <si>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</si>
  <si>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</si>
  <si>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</si>
  <si>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</si>
  <si>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</si>
  <si>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</si>
  <si>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</si>
  <si>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</si>
  <si>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</si>
  <si>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</si>
  <si>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</si>
  <si>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</si>
  <si>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</si>
  <si>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</si>
  <si>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</si>
  <si>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</si>
  <si>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</si>
  <si>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</si>
  <si>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</si>
  <si>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</si>
  <si>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</si>
  <si>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</si>
  <si>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</si>
  <si>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</si>
  <si>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</si>
  <si>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</si>
  <si>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</si>
  <si>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</si>
  <si>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</si>
  <si>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</si>
  <si>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</si>
  <si>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</si>
  <si>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</si>
  <si>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</si>
  <si>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</si>
  <si>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</si>
  <si>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</si>
  <si>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</si>
  <si>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</si>
  <si>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</si>
  <si>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</si>
  <si>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</si>
  <si>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</si>
  <si>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</si>
  <si>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</si>
  <si>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</si>
  <si>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</si>
  <si>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</si>
  <si>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</si>
  <si>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</si>
  <si>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</si>
  <si>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</si>
  <si>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</si>
  <si>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</si>
  <si>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</si>
  <si>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</si>
  <si>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</si>
  <si>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</si>
  <si>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</si>
  <si>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</si>
  <si>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</si>
  <si>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</si>
  <si>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</si>
  <si>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</si>
  <si>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</si>
  <si>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</si>
  <si>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</si>
  <si>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</si>
  <si>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</si>
  <si>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</si>
  <si>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</si>
  <si>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</si>
  <si>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</si>
  <si>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</si>
  <si>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</si>
  <si>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</si>
  <si>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</si>
  <si>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</si>
  <si>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</si>
  <si>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</si>
  <si>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</si>
  <si>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</si>
  <si>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</si>
  <si>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</si>
  <si>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</si>
  <si>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</si>
  <si>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</si>
  <si>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</si>
  <si>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</si>
  <si>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</si>
  <si>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</si>
  <si>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</si>
  <si>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</si>
  <si>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</si>
  <si>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</si>
  <si>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</si>
  <si>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</si>
  <si>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</si>
  <si>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</si>
  <si>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</si>
  <si>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</si>
  <si>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</si>
  <si>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</si>
  <si>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</si>
  <si>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</si>
  <si>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</si>
  <si>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</si>
  <si>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</si>
  <si>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</si>
  <si>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</si>
  <si>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</si>
  <si>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</si>
  <si>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</si>
  <si>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</si>
  <si>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</si>
  <si>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</si>
  <si>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</si>
  <si>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</si>
  <si>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</si>
  <si>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</si>
  <si>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</si>
  <si>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</si>
  <si>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</si>
  <si>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</si>
  <si>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</si>
  <si>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</si>
  <si>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</si>
  <si>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</si>
  <si>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</si>
  <si>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</si>
  <si>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</si>
  <si>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</si>
  <si>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</si>
  <si>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</si>
  <si>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</si>
  <si>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</si>
  <si>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</si>
  <si>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</si>
  <si>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</si>
  <si>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</si>
  <si>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</si>
  <si>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</si>
  <si>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</si>
  <si>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</si>
  <si>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</si>
  <si>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</si>
  <si>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</si>
  <si>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</si>
  <si>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</si>
  <si>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</si>
  <si>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</si>
  <si>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</si>
  <si>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</si>
  <si>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</si>
  <si>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</si>
  <si>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</si>
  <si>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</si>
  <si>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</si>
  <si>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</si>
  <si>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</si>
  <si>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</si>
  <si>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</si>
  <si>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</si>
  <si>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</si>
  <si>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</si>
  <si>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</si>
  <si>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</si>
  <si>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</si>
  <si>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</si>
  <si>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</si>
  <si>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</si>
  <si>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</si>
  <si>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</si>
  <si>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</si>
  <si>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</si>
  <si>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</si>
  <si>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</si>
  <si>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</si>
  <si>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</si>
  <si>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</si>
  <si>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</si>
  <si>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</si>
  <si>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</si>
  <si>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</si>
  <si>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</si>
  <si>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</si>
  <si>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</si>
  <si>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</si>
  <si>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</si>
  <si>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</si>
  <si>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</si>
  <si>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</si>
  <si>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</si>
  <si>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</si>
  <si>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</si>
  <si>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</si>
  <si>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</si>
  <si>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</si>
  <si>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</si>
  <si>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</si>
  <si>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</si>
  <si>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</si>
  <si>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</si>
  <si>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</si>
  <si>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</si>
  <si>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</si>
  <si>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</si>
  <si>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</si>
  <si>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</si>
  <si>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</si>
  <si>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</si>
  <si>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</si>
  <si>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</si>
  <si>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</si>
  <si>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</si>
  <si>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</si>
  <si>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</si>
  <si>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</si>
  <si>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</si>
  <si>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</si>
  <si>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</si>
  <si>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</si>
  <si>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</si>
  <si>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</si>
  <si>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</si>
  <si>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</si>
  <si>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</si>
  <si>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</si>
  <si>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</si>
  <si>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</si>
  <si>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</si>
  <si>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</si>
  <si>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</si>
  <si>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</si>
  <si>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</si>
  <si>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</si>
  <si>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</si>
  <si>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</si>
  <si>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</si>
  <si>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</si>
  <si>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</si>
  <si>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</si>
  <si>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</si>
  <si>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</si>
  <si>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</si>
  <si>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</si>
  <si>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</si>
  <si>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</si>
  <si>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</si>
  <si>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</si>
  <si>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</si>
  <si>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</si>
  <si>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</si>
  <si>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</si>
  <si>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</si>
  <si>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</si>
  <si>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</si>
  <si>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</si>
  <si>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</si>
  <si>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</si>
  <si>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</si>
  <si>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</si>
  <si>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</si>
  <si>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</si>
  <si>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</si>
  <si>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</si>
  <si>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</si>
  <si>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</si>
  <si>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</si>
  <si>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</si>
  <si>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</si>
  <si>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</si>
  <si>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</si>
  <si>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</si>
  <si>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</si>
  <si>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</si>
  <si>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</si>
  <si>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</si>
  <si>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</si>
  <si>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</si>
  <si>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</si>
  <si>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</si>
  <si>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</si>
  <si>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</si>
  <si>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</si>
  <si>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</si>
  <si>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</si>
  <si>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</si>
  <si>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</si>
  <si>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</si>
  <si>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</si>
  <si>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</si>
  <si>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</si>
  <si>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</si>
  <si>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</si>
  <si>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</si>
  <si>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</si>
  <si>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</si>
  <si>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</si>
  <si>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</si>
  <si>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</si>
  <si>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</si>
  <si>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</si>
  <si>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</si>
  <si>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</si>
  <si>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</si>
  <si>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</si>
  <si>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</si>
  <si>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</si>
  <si>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</si>
  <si>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</si>
  <si>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</si>
  <si>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</si>
  <si>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</si>
  <si>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</si>
  <si>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</si>
  <si>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</si>
  <si>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</si>
  <si>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</si>
  <si>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</si>
  <si>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</si>
  <si>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</si>
  <si>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</si>
  <si>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</si>
  <si>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</si>
  <si>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</si>
  <si>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</si>
  <si>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</si>
  <si>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</si>
  <si>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</si>
  <si>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</si>
  <si>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</si>
  <si>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</si>
  <si>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</si>
  <si>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</si>
  <si>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</si>
  <si>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</si>
  <si>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</si>
  <si>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</si>
  <si>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</si>
  <si>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</si>
  <si>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</si>
  <si>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</si>
  <si>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</si>
  <si>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</si>
  <si>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</si>
  <si>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</si>
  <si>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</si>
  <si>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</si>
  <si>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</si>
  <si>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</si>
  <si>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</si>
  <si>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</si>
  <si>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</si>
  <si>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</si>
  <si>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</si>
  <si>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</si>
  <si>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</si>
  <si>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</si>
  <si>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</si>
  <si>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</si>
  <si>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</si>
  <si>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</si>
  <si>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</si>
  <si>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</si>
  <si>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</si>
  <si>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</si>
  <si>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</si>
  <si>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</si>
  <si>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</si>
  <si>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</si>
  <si>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</si>
  <si>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</si>
  <si>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</si>
  <si>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</si>
  <si>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</si>
  <si>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</si>
  <si>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</si>
  <si>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</si>
  <si>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</si>
  <si>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</si>
  <si>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</si>
  <si>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</si>
  <si>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</si>
  <si>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</si>
  <si>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</si>
  <si>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</si>
  <si>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</si>
  <si>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</si>
  <si>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</si>
  <si>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</si>
  <si>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</si>
  <si>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</si>
  <si>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</si>
  <si>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</si>
  <si>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</si>
  <si>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</si>
  <si>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</si>
  <si>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</si>
  <si>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</si>
  <si>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</si>
  <si>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</si>
  <si>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</si>
  <si>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</si>
  <si>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</si>
  <si>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</si>
  <si>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</si>
  <si>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</si>
  <si>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</si>
  <si>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</si>
  <si>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</si>
  <si>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</si>
  <si>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</si>
  <si>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</si>
  <si>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</si>
  <si>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</si>
  <si>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</si>
  <si>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</si>
  <si>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</si>
  <si>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</si>
  <si>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</si>
  <si>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</si>
  <si>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</si>
  <si>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</si>
  <si>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</si>
  <si>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</si>
  <si>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</si>
  <si>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</si>
  <si>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</si>
  <si>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</si>
  <si>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</si>
  <si>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</si>
  <si>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</si>
  <si>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</si>
  <si>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</si>
  <si>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</si>
  <si>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</si>
  <si>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</si>
  <si>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</si>
  <si>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</si>
  <si>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</si>
  <si>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</si>
  <si>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</si>
  <si>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</si>
  <si>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</si>
  <si>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</si>
  <si>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</si>
  <si>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</si>
  <si>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</si>
  <si>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</si>
  <si>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</si>
  <si>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</si>
  <si>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</si>
  <si>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</si>
  <si>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</si>
  <si>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</si>
  <si>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</si>
  <si>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</si>
  <si>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</si>
  <si>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</si>
  <si>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</si>
  <si>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</si>
  <si>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</si>
  <si>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</si>
  <si>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</si>
  <si>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</si>
  <si>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</si>
  <si>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</si>
  <si>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</si>
  <si>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</si>
  <si>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</si>
  <si>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</si>
  <si>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</si>
  <si>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</si>
  <si>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</si>
  <si>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</si>
  <si>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</si>
  <si>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</si>
  <si>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</si>
  <si>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</si>
  <si>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</si>
  <si>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</si>
  <si>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</si>
  <si>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</si>
  <si>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</si>
  <si>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</si>
  <si>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</si>
  <si>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</si>
  <si>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</si>
  <si>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</si>
  <si>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</si>
  <si>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</si>
  <si>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</si>
  <si>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</si>
  <si>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</si>
  <si>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</si>
  <si>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</si>
  <si>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</si>
  <si>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</si>
  <si>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</si>
  <si>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</si>
  <si>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</si>
  <si>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</si>
  <si>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</si>
  <si>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</si>
  <si>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</si>
  <si>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</si>
  <si>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</si>
  <si>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</si>
  <si>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</si>
  <si>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</si>
  <si>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</si>
  <si>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</si>
  <si>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</si>
  <si>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</si>
  <si>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</si>
  <si>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</si>
  <si>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</si>
  <si>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</si>
  <si>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</si>
  <si>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</si>
  <si>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</si>
  <si>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</si>
  <si>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</si>
  <si>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</si>
  <si>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</si>
  <si>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</si>
  <si>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</si>
  <si>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</si>
  <si>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</si>
  <si>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</si>
  <si>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</si>
  <si>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</si>
  <si>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</si>
  <si>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</si>
  <si>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</si>
  <si>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</si>
  <si>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</si>
  <si>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</si>
  <si>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</si>
  <si>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</si>
  <si>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</si>
  <si>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</si>
  <si>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</si>
  <si>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</si>
  <si>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</si>
  <si>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</si>
  <si>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</si>
  <si>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</si>
  <si>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</si>
  <si>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</si>
  <si>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</si>
  <si>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</si>
  <si>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</si>
  <si>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</si>
  <si>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</si>
  <si>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</si>
  <si>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</si>
  <si>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</si>
  <si>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</si>
  <si>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</si>
  <si>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</si>
  <si>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</si>
  <si>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</si>
  <si>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</si>
  <si>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</si>
  <si>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</si>
  <si>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</si>
  <si>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</si>
  <si>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</si>
  <si>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</si>
  <si>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</si>
  <si>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</si>
  <si>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</si>
  <si>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</si>
  <si>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</si>
  <si>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</si>
  <si>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</si>
  <si>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</si>
  <si>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</si>
  <si>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</si>
  <si>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</si>
  <si>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</si>
  <si>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</si>
  <si>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</si>
  <si>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</si>
  <si>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</si>
  <si>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</si>
  <si>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</si>
  <si>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</si>
  <si>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</si>
  <si>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</si>
  <si>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</si>
  <si>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</si>
  <si>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</si>
  <si>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</si>
  <si>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</si>
  <si>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</si>
  <si>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</si>
  <si>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</si>
  <si>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</si>
  <si>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</si>
  <si>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</si>
  <si>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</si>
  <si>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</si>
  <si>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</si>
  <si>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</si>
  <si>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</si>
  <si>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</si>
  <si>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</si>
  <si>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</si>
  <si>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</si>
  <si>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</si>
  <si>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</si>
  <si>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</si>
  <si>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</si>
  <si>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</si>
  <si>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</si>
  <si>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</si>
  <si>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</si>
  <si>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</si>
  <si>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</si>
  <si>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</si>
  <si>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</si>
  <si>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</si>
  <si>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</si>
  <si>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</si>
  <si>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</si>
  <si>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</si>
  <si>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</si>
  <si>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</si>
  <si>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</si>
  <si>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</si>
  <si>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</si>
  <si>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</si>
  <si>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</si>
  <si>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</si>
  <si>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</si>
  <si>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</si>
  <si>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</si>
  <si>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</si>
  <si>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</si>
  <si>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</si>
  <si>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</si>
  <si>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</si>
  <si>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</si>
  <si>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</si>
  <si>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</si>
  <si>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</si>
  <si>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</si>
  <si>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</si>
  <si>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</si>
  <si>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</si>
  <si>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</si>
  <si>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</si>
  <si>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</si>
  <si>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</si>
  <si>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</si>
  <si>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</si>
  <si>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</si>
  <si>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</si>
  <si>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</si>
  <si>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</si>
  <si>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</si>
  <si>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</si>
  <si>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</si>
  <si>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</si>
  <si>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</si>
  <si>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</si>
  <si>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</si>
  <si>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</si>
  <si>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</si>
  <si>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</si>
  <si>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</si>
  <si>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</si>
  <si>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</si>
  <si>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</si>
  <si>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</si>
  <si>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</si>
  <si>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</si>
  <si>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</si>
  <si>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</si>
  <si>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</si>
  <si>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</si>
  <si>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</si>
  <si>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</si>
  <si>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</si>
  <si>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</si>
  <si>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</si>
  <si>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</si>
  <si>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</si>
  <si>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</si>
  <si>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</si>
  <si>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</si>
  <si>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</si>
  <si>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</si>
  <si>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</si>
  <si>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</si>
  <si>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</si>
  <si>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</si>
  <si>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</si>
  <si>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</si>
  <si>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</si>
  <si>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</si>
  <si>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</si>
  <si>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</si>
  <si>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</si>
  <si>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</si>
  <si>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</si>
  <si>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</si>
  <si>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</si>
  <si>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</si>
  <si>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</si>
  <si>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</si>
  <si>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</si>
  <si>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</si>
  <si>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</si>
  <si>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</si>
  <si>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</si>
  <si>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</si>
  <si>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</si>
  <si>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</si>
  <si>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</si>
  <si>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</si>
  <si>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</si>
  <si>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</si>
  <si>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</si>
  <si>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</si>
  <si>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</si>
  <si>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</si>
  <si>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</si>
  <si>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</si>
  <si>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</si>
  <si>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</si>
  <si>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</si>
  <si>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</si>
  <si>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</si>
  <si>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</si>
  <si>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</si>
  <si>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</si>
  <si>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</si>
  <si>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</si>
  <si>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</si>
  <si>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</si>
  <si>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</si>
  <si>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</si>
  <si>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</si>
  <si>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</si>
  <si>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</si>
  <si>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</si>
  <si>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</si>
  <si>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</si>
  <si>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</si>
  <si>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</si>
  <si>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</si>
  <si>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</si>
  <si>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</si>
  <si>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</si>
  <si>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</si>
  <si>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</si>
  <si>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</si>
  <si>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</si>
  <si>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</si>
  <si>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</si>
  <si>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</si>
  <si>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</si>
  <si>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</si>
  <si>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</si>
  <si>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</si>
  <si>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</si>
  <si>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</si>
  <si>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</si>
  <si>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</si>
  <si>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</si>
  <si>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</si>
  <si>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</si>
  <si>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</si>
  <si>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</si>
  <si>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</si>
  <si>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</si>
  <si>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</si>
  <si>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</si>
  <si>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</si>
  <si>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</si>
  <si>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</si>
  <si>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</si>
  <si>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</si>
  <si>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</si>
  <si>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</si>
  <si>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</si>
  <si>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</si>
  <si>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</si>
  <si>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</si>
  <si>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</si>
  <si>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</si>
  <si>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</si>
  <si>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</si>
  <si>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</si>
  <si>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</si>
  <si>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</si>
  <si>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</si>
  <si>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</si>
  <si>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</si>
  <si>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</si>
  <si>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</si>
  <si>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</si>
  <si>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</si>
  <si>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</si>
  <si>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</si>
  <si>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</si>
  <si>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</si>
  <si>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</si>
  <si>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</si>
  <si>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</si>
  <si>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</si>
  <si>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</si>
  <si>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</si>
  <si>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</si>
  <si>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</si>
  <si>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</si>
  <si>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</si>
  <si>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</si>
  <si>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</si>
  <si>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</si>
  <si>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</si>
  <si>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</si>
  <si>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</si>
  <si>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</si>
  <si>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</si>
  <si>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</si>
  <si>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</si>
  <si>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</si>
  <si>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</si>
  <si>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</si>
  <si>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</si>
  <si>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</si>
  <si>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</si>
  <si>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</si>
  <si>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</si>
  <si>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</si>
  <si>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</si>
  <si>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</si>
  <si>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</si>
  <si>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</si>
  <si>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</si>
  <si>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</si>
  <si>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</si>
  <si>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</si>
  <si>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</si>
  <si>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</si>
  <si>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</si>
  <si>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</si>
  <si>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</si>
  <si>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</si>
  <si>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</si>
  <si>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</si>
  <si>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</si>
  <si>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</si>
  <si>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</si>
  <si>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</si>
  <si>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</si>
  <si>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</si>
  <si>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</si>
  <si>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</si>
  <si>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</si>
  <si>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</si>
  <si>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</si>
  <si>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</si>
  <si>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</si>
  <si>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</si>
  <si>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</si>
  <si>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</si>
  <si>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</si>
  <si>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</si>
  <si>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</si>
  <si>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</si>
  <si>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</si>
  <si>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</si>
  <si>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</si>
  <si>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</si>
  <si>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</si>
  <si>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</si>
  <si>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</si>
  <si>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</si>
  <si>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</si>
  <si>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</si>
  <si>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</si>
  <si>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</si>
  <si>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</si>
  <si>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</si>
  <si>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</si>
  <si>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</si>
  <si>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</si>
  <si>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</si>
  <si>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</si>
  <si>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</si>
  <si>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</si>
  <si>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</si>
  <si>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</si>
  <si>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</si>
  <si>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</si>
  <si>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</si>
  <si>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</si>
  <si>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</si>
  <si>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</si>
  <si>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</si>
  <si>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</si>
  <si>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</si>
  <si>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</si>
  <si>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</si>
  <si>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</si>
  <si>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</si>
  <si>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</si>
  <si>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</si>
  <si>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</si>
  <si>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</si>
  <si>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</si>
  <si>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</si>
  <si>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</si>
  <si>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</si>
  <si>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</si>
  <si>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</si>
  <si>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</si>
  <si>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</si>
  <si>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</si>
  <si>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</si>
  <si>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</si>
  <si>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</si>
  <si>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</si>
  <si>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</si>
  <si>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</si>
  <si>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</si>
  <si>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</si>
  <si>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</si>
  <si>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</si>
  <si>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</si>
  <si>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</si>
  <si>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</si>
  <si>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</si>
  <si>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</si>
  <si>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</si>
  <si>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</si>
  <si>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</si>
  <si>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</si>
  <si>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</si>
  <si>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</si>
  <si>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</si>
  <si>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</si>
  <si>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</si>
  <si>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</si>
  <si>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</si>
  <si>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</si>
  <si>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</si>
  <si>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</si>
  <si>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</si>
  <si>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</si>
  <si>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</si>
  <si>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</si>
  <si>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</si>
  <si>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</si>
  <si>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</si>
  <si>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</si>
  <si>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</si>
  <si>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</si>
  <si>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</si>
  <si>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</si>
  <si>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</si>
  <si>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</si>
  <si>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</si>
  <si>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</si>
  <si>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</si>
  <si>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</si>
  <si>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</si>
  <si>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</si>
  <si>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</si>
  <si>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</si>
  <si>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2023-1</t>
    <phoneticPr fontId="4" type="noConversion"/>
  </si>
  <si>
    <t>2022-4</t>
    <phoneticPr fontId="4"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</si>
  <si>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</si>
  <si>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</si>
  <si>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</si>
  <si>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</si>
  <si>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</si>
  <si>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</si>
  <si>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t>公示增长率-非中心城区</t>
    <phoneticPr fontId="143"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</si>
  <si>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</si>
  <si>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</si>
  <si>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</si>
  <si>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</si>
  <si>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</si>
  <si>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</si>
  <si>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</si>
  <si>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</si>
  <si>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</si>
  <si>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</si>
  <si>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</si>
  <si>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</si>
  <si>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</si>
  <si>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公示增长率-中心城区</t>
    <phoneticPr fontId="143"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</si>
  <si>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</si>
  <si>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</si>
  <si>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</si>
  <si>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</si>
  <si>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</si>
  <si>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</si>
  <si>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</si>
  <si>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</si>
  <si>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</si>
  <si>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</si>
  <si>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</si>
  <si>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</si>
  <si>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</si>
  <si>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</si>
  <si>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</si>
  <si>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</si>
  <si>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</si>
  <si>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</si>
  <si>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</si>
  <si>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</si>
  <si>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</si>
  <si>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</si>
  <si>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</si>
  <si>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</si>
  <si>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</si>
  <si>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</si>
  <si>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</si>
  <si>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</si>
  <si>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</si>
  <si>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</si>
  <si>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</si>
  <si>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</si>
  <si>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</si>
  <si>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</si>
  <si>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</si>
  <si>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</si>
  <si>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</si>
  <si>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</si>
  <si>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</si>
  <si>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</si>
  <si>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</si>
  <si>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</si>
  <si>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</si>
  <si>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</si>
  <si>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</si>
  <si>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</si>
  <si>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</si>
  <si>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</si>
  <si>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</si>
  <si>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</si>
  <si>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</si>
  <si>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</si>
  <si>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</si>
  <si>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</si>
  <si>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</si>
  <si>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</si>
  <si>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</si>
  <si>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</si>
  <si>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</si>
  <si>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</si>
  <si>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</si>
  <si>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</si>
  <si>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</si>
  <si>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</si>
  <si>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</si>
  <si>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</si>
  <si>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</si>
  <si>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</si>
  <si>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</si>
  <si>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</si>
  <si>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</si>
  <si>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</si>
  <si>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</si>
  <si>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</si>
  <si>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</si>
  <si>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</si>
  <si>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</si>
  <si>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</si>
  <si>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</si>
  <si>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</si>
  <si>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</si>
  <si>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</si>
  <si>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</si>
  <si>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</si>
  <si>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</si>
  <si>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</si>
  <si>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</si>
  <si>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</si>
  <si>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</si>
  <si>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</si>
  <si>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</si>
  <si>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</si>
  <si>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</si>
  <si>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</si>
  <si>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</si>
  <si>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</si>
  <si>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</si>
  <si>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</si>
  <si>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</si>
  <si>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</si>
  <si>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</si>
  <si>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</si>
  <si>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</si>
  <si>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</si>
  <si>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</si>
  <si>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</si>
  <si>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</si>
  <si>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</si>
  <si>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</si>
  <si>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</si>
  <si>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</si>
  <si>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</si>
  <si>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</si>
  <si>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</si>
  <si>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</si>
  <si>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</si>
  <si>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</si>
  <si>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</si>
  <si>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</si>
  <si>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</si>
  <si>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</si>
  <si>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</si>
  <si>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</si>
  <si>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</si>
  <si>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</si>
  <si>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</si>
  <si>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</si>
  <si>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</si>
  <si>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</si>
  <si>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</si>
  <si>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</si>
  <si>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</si>
  <si>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</si>
  <si>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</si>
  <si>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</si>
  <si>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</si>
  <si>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</si>
  <si>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</si>
  <si>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</si>
  <si>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</si>
  <si>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</si>
  <si>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</si>
  <si>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</si>
  <si>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</si>
  <si>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</si>
  <si>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</si>
  <si>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</si>
  <si>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</si>
  <si>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</si>
  <si>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</si>
  <si>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</si>
  <si>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</si>
  <si>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</si>
  <si>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</si>
  <si>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</si>
  <si>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</si>
  <si>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</si>
  <si>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</si>
  <si>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</si>
  <si>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</si>
  <si>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</si>
  <si>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</si>
  <si>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</si>
  <si>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</si>
  <si>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</si>
  <si>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</si>
  <si>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</si>
  <si>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</si>
  <si>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</si>
  <si>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</si>
  <si>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</si>
  <si>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</si>
  <si>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</si>
  <si>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</si>
  <si>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</si>
  <si>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</si>
  <si>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</si>
  <si>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</si>
  <si>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</si>
  <si>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</si>
  <si>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</si>
  <si>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</si>
  <si>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</si>
  <si>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</si>
  <si>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</si>
  <si>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</si>
  <si>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</si>
  <si>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</si>
  <si>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</si>
  <si>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</si>
  <si>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</si>
  <si>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</si>
  <si>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</si>
  <si>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</si>
  <si>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</si>
  <si>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</si>
  <si>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</si>
  <si>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</si>
  <si>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</si>
  <si>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</si>
  <si>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</si>
  <si>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</si>
  <si>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</si>
  <si>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</si>
  <si>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</si>
  <si>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</si>
  <si>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</si>
  <si>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</si>
  <si>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</si>
  <si>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</si>
  <si>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</si>
  <si>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</si>
  <si>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</si>
  <si>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</si>
  <si>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</si>
  <si>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</si>
  <si>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</si>
  <si>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</si>
  <si>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</si>
  <si>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</si>
  <si>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</si>
  <si>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</si>
  <si>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</si>
  <si>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</si>
  <si>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</si>
  <si>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</si>
  <si>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</si>
  <si>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</si>
  <si>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</si>
  <si>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</si>
  <si>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</si>
  <si>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</si>
  <si>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</si>
  <si>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</si>
  <si>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</si>
  <si>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</si>
  <si>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</si>
  <si>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</si>
  <si>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</si>
  <si>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</si>
  <si>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</si>
  <si>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</si>
  <si>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</si>
  <si>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</si>
  <si>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</si>
  <si>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</si>
  <si>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</si>
  <si>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</si>
  <si>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</si>
  <si>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</si>
  <si>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</si>
  <si>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</si>
  <si>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</si>
  <si>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</si>
  <si>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</si>
  <si>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</si>
  <si>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</si>
  <si>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</si>
  <si>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</si>
  <si>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</si>
  <si>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</si>
  <si>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</si>
  <si>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</si>
  <si>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</si>
  <si>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</si>
  <si>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</si>
  <si>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</si>
  <si>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</si>
  <si>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</si>
  <si>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</si>
  <si>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</si>
  <si>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</si>
  <si>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</si>
  <si>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</si>
  <si>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</si>
  <si>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</si>
  <si>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</si>
  <si>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</si>
  <si>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</si>
  <si>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</si>
  <si>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</si>
  <si>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</si>
  <si>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</si>
  <si>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</si>
  <si>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</si>
  <si>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</si>
  <si>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</si>
  <si>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</si>
  <si>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</si>
  <si>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</si>
  <si>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</si>
  <si>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</si>
  <si>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</si>
  <si>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</si>
  <si>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</si>
  <si>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</si>
  <si>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</si>
  <si>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</si>
  <si>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</si>
  <si>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</si>
  <si>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</si>
  <si>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</si>
  <si>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</si>
  <si>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</si>
  <si>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</si>
  <si>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</si>
  <si>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</si>
  <si>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</si>
  <si>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</si>
  <si>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</si>
  <si>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</si>
  <si>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</si>
  <si>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</si>
  <si>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</si>
  <si>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</si>
  <si>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</si>
  <si>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</si>
  <si>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</si>
  <si>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</si>
  <si>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</si>
  <si>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</si>
  <si>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</si>
  <si>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</si>
  <si>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</si>
  <si>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</si>
  <si>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</si>
  <si>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</si>
  <si>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</si>
  <si>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</si>
  <si>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</si>
  <si>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</si>
  <si>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</si>
  <si>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</si>
  <si>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</si>
  <si>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</si>
  <si>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</si>
  <si>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</si>
  <si>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</si>
  <si>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</si>
  <si>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</si>
  <si>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</si>
  <si>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</si>
  <si>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</si>
  <si>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</si>
  <si>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</si>
  <si>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</si>
  <si>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</si>
  <si>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</si>
  <si>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</si>
  <si>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</si>
  <si>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</si>
  <si>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</si>
  <si>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</si>
  <si>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</si>
  <si>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</si>
  <si>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</si>
  <si>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</si>
  <si>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</si>
  <si>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</si>
  <si>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</si>
  <si>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</si>
  <si>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</si>
  <si>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</si>
  <si>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</si>
  <si>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</si>
  <si>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</si>
  <si>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</si>
  <si>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</si>
  <si>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</si>
  <si>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</si>
  <si>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</si>
  <si>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</si>
  <si>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</si>
  <si>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</si>
  <si>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</si>
  <si>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</si>
  <si>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</si>
  <si>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</si>
  <si>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</si>
  <si>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</si>
  <si>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</si>
  <si>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</si>
  <si>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</si>
  <si>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</si>
  <si>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</si>
  <si>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</si>
  <si>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</si>
  <si>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</si>
  <si>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</si>
  <si>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</si>
  <si>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</si>
  <si>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</si>
  <si>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</si>
  <si>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</si>
  <si>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</si>
  <si>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</si>
  <si>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</si>
  <si>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</si>
  <si>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</si>
  <si>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</si>
  <si>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</si>
  <si>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</si>
  <si>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</si>
  <si>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</si>
  <si>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</si>
  <si>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</si>
  <si>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</si>
  <si>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</si>
  <si>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</si>
  <si>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</si>
  <si>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</si>
  <si>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</si>
  <si>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</si>
  <si>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</si>
  <si>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</si>
  <si>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</si>
  <si>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</si>
  <si>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</si>
  <si>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</si>
  <si>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</si>
  <si>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</si>
  <si>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</si>
  <si>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</si>
  <si>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</si>
  <si>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</si>
  <si>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</si>
  <si>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</si>
  <si>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</si>
  <si>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</si>
  <si>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</si>
  <si>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</si>
  <si>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</si>
  <si>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</si>
  <si>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</si>
  <si>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</si>
  <si>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</si>
  <si>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</si>
  <si>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</si>
  <si>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</si>
  <si>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</si>
  <si>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</si>
  <si>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</si>
  <si>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</si>
  <si>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</si>
  <si>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</si>
  <si>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</si>
  <si>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</si>
  <si>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</si>
  <si>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</si>
  <si>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</si>
  <si>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</si>
  <si>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</si>
  <si>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</si>
  <si>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</si>
  <si>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</si>
  <si>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</si>
  <si>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</si>
  <si>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</si>
  <si>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</si>
  <si>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</si>
  <si>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</si>
  <si>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</si>
  <si>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</si>
  <si>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</si>
  <si>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</si>
  <si>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</si>
  <si>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</si>
  <si>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</si>
  <si>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</si>
  <si>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</si>
  <si>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</si>
  <si>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</si>
  <si>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</si>
  <si>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</si>
  <si>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</si>
  <si>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</si>
  <si>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</si>
  <si>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</si>
  <si>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</si>
  <si>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</si>
  <si>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</si>
  <si>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</si>
  <si>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</si>
  <si>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</si>
  <si>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</si>
  <si>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</si>
  <si>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</si>
  <si>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</si>
  <si>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</si>
  <si>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</si>
  <si>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</si>
  <si>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</si>
  <si>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</si>
  <si>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</si>
  <si>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</si>
  <si>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</si>
  <si>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</si>
  <si>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</si>
  <si>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</si>
  <si>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</si>
  <si>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</si>
  <si>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</si>
  <si>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</si>
  <si>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</si>
  <si>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</si>
  <si>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</si>
  <si>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</si>
  <si>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</si>
  <si>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</si>
  <si>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</si>
  <si>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</si>
  <si>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</si>
  <si>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</si>
  <si>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</si>
  <si>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</si>
  <si>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</si>
  <si>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</si>
  <si>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</si>
  <si>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</si>
  <si>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</si>
  <si>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</si>
  <si>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</si>
  <si>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</si>
  <si>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</si>
  <si>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</si>
  <si>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2022-4</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</si>
  <si>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</si>
  <si>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</si>
  <si>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</si>
  <si>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2023-2</t>
  </si>
  <si>
    <t>2023-4</t>
  </si>
  <si>
    <t>2023-3</t>
  </si>
  <si>
    <t>抵押</t>
  </si>
  <si>
    <t>合计</t>
    <phoneticPr fontId="135" type="noConversion"/>
  </si>
  <si>
    <t>办公</t>
    <phoneticPr fontId="135" type="noConversion"/>
  </si>
  <si>
    <t>商业</t>
    <phoneticPr fontId="135" type="noConversion"/>
  </si>
  <si>
    <t>车库</t>
    <phoneticPr fontId="135" type="noConversion"/>
  </si>
  <si>
    <t>储藏室</t>
    <phoneticPr fontId="135" type="noConversion"/>
  </si>
  <si>
    <t>人防</t>
    <phoneticPr fontId="135" type="noConversion"/>
  </si>
  <si>
    <t>物业</t>
    <phoneticPr fontId="135" type="noConversion"/>
  </si>
  <si>
    <t>库房</t>
    <phoneticPr fontId="135" type="noConversion"/>
  </si>
  <si>
    <t>淋浴房</t>
    <phoneticPr fontId="135" type="noConversion"/>
  </si>
  <si>
    <t>避难间</t>
    <phoneticPr fontId="135" type="noConversion"/>
  </si>
  <si>
    <t>1层</t>
    <phoneticPr fontId="135" type="noConversion"/>
  </si>
  <si>
    <t>2层</t>
    <phoneticPr fontId="135" type="noConversion"/>
  </si>
  <si>
    <t>3层</t>
  </si>
  <si>
    <t>4层</t>
  </si>
  <si>
    <t>5层</t>
  </si>
  <si>
    <t>6层</t>
  </si>
  <si>
    <t>7层</t>
  </si>
  <si>
    <t>8层</t>
  </si>
  <si>
    <t>9层</t>
  </si>
  <si>
    <t>10层</t>
  </si>
  <si>
    <t>11层</t>
  </si>
  <si>
    <t>12层</t>
  </si>
  <si>
    <t>13层</t>
  </si>
  <si>
    <t>14层</t>
  </si>
  <si>
    <t>15层</t>
  </si>
  <si>
    <t>16层</t>
  </si>
  <si>
    <t>17层</t>
  </si>
  <si>
    <t>18层</t>
  </si>
  <si>
    <t>19层</t>
  </si>
  <si>
    <t>20层</t>
  </si>
  <si>
    <t>21层</t>
  </si>
  <si>
    <t>22层</t>
  </si>
  <si>
    <t>23层</t>
  </si>
  <si>
    <t>24层</t>
  </si>
  <si>
    <t>25层</t>
  </si>
  <si>
    <t>26层</t>
  </si>
  <si>
    <t>27层</t>
  </si>
  <si>
    <t>28层</t>
  </si>
  <si>
    <t>29层</t>
  </si>
  <si>
    <t>30层</t>
  </si>
  <si>
    <t>31层</t>
  </si>
  <si>
    <t>32层</t>
  </si>
  <si>
    <t>33层</t>
  </si>
  <si>
    <t>34层</t>
  </si>
  <si>
    <t>35层</t>
  </si>
  <si>
    <t>36层</t>
  </si>
  <si>
    <t>37层</t>
  </si>
  <si>
    <t>38层</t>
  </si>
  <si>
    <t>39层</t>
  </si>
  <si>
    <t>40层</t>
  </si>
  <si>
    <t>41层</t>
  </si>
  <si>
    <t>42层</t>
  </si>
  <si>
    <t>43层</t>
  </si>
  <si>
    <t>44层</t>
  </si>
  <si>
    <t>45层</t>
  </si>
  <si>
    <t>46层</t>
  </si>
  <si>
    <t>47层</t>
  </si>
  <si>
    <t>48层</t>
  </si>
  <si>
    <t>49层</t>
  </si>
  <si>
    <t>50层</t>
  </si>
  <si>
    <t>51层</t>
  </si>
  <si>
    <t>52层</t>
  </si>
  <si>
    <t>53层</t>
  </si>
  <si>
    <t>54层</t>
  </si>
  <si>
    <t>55层</t>
  </si>
  <si>
    <t>56层</t>
  </si>
  <si>
    <t>57层</t>
  </si>
  <si>
    <t>58层</t>
  </si>
  <si>
    <t>59层</t>
  </si>
  <si>
    <t>60层</t>
  </si>
  <si>
    <t>61层</t>
  </si>
  <si>
    <t>62层</t>
  </si>
  <si>
    <t>63层</t>
  </si>
  <si>
    <t>64层</t>
  </si>
  <si>
    <t>65层</t>
  </si>
  <si>
    <t>66层</t>
  </si>
  <si>
    <t>67层</t>
  </si>
  <si>
    <t>68层</t>
  </si>
  <si>
    <t>69层</t>
  </si>
  <si>
    <t>70层</t>
  </si>
  <si>
    <t>71层</t>
  </si>
  <si>
    <t>72层</t>
  </si>
  <si>
    <t>73层</t>
  </si>
  <si>
    <t>74层</t>
  </si>
  <si>
    <t>已售</t>
    <phoneticPr fontId="135" type="noConversion"/>
  </si>
  <si>
    <t>办公</t>
    <phoneticPr fontId="135" type="noConversion"/>
  </si>
  <si>
    <t>地上商业</t>
    <phoneticPr fontId="135" type="noConversion"/>
  </si>
  <si>
    <t>地下商业</t>
    <phoneticPr fontId="135" type="noConversion"/>
  </si>
  <si>
    <t>地下车库</t>
    <phoneticPr fontId="135" type="noConversion"/>
  </si>
  <si>
    <t>物业</t>
    <phoneticPr fontId="135" type="noConversion"/>
  </si>
  <si>
    <t>地上储藏室</t>
    <phoneticPr fontId="135" type="noConversion"/>
  </si>
  <si>
    <t>地下库房</t>
    <phoneticPr fontId="135" type="noConversion"/>
  </si>
  <si>
    <t>设备</t>
    <phoneticPr fontId="135" type="noConversion"/>
  </si>
  <si>
    <t>人防</t>
    <phoneticPr fontId="135" type="noConversion"/>
  </si>
  <si>
    <t>合计</t>
    <phoneticPr fontId="135" type="noConversion"/>
  </si>
  <si>
    <t>建筑物总建筑面积</t>
    <phoneticPr fontId="135" type="noConversion"/>
  </si>
  <si>
    <t>未分摊的共用建筑面积</t>
    <phoneticPr fontId="135" type="noConversion"/>
  </si>
  <si>
    <t>人防建筑面积</t>
    <phoneticPr fontId="135" type="noConversion"/>
  </si>
  <si>
    <t>-4层</t>
    <phoneticPr fontId="135" type="noConversion"/>
  </si>
  <si>
    <r>
      <t>-3层</t>
    </r>
    <r>
      <rPr>
        <sz val="11"/>
        <color theme="1"/>
        <rFont val="宋体"/>
        <family val="2"/>
        <charset val="134"/>
        <scheme val="minor"/>
      </rPr>
      <t/>
    </r>
    <phoneticPr fontId="135" type="noConversion"/>
  </si>
  <si>
    <r>
      <t>-2层</t>
    </r>
    <r>
      <rPr>
        <sz val="11"/>
        <color theme="1"/>
        <rFont val="宋体"/>
        <family val="2"/>
        <charset val="134"/>
        <scheme val="minor"/>
      </rPr>
      <t/>
    </r>
    <phoneticPr fontId="135" type="noConversion"/>
  </si>
  <si>
    <r>
      <t>-1层</t>
    </r>
    <r>
      <rPr>
        <sz val="11"/>
        <color theme="1"/>
        <rFont val="宋体"/>
        <family val="2"/>
        <charset val="134"/>
        <scheme val="minor"/>
      </rPr>
      <t/>
    </r>
    <phoneticPr fontId="135" type="noConversion"/>
  </si>
  <si>
    <t>序号</t>
  </si>
  <si>
    <t>房号</t>
  </si>
  <si>
    <t>类型</t>
  </si>
  <si>
    <t>建筑面积</t>
  </si>
  <si>
    <t>签约总价</t>
  </si>
  <si>
    <t>1-10901</t>
  </si>
  <si>
    <t>1-10902</t>
  </si>
  <si>
    <t>1-10802</t>
  </si>
  <si>
    <t>1-10812</t>
  </si>
  <si>
    <t>储藏</t>
  </si>
  <si>
    <t>1-10807</t>
  </si>
  <si>
    <t>1-10909</t>
  </si>
  <si>
    <t>1-10905</t>
  </si>
  <si>
    <t>1-10706</t>
  </si>
  <si>
    <t>1-10904</t>
  </si>
  <si>
    <t>1-10913</t>
  </si>
  <si>
    <t>1-10907</t>
  </si>
  <si>
    <t>1-10912</t>
  </si>
  <si>
    <t>1-10906</t>
  </si>
  <si>
    <t>1-10804</t>
  </si>
  <si>
    <t>1-10805</t>
  </si>
  <si>
    <t>1-10707</t>
  </si>
  <si>
    <t>1-10301</t>
  </si>
  <si>
    <t>1-10302</t>
  </si>
  <si>
    <t>1-10202</t>
  </si>
  <si>
    <t>1-10204</t>
  </si>
  <si>
    <t>1-10211</t>
  </si>
  <si>
    <t>1-10304</t>
  </si>
  <si>
    <t>1-10305</t>
  </si>
  <si>
    <t>1-10306</t>
  </si>
  <si>
    <t>1-10311</t>
  </si>
  <si>
    <t>1-10310</t>
  </si>
  <si>
    <t>1-11103</t>
  </si>
  <si>
    <t>1-11104</t>
  </si>
  <si>
    <t>1-11105</t>
  </si>
  <si>
    <t>1-11111</t>
  </si>
  <si>
    <t>1-11115</t>
  </si>
  <si>
    <t>1-10210</t>
  </si>
  <si>
    <t>1-10704</t>
  </si>
  <si>
    <t>1-10711</t>
  </si>
  <si>
    <t>1-12007</t>
  </si>
  <si>
    <t>1-12002</t>
  </si>
  <si>
    <t>1-12003</t>
  </si>
  <si>
    <t>1-12004</t>
  </si>
  <si>
    <t>1-12005</t>
  </si>
  <si>
    <t>1-12011</t>
  </si>
  <si>
    <t>1-12015</t>
  </si>
  <si>
    <t>办储</t>
  </si>
  <si>
    <t>1-12016</t>
  </si>
  <si>
    <t>1-11106</t>
  </si>
  <si>
    <t>1-11112</t>
  </si>
  <si>
    <t>1-12001</t>
  </si>
  <si>
    <t>1-10709</t>
  </si>
  <si>
    <t>1-10712</t>
  </si>
  <si>
    <t>1-10303</t>
  </si>
  <si>
    <t>1-10705</t>
  </si>
  <si>
    <t>1-10701</t>
  </si>
  <si>
    <t>1-10205</t>
  </si>
  <si>
    <t>1-10206</t>
  </si>
  <si>
    <t>1-10212</t>
  </si>
  <si>
    <t>1-10806</t>
  </si>
  <si>
    <t>1-10811</t>
  </si>
  <si>
    <t>1-10307</t>
  </si>
  <si>
    <t>1-11109</t>
  </si>
  <si>
    <t>1-11114</t>
  </si>
  <si>
    <t>1-10809</t>
  </si>
  <si>
    <t>1-11202</t>
  </si>
  <si>
    <t>1-11203</t>
  </si>
  <si>
    <t>1-11204</t>
  </si>
  <si>
    <t>1-11205</t>
  </si>
  <si>
    <t>1-11211</t>
  </si>
  <si>
    <t>1-10910</t>
  </si>
  <si>
    <t>1-11207</t>
  </si>
  <si>
    <t>1-10702</t>
  </si>
  <si>
    <t>1-10903</t>
  </si>
  <si>
    <t>1-10911</t>
  </si>
  <si>
    <t>1-11303</t>
  </si>
  <si>
    <t>1-11304</t>
  </si>
  <si>
    <t>1-11315</t>
  </si>
  <si>
    <t>1-10703</t>
  </si>
  <si>
    <t>1-11201</t>
  </si>
  <si>
    <t>1-10810</t>
  </si>
  <si>
    <t>1-10710</t>
  </si>
  <si>
    <t>1-10713</t>
  </si>
  <si>
    <t>1-11210</t>
  </si>
  <si>
    <t>1-11707</t>
  </si>
  <si>
    <t>1-11704</t>
  </si>
  <si>
    <t>1-11711</t>
  </si>
  <si>
    <t>1-11716</t>
  </si>
  <si>
    <t>1-10207</t>
  </si>
  <si>
    <t>1-11407</t>
  </si>
  <si>
    <t>1-11802</t>
  </si>
  <si>
    <t>1-11807</t>
  </si>
  <si>
    <t>1-11311</t>
  </si>
  <si>
    <t>1-11305</t>
  </si>
  <si>
    <t>1-11301</t>
  </si>
  <si>
    <t>1-11701</t>
  </si>
  <si>
    <t>1-11702</t>
  </si>
  <si>
    <t>1-11703</t>
  </si>
  <si>
    <t>1-11709</t>
  </si>
  <si>
    <t>1-11710</t>
  </si>
  <si>
    <t>1-11713</t>
  </si>
  <si>
    <t>1-11717</t>
  </si>
  <si>
    <t>1-11209</t>
  </si>
  <si>
    <t>1-11212</t>
  </si>
  <si>
    <t>1-11213</t>
  </si>
  <si>
    <t>1-11307</t>
  </si>
  <si>
    <t>1-11308</t>
  </si>
  <si>
    <t>1-11312</t>
  </si>
  <si>
    <t>1-11206</t>
  </si>
  <si>
    <t>1-11601</t>
  </si>
  <si>
    <t>1-11610</t>
  </si>
  <si>
    <t>1-11613</t>
  </si>
  <si>
    <t>1-11208</t>
  </si>
  <si>
    <t>1-10201</t>
  </si>
  <si>
    <t>1-10213</t>
  </si>
  <si>
    <t>1-11302</t>
  </si>
  <si>
    <t>1-11401</t>
  </si>
  <si>
    <t>1-11409</t>
  </si>
  <si>
    <t>1-11410</t>
  </si>
  <si>
    <t>1-11706</t>
  </si>
  <si>
    <t>1-11714</t>
  </si>
  <si>
    <t>1-15501</t>
  </si>
  <si>
    <t>1-15502</t>
  </si>
  <si>
    <t>1-15503</t>
  </si>
  <si>
    <t>1-15504</t>
  </si>
  <si>
    <t>1-15505</t>
  </si>
  <si>
    <t>1-15506</t>
  </si>
  <si>
    <t>1-15507</t>
  </si>
  <si>
    <t>1-15508</t>
  </si>
  <si>
    <t>1-15509</t>
  </si>
  <si>
    <t>1-15510</t>
  </si>
  <si>
    <t>1-15511</t>
  </si>
  <si>
    <t>1-15512</t>
  </si>
  <si>
    <t>1-15513</t>
  </si>
  <si>
    <t>1-15514</t>
  </si>
  <si>
    <t>1-15515</t>
  </si>
  <si>
    <t>1-15516</t>
  </si>
  <si>
    <t>1-15517</t>
  </si>
  <si>
    <t>1-15518</t>
  </si>
  <si>
    <t>1-10309</t>
  </si>
  <si>
    <t>1-10313</t>
  </si>
  <si>
    <t>1-20301</t>
  </si>
  <si>
    <t>1-20302</t>
  </si>
  <si>
    <t>1-3F291</t>
  </si>
  <si>
    <t>车位</t>
  </si>
  <si>
    <t>1-3F292</t>
  </si>
  <si>
    <t>1-3F296</t>
  </si>
  <si>
    <t>1-3F297</t>
  </si>
  <si>
    <t>1-3F298</t>
  </si>
  <si>
    <t>1-4F215</t>
  </si>
  <si>
    <t>1-4F216</t>
  </si>
  <si>
    <t>1-4F223</t>
  </si>
  <si>
    <t>1-4F224</t>
  </si>
  <si>
    <t>1-4F225</t>
  </si>
  <si>
    <t>1-10908</t>
  </si>
  <si>
    <t>1-10209</t>
  </si>
  <si>
    <t>1-10214</t>
  </si>
  <si>
    <t>1-13915</t>
  </si>
  <si>
    <t>1-13916</t>
  </si>
  <si>
    <t>1-13917</t>
  </si>
  <si>
    <t>1-13918</t>
  </si>
  <si>
    <t>1-13911</t>
  </si>
  <si>
    <t>1-13912</t>
  </si>
  <si>
    <t>1-13913</t>
  </si>
  <si>
    <t>1-13914</t>
  </si>
  <si>
    <t>1-11306</t>
  </si>
  <si>
    <t>1-10708</t>
  </si>
  <si>
    <t>1-12101</t>
  </si>
  <si>
    <t>1-12102</t>
  </si>
  <si>
    <t>1-12103</t>
  </si>
  <si>
    <t>1-12104</t>
  </si>
  <si>
    <t>1-12105</t>
  </si>
  <si>
    <t>1-12106</t>
  </si>
  <si>
    <t>1-12107</t>
  </si>
  <si>
    <t>1-12108</t>
  </si>
  <si>
    <t>1-12109</t>
  </si>
  <si>
    <t>1-12110</t>
  </si>
  <si>
    <t>1-12111</t>
  </si>
  <si>
    <t>1-12112</t>
  </si>
  <si>
    <t>1-12113</t>
  </si>
  <si>
    <t>1-12114</t>
  </si>
  <si>
    <t>1-12115</t>
  </si>
  <si>
    <t>1-10803</t>
  </si>
  <si>
    <t>1-6F212</t>
  </si>
  <si>
    <t>1-5F256</t>
  </si>
  <si>
    <t>1-6F206</t>
  </si>
  <si>
    <t>1-6F207</t>
  </si>
  <si>
    <t>1-5F281</t>
  </si>
  <si>
    <t>1-5F282</t>
  </si>
  <si>
    <t>1-5F283</t>
  </si>
  <si>
    <t>1-6F227</t>
  </si>
  <si>
    <t>1-6F238</t>
  </si>
  <si>
    <t>1-6F239</t>
  </si>
  <si>
    <t>1-6F226</t>
  </si>
  <si>
    <t>1-6F225</t>
  </si>
  <si>
    <t>1-5F284</t>
  </si>
  <si>
    <t>1-5F285</t>
  </si>
  <si>
    <t>1-5F286</t>
  </si>
  <si>
    <t>1-5F293</t>
  </si>
  <si>
    <t>1-5F294</t>
  </si>
  <si>
    <t>1-5F295</t>
  </si>
  <si>
    <t>1-6F249</t>
  </si>
  <si>
    <t>1-6F250</t>
  </si>
  <si>
    <t>1-5F257</t>
  </si>
  <si>
    <t>1-5F280</t>
  </si>
  <si>
    <t>1-6F216</t>
  </si>
  <si>
    <t>1-6F217</t>
  </si>
  <si>
    <t>1-6F218</t>
  </si>
  <si>
    <t>1-6F228</t>
  </si>
  <si>
    <t>1-6F229</t>
  </si>
  <si>
    <t>1-6F230</t>
  </si>
  <si>
    <t>1-6F240</t>
  </si>
  <si>
    <t>1-6F241</t>
  </si>
  <si>
    <t>1-6F242</t>
  </si>
  <si>
    <t>1-5F289</t>
  </si>
  <si>
    <t>1-5F288</t>
  </si>
  <si>
    <t>1-6F211</t>
  </si>
  <si>
    <t>1-6F208</t>
  </si>
  <si>
    <t>1-6F209</t>
  </si>
  <si>
    <t>1-6F237</t>
  </si>
  <si>
    <t>1-6F202</t>
  </si>
  <si>
    <t>1-6F203</t>
  </si>
  <si>
    <t>1-6F204</t>
  </si>
  <si>
    <t>1-6F213</t>
  </si>
  <si>
    <t>1-6F214</t>
  </si>
  <si>
    <t>1-6F215</t>
  </si>
  <si>
    <t>1-12008</t>
  </si>
  <si>
    <t>1-12012</t>
  </si>
  <si>
    <t>1-5F278</t>
  </si>
  <si>
    <t>1-5F279</t>
  </si>
  <si>
    <t>1-12017</t>
  </si>
  <si>
    <t>1-12009</t>
  </si>
  <si>
    <t>1-11402</t>
  </si>
  <si>
    <t>1-11615</t>
  </si>
  <si>
    <t>1-11604</t>
  </si>
  <si>
    <t>1-11602</t>
  </si>
  <si>
    <t>1-6F222</t>
  </si>
  <si>
    <t>1-6F223</t>
  </si>
  <si>
    <t>1-6F224</t>
  </si>
  <si>
    <t>1-6F234</t>
  </si>
  <si>
    <t>1-6F235</t>
  </si>
  <si>
    <t>1-6F236</t>
  </si>
  <si>
    <t>1-6F253</t>
  </si>
  <si>
    <t>1-6F254</t>
  </si>
  <si>
    <t>1-12010</t>
  </si>
  <si>
    <t>1-5F273</t>
  </si>
  <si>
    <t>1-5F274</t>
  </si>
  <si>
    <t>1-11708</t>
  </si>
  <si>
    <t>1-11801</t>
  </si>
  <si>
    <t>1-11810</t>
  </si>
  <si>
    <t>1-11813</t>
  </si>
  <si>
    <t>1-6F219</t>
  </si>
  <si>
    <t>1-6F220</t>
  </si>
  <si>
    <t>1-6F221</t>
  </si>
  <si>
    <t>1-11712</t>
  </si>
  <si>
    <t>1-11107</t>
  </si>
  <si>
    <t>1-11102</t>
  </si>
  <si>
    <t>1-6F205</t>
  </si>
  <si>
    <t>1-11606</t>
  </si>
  <si>
    <t>1-11614</t>
  </si>
  <si>
    <t>1-11605</t>
  </si>
  <si>
    <t>1-11611</t>
  </si>
  <si>
    <t>1-11607</t>
  </si>
  <si>
    <t>1-11406</t>
  </si>
  <si>
    <t>1-5F258</t>
  </si>
  <si>
    <t>1-5F259</t>
  </si>
  <si>
    <t>1-5F260</t>
  </si>
  <si>
    <t>1-5F261</t>
  </si>
  <si>
    <t>1-5F262</t>
  </si>
  <si>
    <t>1-5F263</t>
  </si>
  <si>
    <t>1-11113</t>
  </si>
  <si>
    <t>1-11101</t>
  </si>
  <si>
    <t>1-11110</t>
  </si>
  <si>
    <t>1-11310</t>
  </si>
  <si>
    <t>1-20102</t>
  </si>
  <si>
    <t>1-20103</t>
  </si>
  <si>
    <t>1-20104</t>
  </si>
  <si>
    <t>1-20105</t>
  </si>
  <si>
    <t>1-20202</t>
  </si>
  <si>
    <t>1-4F237</t>
  </si>
  <si>
    <t>1-4F238</t>
  </si>
  <si>
    <t>1-11804</t>
  </si>
  <si>
    <t>1-11811</t>
  </si>
  <si>
    <t>1-1F312</t>
  </si>
  <si>
    <t>库房</t>
  </si>
  <si>
    <t>1-1F338</t>
  </si>
  <si>
    <t>1-11405</t>
  </si>
  <si>
    <t>1-11805</t>
  </si>
  <si>
    <t>1-11806</t>
  </si>
  <si>
    <t>1-2F101</t>
  </si>
  <si>
    <t>1-2F106</t>
  </si>
  <si>
    <t>1-2F107</t>
  </si>
  <si>
    <t>1-2F108</t>
  </si>
  <si>
    <t>1-2F109</t>
  </si>
  <si>
    <t>1-11705</t>
  </si>
  <si>
    <t>1-12006</t>
  </si>
  <si>
    <t>1-12013</t>
  </si>
  <si>
    <t>1-11506</t>
  </si>
  <si>
    <t>1-11507</t>
  </si>
  <si>
    <t>1-11502</t>
  </si>
  <si>
    <t>单价</t>
    <phoneticPr fontId="135" type="noConversion"/>
  </si>
  <si>
    <t>B1层商业</t>
    <phoneticPr fontId="135" type="noConversion"/>
  </si>
  <si>
    <t>1层商业</t>
    <phoneticPr fontId="135" type="noConversion"/>
  </si>
  <si>
    <t>2层商业</t>
    <phoneticPr fontId="135" type="noConversion"/>
  </si>
  <si>
    <t>3层商业</t>
    <phoneticPr fontId="135" type="noConversion"/>
  </si>
  <si>
    <t>建筑面积</t>
    <phoneticPr fontId="135" type="noConversion"/>
  </si>
  <si>
    <t>已售面积</t>
    <phoneticPr fontId="135" type="noConversion"/>
  </si>
  <si>
    <t>未售面积</t>
    <phoneticPr fontId="135" type="noConversion"/>
  </si>
  <si>
    <t>1层商业</t>
    <phoneticPr fontId="25" type="noConversion"/>
  </si>
  <si>
    <r>
      <t>2</t>
    </r>
    <r>
      <rPr>
        <sz val="10"/>
        <color indexed="8"/>
        <rFont val="宋体"/>
        <family val="3"/>
        <charset val="134"/>
      </rPr>
      <t>层商业</t>
    </r>
    <phoneticPr fontId="25" type="noConversion"/>
  </si>
  <si>
    <r>
      <t>B1</t>
    </r>
    <r>
      <rPr>
        <sz val="10"/>
        <color indexed="8"/>
        <rFont val="宋体"/>
        <family val="3"/>
        <charset val="134"/>
      </rPr>
      <t>层商业</t>
    </r>
    <phoneticPr fontId="25" type="noConversion"/>
  </si>
  <si>
    <t>B1</t>
    <phoneticPr fontId="25" type="noConversion"/>
  </si>
  <si>
    <t>房地产抵押价值</t>
  </si>
  <si>
    <t>其他：</t>
  </si>
  <si>
    <t>企业</t>
  </si>
  <si>
    <t>是</t>
  </si>
  <si>
    <t>否</t>
  </si>
  <si>
    <t>地上</t>
  </si>
  <si>
    <t>地下</t>
  </si>
  <si>
    <t>车库—办公</t>
  </si>
  <si>
    <t>未售抵押面积</t>
    <phoneticPr fontId="135" type="noConversion"/>
  </si>
  <si>
    <t>办公</t>
    <phoneticPr fontId="8" type="noConversion"/>
  </si>
  <si>
    <t>商业</t>
    <phoneticPr fontId="8" type="noConversion"/>
  </si>
  <si>
    <t>储藏</t>
    <phoneticPr fontId="8" type="noConversion"/>
  </si>
  <si>
    <t>地下车库</t>
    <phoneticPr fontId="8" type="noConversion"/>
  </si>
  <si>
    <t>工程进度</t>
  </si>
  <si>
    <t>利息：取LPR加浮动点数</t>
  </si>
  <si>
    <t>地块名称</t>
  </si>
  <si>
    <t>城市</t>
  </si>
  <si>
    <t>规划用途</t>
  </si>
  <si>
    <t>建设用地面积</t>
  </si>
  <si>
    <t>规划建筑面积</t>
  </si>
  <si>
    <t>容积率</t>
  </si>
  <si>
    <t>出让方式</t>
  </si>
  <si>
    <t>截止时间</t>
  </si>
  <si>
    <t>受让单位</t>
  </si>
  <si>
    <t>起始价</t>
  </si>
  <si>
    <t>成交价</t>
  </si>
  <si>
    <t>成交楼面价</t>
  </si>
  <si>
    <t>溢价率</t>
  </si>
  <si>
    <t>西安市</t>
  </si>
  <si>
    <t>商业/办公用地</t>
  </si>
  <si>
    <t>不大于2.5</t>
  </si>
  <si>
    <t>挂牌</t>
  </si>
  <si>
    <t>2023-01-16</t>
  </si>
  <si>
    <t>西安高新区城建创远房地产发展有限公司</t>
  </si>
  <si>
    <t>高新区兴隆街道规划十八路以北、纬三十二路以南、规划六路以西、经二十二路以东</t>
  </si>
  <si>
    <t>不大于4.5</t>
  </si>
  <si>
    <t>2022-11-28</t>
  </si>
  <si>
    <t>中建丝路西安工程设计咨询有限公司</t>
  </si>
  <si>
    <t>曲江新区雁展路以南、汇新路以西</t>
  </si>
  <si>
    <t>不大于4.0</t>
  </si>
  <si>
    <t>2022-11-18</t>
  </si>
  <si>
    <t>西安曲江佩世嘉置业有限公司</t>
  </si>
  <si>
    <t>长安区郭杜街道居安路以东,樱花一路以北</t>
  </si>
  <si>
    <t>不大于0.06</t>
  </si>
  <si>
    <t>2022-10-28</t>
  </si>
  <si>
    <t>西安丰业悦秀实业有限公司</t>
  </si>
  <si>
    <t>不大于7.0</t>
  </si>
  <si>
    <t>2022-10-17</t>
  </si>
  <si>
    <t>西安睿兴生置业有限公司</t>
  </si>
  <si>
    <t>雁塔区西沣一路以南、西沣二路以北、西沣路以东</t>
  </si>
  <si>
    <t>不大于5.5</t>
  </si>
  <si>
    <t>2022-10-14</t>
  </si>
  <si>
    <t>陕西亚新佳丰泰实业有限公司</t>
  </si>
  <si>
    <t>高新区中央创新区经二十二路以东、纬三十二路以南、西太路以西、纬三十六路以北</t>
  </si>
  <si>
    <t/>
  </si>
  <si>
    <t>2022-09-07</t>
  </si>
  <si>
    <t>西安市高新区创嘉卓越城市发展建设有限公司</t>
  </si>
  <si>
    <t>高新区兴隆街办纬二十六路以南、经二十路以西,规划六路以东</t>
  </si>
  <si>
    <t>不大于3.0且不小于2.5</t>
  </si>
  <si>
    <t>2022-06-27</t>
  </si>
  <si>
    <t>陕西中岭控股集团有限公司</t>
  </si>
  <si>
    <t>曲江新区长安南路以东、雁展路以北</t>
  </si>
  <si>
    <t>不大于6.0</t>
  </si>
  <si>
    <t>2022-06-09</t>
  </si>
  <si>
    <t>西安莱瀚置业有限公司</t>
  </si>
  <si>
    <t>高新区中央创新区纬三十六路以南,经二十二路以东</t>
  </si>
  <si>
    <t>容积率不大于2.0(含地下商业计容容积率不大于2.8)</t>
  </si>
  <si>
    <t>2022-04-28</t>
  </si>
  <si>
    <t>西安市高新区创新城市建设发展有限公司</t>
  </si>
  <si>
    <t>高新区中央创新区纬三十六路以南、经二十二路以东</t>
  </si>
  <si>
    <t>高新区中央创新区纬二十四路以南,规划九路以西,经二十路以东</t>
  </si>
  <si>
    <t>陕西嘉楷投资有限公司</t>
  </si>
  <si>
    <t>碑林区小雁塔历史文化片区综合改造友谊路以南、体育场北路以北、长安路以西、朱雀大街以东</t>
  </si>
  <si>
    <t>2022-03-04</t>
  </si>
  <si>
    <t>腾运有限公司、西安城桓文化投资发展有限公司</t>
  </si>
  <si>
    <t>高新区中央创新区纬三十六路以北、规划三十七路以南、规划七路以西</t>
  </si>
  <si>
    <t>不大于3.48</t>
  </si>
  <si>
    <t>2022-01-07</t>
  </si>
  <si>
    <t>陕西林凯置业发展有限公司</t>
  </si>
  <si>
    <t>高新区中央创新区规划三十七路以北、规划十路与规划二十四路交汇处</t>
  </si>
  <si>
    <t>旺和控股(陕西)*有限公司</t>
  </si>
  <si>
    <t>高新区细柳街办纬二十六路以北、经二十六路以西</t>
  </si>
  <si>
    <t>2021-12-30</t>
  </si>
  <si>
    <t>西安高新区人才租赁住房发展有限公司</t>
  </si>
  <si>
    <t>大寨路以南、丈八北路以东</t>
  </si>
  <si>
    <t>不大于2.73</t>
  </si>
  <si>
    <t>2021-06-30</t>
  </si>
  <si>
    <t>西安茂顺置业有限公司</t>
  </si>
  <si>
    <t>高新区团结南路东侧</t>
  </si>
  <si>
    <t>不大于5.41</t>
  </si>
  <si>
    <t>2021-06-02</t>
  </si>
  <si>
    <t>西安中晶实业有限公司</t>
  </si>
  <si>
    <t>长安区韦曲街道,城南大道以西、锦湖街以北</t>
  </si>
  <si>
    <t>不大于1.5</t>
  </si>
  <si>
    <t>拍卖</t>
  </si>
  <si>
    <t>2021-04-01</t>
  </si>
  <si>
    <t>西安正松置业有限公司</t>
  </si>
  <si>
    <t>长安区郭杜街道,子午大道以东、锦湖街以北</t>
  </si>
  <si>
    <t>2021-03-18</t>
  </si>
  <si>
    <t>西安乐汇清水湾置业有限公司</t>
  </si>
  <si>
    <t>长安区王曲街道,常宁大街以东、西安信息职业大学以西</t>
  </si>
  <si>
    <t>不小于1.2不大于2.0</t>
  </si>
  <si>
    <t>2021-03-02</t>
  </si>
  <si>
    <t>西安晟杰置业有限公司</t>
  </si>
  <si>
    <t>高新区纬三十六路以北,西太路以西</t>
  </si>
  <si>
    <t>不大于5.0</t>
  </si>
  <si>
    <t>2020-10-29</t>
  </si>
  <si>
    <t>西安高新区城市客厅开发建设有限责任公司</t>
  </si>
  <si>
    <t>高新区规划十路以北,纬三十二路以南,西太路以西</t>
  </si>
  <si>
    <t>不大于8.5</t>
  </si>
  <si>
    <t>2020-10-26</t>
  </si>
  <si>
    <t>西安同心圆产融科技开发有限责任公司</t>
  </si>
  <si>
    <t>高新区规划二十六路以北,规划二十五路以南,西太路以西</t>
  </si>
  <si>
    <t>2020-09-29</t>
  </si>
  <si>
    <t>西安雁程置业有限公司</t>
  </si>
  <si>
    <t>高新区规划六路以东、规划三十路以北</t>
  </si>
  <si>
    <t>不大于13.5</t>
  </si>
  <si>
    <t>2020-09-28</t>
  </si>
  <si>
    <t>西安丝路国际金融创新中心有限公司</t>
  </si>
  <si>
    <t>高新区纬三十路以北、纬二十八路以南、西太路以西、经二十路以东</t>
  </si>
  <si>
    <t>2020-09-10</t>
  </si>
  <si>
    <t>西安紫弘科技产业发展有限公司</t>
  </si>
  <si>
    <t>高新区西太路以西、纬三十二路以北</t>
  </si>
  <si>
    <t>不小于5.0不大于6.0</t>
  </si>
  <si>
    <t>2020-09-02</t>
  </si>
  <si>
    <t>西安丝路起点数字科技开发有限公司</t>
  </si>
  <si>
    <t>高新区韦斗路以南,经二十二路以西</t>
  </si>
  <si>
    <t>不小于1.2不大于5.5</t>
  </si>
  <si>
    <t>西安高新区创领城市发展有限公司</t>
  </si>
  <si>
    <t>正常</t>
    <phoneticPr fontId="31" type="noConversion"/>
  </si>
  <si>
    <t>较好</t>
  </si>
  <si>
    <t>一般</t>
  </si>
  <si>
    <t>较好</t>
    <phoneticPr fontId="31" type="noConversion"/>
  </si>
  <si>
    <t>一般</t>
    <phoneticPr fontId="31" type="noConversion"/>
  </si>
  <si>
    <t>七通</t>
    <phoneticPr fontId="31" type="noConversion"/>
  </si>
  <si>
    <t>七通</t>
    <phoneticPr fontId="31" type="noConversion"/>
  </si>
  <si>
    <t>三级</t>
    <phoneticPr fontId="31" type="noConversion"/>
  </si>
  <si>
    <t>四级</t>
    <phoneticPr fontId="31" type="noConversion"/>
  </si>
  <si>
    <t>好</t>
  </si>
  <si>
    <t>未包含在土地购买价格中</t>
  </si>
  <si>
    <t>全部缴纳</t>
  </si>
  <si>
    <t>已包含在土地取得成本中</t>
  </si>
  <si>
    <t>永威时代中心</t>
    <phoneticPr fontId="135" type="noConversion"/>
  </si>
  <si>
    <t>永威时代中心</t>
    <phoneticPr fontId="135" type="noConversion"/>
  </si>
  <si>
    <t>项目模式</t>
  </si>
  <si>
    <t>售价</t>
  </si>
  <si>
    <t>永威时代中心</t>
    <phoneticPr fontId="4" type="noConversion"/>
  </si>
  <si>
    <t>正常</t>
  </si>
  <si>
    <t>正常</t>
    <phoneticPr fontId="32" type="noConversion"/>
  </si>
  <si>
    <t>20-30</t>
    <phoneticPr fontId="32" type="noConversion"/>
  </si>
  <si>
    <t>好</t>
    <phoneticPr fontId="32" type="noConversion"/>
  </si>
  <si>
    <t>较好</t>
    <phoneticPr fontId="32" type="noConversion"/>
  </si>
  <si>
    <t>较好</t>
    <phoneticPr fontId="32" type="noConversion"/>
  </si>
  <si>
    <t>一般</t>
    <phoneticPr fontId="32" type="noConversion"/>
  </si>
  <si>
    <t>高新NEWORLD</t>
    <phoneticPr fontId="4" type="noConversion"/>
  </si>
  <si>
    <t>高新NEWORLD</t>
    <phoneticPr fontId="135" type="noConversion"/>
  </si>
  <si>
    <t>高新大都荟写字楼</t>
    <phoneticPr fontId="135" type="noConversion"/>
  </si>
  <si>
    <t>高新大都荟写字楼</t>
    <phoneticPr fontId="4" type="noConversion"/>
  </si>
  <si>
    <t>地下车库</t>
  </si>
  <si>
    <t>在建（套用方法）</t>
  </si>
  <si>
    <t>收益法</t>
  </si>
  <si>
    <t>钢混</t>
  </si>
  <si>
    <t>非生产用房</t>
  </si>
  <si>
    <t>成本法</t>
  </si>
  <si>
    <t>假设开发法</t>
  </si>
  <si>
    <t>秦商国际中心</t>
    <phoneticPr fontId="135" type="noConversion"/>
  </si>
  <si>
    <t>锦业时代</t>
    <phoneticPr fontId="135" type="noConversion"/>
  </si>
  <si>
    <t>锦业时代</t>
    <phoneticPr fontId="135" type="noConversion"/>
  </si>
  <si>
    <t>锦业时代</t>
    <phoneticPr fontId="135" type="noConversion"/>
  </si>
  <si>
    <t>绿地中央广场</t>
    <phoneticPr fontId="135" type="noConversion"/>
  </si>
  <si>
    <t>万科翡翠国宾</t>
    <phoneticPr fontId="135" type="noConversion"/>
  </si>
  <si>
    <t>住宅</t>
    <phoneticPr fontId="135" type="noConversion"/>
  </si>
  <si>
    <t>新一代伟业国际</t>
    <phoneticPr fontId="135" type="noConversion"/>
  </si>
  <si>
    <t>万达西安One</t>
    <phoneticPr fontId="135" type="noConversion"/>
  </si>
  <si>
    <t>万达西安One</t>
    <phoneticPr fontId="135" type="noConversion"/>
  </si>
  <si>
    <t>住宅</t>
    <phoneticPr fontId="135" type="noConversion"/>
  </si>
  <si>
    <t>住宅</t>
    <phoneticPr fontId="135" type="noConversion"/>
  </si>
  <si>
    <t>锦业时代</t>
    <phoneticPr fontId="4" type="noConversion"/>
  </si>
  <si>
    <t>绿地中央广场</t>
    <phoneticPr fontId="4" type="noConversion"/>
  </si>
  <si>
    <t>伟业公馆</t>
    <phoneticPr fontId="4" type="noConversion"/>
  </si>
  <si>
    <t>较好</t>
    <phoneticPr fontId="31" type="noConversion"/>
  </si>
  <si>
    <t>办公底商</t>
    <phoneticPr fontId="31" type="noConversion"/>
  </si>
  <si>
    <t>住宅底商</t>
    <phoneticPr fontId="31" type="noConversion"/>
  </si>
  <si>
    <t>办公底商</t>
    <phoneticPr fontId="31" type="noConversion"/>
  </si>
  <si>
    <t>住宅底商</t>
    <phoneticPr fontId="31" type="noConversion"/>
  </si>
  <si>
    <t>建邦华庭</t>
    <phoneticPr fontId="4" type="noConversion"/>
  </si>
  <si>
    <t>万科翡翠国宾</t>
    <phoneticPr fontId="4" type="noConversion"/>
  </si>
  <si>
    <t>住宅</t>
    <phoneticPr fontId="32" type="noConversion"/>
  </si>
  <si>
    <t>住宅</t>
    <phoneticPr fontId="32" type="noConversion"/>
  </si>
  <si>
    <t>元/车位</t>
  </si>
  <si>
    <t>现场施工进度：主体结构已验收；二次结构施工完成100%；室外幕墙施工完成98%；室内装修施工完成85%；机电工程施工完成88%；消防工程施工完成80%；电、扶梯安装工程完成100%；电力工程施工完成92%；园林工程施工完成65%。</t>
    <phoneticPr fontId="135" type="noConversion"/>
  </si>
  <si>
    <t>总价</t>
  </si>
  <si>
    <t>成本比率</t>
  </si>
  <si>
    <t>是</t>
    <phoneticPr fontId="32" type="noConversion"/>
  </si>
  <si>
    <t>否</t>
    <phoneticPr fontId="32" type="noConversion"/>
  </si>
  <si>
    <t>超高层写字楼</t>
    <phoneticPr fontId="32" type="noConversion"/>
  </si>
  <si>
    <t>标准写字楼</t>
    <phoneticPr fontId="32" type="noConversion"/>
  </si>
  <si>
    <t>标准写字楼</t>
    <phoneticPr fontId="32" type="noConversion"/>
  </si>
  <si>
    <t>超高层写字楼</t>
    <phoneticPr fontId="32" type="noConversion"/>
  </si>
  <si>
    <r>
      <rPr>
        <sz val="10"/>
        <rFont val="宋体"/>
        <family val="3"/>
        <charset val="134"/>
      </rPr>
      <t>高新区鱼化街道天谷三路以南</t>
    </r>
    <r>
      <rPr>
        <sz val="10"/>
        <rFont val="Arial"/>
        <family val="2"/>
      </rPr>
      <t>,</t>
    </r>
    <r>
      <rPr>
        <sz val="10"/>
        <rFont val="宋体"/>
        <family val="3"/>
        <charset val="134"/>
      </rPr>
      <t>云水三路以西</t>
    </r>
    <r>
      <rPr>
        <sz val="10"/>
        <rFont val="Arial"/>
        <family val="2"/>
      </rPr>
      <t>,</t>
    </r>
    <r>
      <rPr>
        <sz val="10"/>
        <rFont val="宋体"/>
        <family val="3"/>
        <charset val="134"/>
      </rPr>
      <t>云水四路以东</t>
    </r>
    <phoneticPr fontId="135" type="noConversion"/>
  </si>
  <si>
    <t>高新区锦业路与丈八五路十字东南角</t>
    <phoneticPr fontId="135" type="noConversion"/>
  </si>
  <si>
    <t>长安南路以西、朱雀路以东、南三环以南</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</si>
</sst>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10804]#,##0;\-#,##0"/>
  </numFmts>
  <fonts count="27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0"/>
      <name val="宋体"/>
      <family val="3"/>
      <charset val="134"/>
      <scheme val="minor"/>
    </font>
    <font>
      <sz val="10"/>
      <name val="宋体"/>
      <family val="3"/>
      <charset val="134"/>
      <scheme val="minor"/>
    </font>
    <font>
      <b/>
      <sz val="9"/>
      <name val="宋体"/>
      <family val="3"/>
      <charset val="134"/>
    </font>
    <font>
      <b/>
      <sz val="9"/>
      <name val="Tahoma"/>
      <family val="2"/>
    </font>
    <font>
      <sz val="9"/>
      <name val="Tahoma"/>
      <family val="2"/>
    </font>
    <font>
      <sz val="14"/>
      <name val="Tahoma"/>
      <family val="2"/>
    </font>
    <font>
      <sz val="14"/>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4" tint="0.59999389629810485"/>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196" fontId="37" fillId="0" borderId="0">
      <alignment vertical="center"/>
    </xf>
    <xf numFmtId="0" fontId="54" fillId="0" borderId="0"/>
  </cellStyleXfs>
  <cellXfs count="3856">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10" fontId="100" fillId="0" borderId="0" xfId="9" applyNumberFormat="1" applyFont="1" applyFill="1" applyBorder="1" applyAlignment="1" applyProtection="1">
      <alignment horizontal="left" vertical="center"/>
    </xf>
    <xf numFmtId="0" fontId="108" fillId="0" borderId="0" xfId="0" applyFont="1">
      <alignment vertical="center"/>
    </xf>
    <xf numFmtId="49" fontId="108" fillId="0" borderId="0" xfId="0" applyNumberFormat="1" applyFont="1">
      <alignment vertical="center"/>
    </xf>
    <xf numFmtId="0" fontId="108" fillId="0" borderId="0" xfId="0" applyNumberFormat="1" applyFont="1">
      <alignment vertical="center"/>
    </xf>
    <xf numFmtId="0" fontId="108" fillId="16" borderId="0" xfId="0" applyFont="1" applyFill="1">
      <alignment vertical="center"/>
    </xf>
    <xf numFmtId="179" fontId="108" fillId="0" borderId="0" xfId="0" applyNumberFormat="1" applyFont="1">
      <alignment vertical="center"/>
    </xf>
    <xf numFmtId="0" fontId="108" fillId="5" borderId="0" xfId="0" applyFont="1" applyFill="1">
      <alignment vertical="center"/>
    </xf>
    <xf numFmtId="0" fontId="108" fillId="8" borderId="0" xfId="0" applyFont="1" applyFill="1">
      <alignment vertical="center"/>
    </xf>
    <xf numFmtId="185" fontId="271" fillId="0" borderId="1" xfId="0" applyNumberFormat="1" applyFont="1" applyFill="1" applyBorder="1" applyAlignment="1">
      <alignment horizontal="center" vertical="center"/>
    </xf>
    <xf numFmtId="196" fontId="271" fillId="0" borderId="1" xfId="0" applyNumberFormat="1" applyFont="1" applyFill="1" applyBorder="1" applyAlignment="1">
      <alignment horizontal="center" vertical="center"/>
    </xf>
    <xf numFmtId="176" fontId="271" fillId="0" borderId="1" xfId="0" applyNumberFormat="1" applyFont="1" applyFill="1" applyBorder="1" applyAlignment="1">
      <alignment horizontal="center" vertical="center"/>
    </xf>
    <xf numFmtId="196" fontId="271" fillId="0" borderId="3" xfId="0" applyNumberFormat="1" applyFont="1" applyFill="1" applyBorder="1" applyAlignment="1">
      <alignment horizontal="center" vertical="center"/>
    </xf>
    <xf numFmtId="185" fontId="271" fillId="9" borderId="1" xfId="0" applyNumberFormat="1" applyFont="1" applyFill="1" applyBorder="1" applyAlignment="1">
      <alignment horizontal="center" vertical="center"/>
    </xf>
    <xf numFmtId="196" fontId="271" fillId="9" borderId="1" xfId="0" applyNumberFormat="1" applyFont="1" applyFill="1" applyBorder="1" applyAlignment="1">
      <alignment horizontal="center" vertical="center"/>
    </xf>
    <xf numFmtId="176" fontId="271" fillId="9" borderId="1" xfId="0" applyNumberFormat="1" applyFont="1" applyFill="1" applyBorder="1" applyAlignment="1">
      <alignment horizontal="center" vertical="center"/>
    </xf>
    <xf numFmtId="0" fontId="108" fillId="9" borderId="0" xfId="0" applyFont="1" applyFill="1">
      <alignment vertical="center"/>
    </xf>
    <xf numFmtId="176" fontId="271" fillId="9" borderId="1" xfId="19" applyNumberFormat="1" applyFont="1" applyFill="1" applyBorder="1" applyAlignment="1">
      <alignment horizontal="center" vertical="center" wrapText="1"/>
    </xf>
    <xf numFmtId="185" fontId="271" fillId="9" borderId="1" xfId="19" applyNumberFormat="1" applyFont="1" applyFill="1" applyBorder="1" applyAlignment="1">
      <alignment horizontal="center" vertical="center" wrapText="1"/>
    </xf>
    <xf numFmtId="185" fontId="20" fillId="9" borderId="1" xfId="0" applyNumberFormat="1" applyFont="1" applyFill="1" applyBorder="1" applyAlignment="1">
      <alignment horizontal="center" vertical="center"/>
    </xf>
    <xf numFmtId="0" fontId="271" fillId="9" borderId="1" xfId="0" applyNumberFormat="1" applyFont="1" applyFill="1" applyBorder="1" applyAlignment="1">
      <alignment horizontal="center" vertical="center"/>
    </xf>
    <xf numFmtId="196" fontId="271" fillId="9" borderId="3" xfId="0" applyNumberFormat="1" applyFont="1" applyFill="1" applyBorder="1" applyAlignment="1">
      <alignment horizontal="center" vertical="center"/>
    </xf>
    <xf numFmtId="185" fontId="271" fillId="9" borderId="3" xfId="0" applyNumberFormat="1" applyFont="1" applyFill="1" applyBorder="1" applyAlignment="1">
      <alignment horizontal="center" vertical="center"/>
    </xf>
    <xf numFmtId="185" fontId="271" fillId="22" borderId="1" xfId="0" applyNumberFormat="1" applyFont="1" applyFill="1" applyBorder="1" applyAlignment="1">
      <alignment horizontal="center" vertical="center"/>
    </xf>
    <xf numFmtId="196" fontId="271" fillId="22" borderId="1" xfId="0" applyNumberFormat="1" applyFont="1" applyFill="1" applyBorder="1" applyAlignment="1">
      <alignment horizontal="center" vertical="center"/>
    </xf>
    <xf numFmtId="176" fontId="271" fillId="22" borderId="1" xfId="0" applyNumberFormat="1" applyFont="1" applyFill="1" applyBorder="1" applyAlignment="1">
      <alignment horizontal="center" vertical="center"/>
    </xf>
    <xf numFmtId="0" fontId="108" fillId="22" borderId="0" xfId="0" applyFont="1" applyFill="1">
      <alignment vertical="center"/>
    </xf>
    <xf numFmtId="185" fontId="20" fillId="22" borderId="1" xfId="0" applyNumberFormat="1" applyFont="1" applyFill="1" applyBorder="1" applyAlignment="1">
      <alignment horizontal="center" vertical="center"/>
    </xf>
    <xf numFmtId="196" fontId="271" fillId="22" borderId="3" xfId="0" applyNumberFormat="1" applyFont="1" applyFill="1" applyBorder="1" applyAlignment="1">
      <alignment horizontal="center" vertical="center"/>
    </xf>
    <xf numFmtId="185" fontId="271" fillId="22" borderId="3" xfId="0" applyNumberFormat="1" applyFont="1" applyFill="1" applyBorder="1" applyAlignment="1">
      <alignment horizontal="center" vertical="center"/>
    </xf>
    <xf numFmtId="185" fontId="271" fillId="18" borderId="1" xfId="0" applyNumberFormat="1" applyFont="1" applyFill="1" applyBorder="1" applyAlignment="1">
      <alignment horizontal="center" vertical="center"/>
    </xf>
    <xf numFmtId="196" fontId="271" fillId="18" borderId="1" xfId="0" applyNumberFormat="1" applyFont="1" applyFill="1" applyBorder="1" applyAlignment="1">
      <alignment horizontal="center" vertical="center"/>
    </xf>
    <xf numFmtId="176" fontId="271" fillId="18" borderId="1" xfId="0" applyNumberFormat="1" applyFont="1" applyFill="1" applyBorder="1" applyAlignment="1">
      <alignment horizontal="center" vertical="center"/>
    </xf>
    <xf numFmtId="0" fontId="108" fillId="18" borderId="0" xfId="0" applyFont="1" applyFill="1">
      <alignment vertical="center"/>
    </xf>
    <xf numFmtId="185" fontId="271" fillId="18" borderId="3" xfId="0" applyNumberFormat="1" applyFont="1" applyFill="1" applyBorder="1" applyAlignment="1">
      <alignment horizontal="center" vertical="center"/>
    </xf>
    <xf numFmtId="176" fontId="108" fillId="0" borderId="0" xfId="0" applyNumberFormat="1" applyFont="1">
      <alignment vertical="center"/>
    </xf>
    <xf numFmtId="0" fontId="177" fillId="0" borderId="1" xfId="0" applyFont="1" applyFill="1" applyBorder="1" applyAlignment="1" applyProtection="1">
      <alignment horizontal="center" vertical="center"/>
      <protection locked="0"/>
    </xf>
    <xf numFmtId="0" fontId="54" fillId="0" borderId="0" xfId="20"/>
    <xf numFmtId="0" fontId="54" fillId="16" borderId="0" xfId="20" applyFill="1"/>
    <xf numFmtId="0" fontId="0" fillId="16" borderId="0" xfId="0" applyFill="1">
      <alignment vertical="center"/>
    </xf>
    <xf numFmtId="49" fontId="129" fillId="2" borderId="26" xfId="0" applyNumberFormat="1" applyFont="1" applyFill="1" applyBorder="1" applyAlignment="1" applyProtection="1">
      <alignment horizontal="center" vertical="center" wrapText="1"/>
      <protection locked="0"/>
    </xf>
    <xf numFmtId="0" fontId="54" fillId="0" borderId="0" xfId="20" applyFill="1"/>
    <xf numFmtId="0" fontId="0" fillId="0" borderId="0" xfId="0" applyFill="1">
      <alignment vertical="center"/>
    </xf>
    <xf numFmtId="0" fontId="95" fillId="2" borderId="41" xfId="0" applyNumberFormat="1" applyFont="1" applyFill="1" applyBorder="1" applyAlignment="1" applyProtection="1">
      <alignment horizontal="center" vertical="center" wrapText="1"/>
      <protection locked="0"/>
    </xf>
    <xf numFmtId="49" fontId="95" fillId="2" borderId="7" xfId="0" applyNumberFormat="1" applyFont="1" applyFill="1" applyBorder="1" applyAlignment="1" applyProtection="1">
      <alignment horizontal="center" vertical="center" wrapText="1"/>
      <protection locked="0"/>
    </xf>
    <xf numFmtId="49" fontId="95" fillId="2" borderId="41" xfId="0" applyNumberFormat="1" applyFont="1" applyFill="1" applyBorder="1" applyAlignment="1" applyProtection="1">
      <alignment horizontal="center" vertical="center" wrapText="1"/>
      <protection locked="0"/>
    </xf>
    <xf numFmtId="0" fontId="95" fillId="2" borderId="37" xfId="0" applyNumberFormat="1" applyFont="1" applyFill="1" applyBorder="1" applyAlignment="1" applyProtection="1">
      <alignment horizontal="center" vertical="center" wrapText="1"/>
      <protection locked="0"/>
    </xf>
    <xf numFmtId="0" fontId="129" fillId="2" borderId="69" xfId="0" applyNumberFormat="1" applyFont="1" applyFill="1" applyBorder="1" applyAlignment="1" applyProtection="1">
      <alignment horizontal="center" vertical="center" wrapText="1"/>
      <protection locked="0"/>
    </xf>
    <xf numFmtId="0" fontId="95" fillId="2" borderId="7" xfId="0" applyNumberFormat="1" applyFont="1" applyFill="1" applyBorder="1" applyAlignment="1" applyProtection="1">
      <alignment horizontal="center" vertical="center" wrapText="1"/>
      <protection locked="0"/>
    </xf>
    <xf numFmtId="0" fontId="129" fillId="2" borderId="60" xfId="0" applyNumberFormat="1" applyFont="1" applyFill="1" applyBorder="1" applyAlignment="1" applyProtection="1">
      <alignment horizontal="center" vertical="center" wrapText="1"/>
      <protection locked="0"/>
    </xf>
    <xf numFmtId="0" fontId="95" fillId="2" borderId="54" xfId="0" applyNumberFormat="1"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0" fontId="96" fillId="0" borderId="0" xfId="0" applyFont="1">
      <alignment vertical="center"/>
    </xf>
    <xf numFmtId="0" fontId="95" fillId="2" borderId="35" xfId="0" applyNumberFormat="1" applyFont="1" applyFill="1" applyBorder="1" applyAlignment="1" applyProtection="1">
      <alignment horizontal="center" vertical="center" wrapText="1"/>
      <protection locked="0"/>
    </xf>
    <xf numFmtId="49" fontId="95" fillId="2" borderId="14" xfId="0" applyNumberFormat="1" applyFont="1" applyFill="1" applyBorder="1" applyAlignment="1" applyProtection="1">
      <alignment horizontal="center" vertical="center" wrapText="1"/>
      <protection locked="0"/>
    </xf>
    <xf numFmtId="49" fontId="95" fillId="2" borderId="35" xfId="0" applyNumberFormat="1" applyFont="1" applyFill="1" applyBorder="1" applyAlignment="1" applyProtection="1">
      <alignment horizontal="center" vertical="center" wrapText="1"/>
      <protection locked="0"/>
    </xf>
    <xf numFmtId="0" fontId="95" fillId="2" borderId="14" xfId="0" applyNumberFormat="1" applyFont="1" applyFill="1" applyBorder="1" applyAlignment="1" applyProtection="1">
      <alignment horizontal="center" vertical="center" wrapText="1"/>
      <protection locked="0"/>
    </xf>
    <xf numFmtId="0" fontId="95" fillId="2" borderId="6" xfId="0"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129" fillId="0" borderId="5" xfId="0" applyFont="1" applyFill="1" applyBorder="1" applyAlignment="1" applyProtection="1">
      <alignment horizontal="center" vertical="center" wrapText="1"/>
      <protection locked="0"/>
    </xf>
    <xf numFmtId="0" fontId="129" fillId="0" borderId="37" xfId="0" applyNumberFormat="1" applyFont="1" applyFill="1" applyBorder="1" applyAlignment="1" applyProtection="1">
      <alignment horizontal="center" vertical="center" wrapText="1"/>
      <protection locked="0"/>
    </xf>
    <xf numFmtId="0" fontId="129" fillId="0" borderId="41" xfId="0" applyNumberFormat="1"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0" fontId="95" fillId="2" borderId="6" xfId="0" applyNumberFormat="1" applyFont="1" applyFill="1" applyBorder="1" applyAlignment="1" applyProtection="1">
      <alignment horizontal="center" vertical="center" wrapText="1"/>
      <protection locked="0"/>
    </xf>
    <xf numFmtId="0" fontId="20" fillId="16" borderId="0" xfId="20" applyFont="1" applyFill="1"/>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126"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185" fontId="270" fillId="5" borderId="13" xfId="0" applyNumberFormat="1" applyFont="1" applyFill="1" applyBorder="1" applyAlignment="1" applyProtection="1">
      <alignment horizontal="center" vertical="center" wrapText="1"/>
    </xf>
    <xf numFmtId="185" fontId="270" fillId="5" borderId="2" xfId="0" applyNumberFormat="1" applyFont="1" applyFill="1" applyBorder="1" applyAlignment="1" applyProtection="1">
      <alignment horizontal="center" vertical="center" wrapText="1"/>
    </xf>
    <xf numFmtId="9" fontId="270" fillId="5" borderId="13" xfId="0" applyNumberFormat="1" applyFont="1" applyFill="1" applyBorder="1" applyAlignment="1" applyProtection="1">
      <alignment horizontal="center" vertical="center" wrapText="1"/>
    </xf>
    <xf numFmtId="9" fontId="270" fillId="5" borderId="2" xfId="0" applyNumberFormat="1" applyFont="1" applyFill="1" applyBorder="1" applyAlignment="1" applyProtection="1">
      <alignment horizontal="center" vertical="center" wrapText="1"/>
    </xf>
    <xf numFmtId="176" fontId="270" fillId="5" borderId="13" xfId="0" applyNumberFormat="1" applyFont="1" applyFill="1" applyBorder="1" applyAlignment="1" applyProtection="1">
      <alignment horizontal="center" vertical="center" wrapText="1"/>
    </xf>
    <xf numFmtId="176" fontId="270" fillId="5" borderId="2" xfId="0" applyNumberFormat="1" applyFont="1" applyFill="1" applyBorder="1" applyAlignment="1" applyProtection="1">
      <alignment horizontal="center" vertical="center" wrapText="1"/>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126"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53" fillId="6" borderId="47" xfId="0" applyFont="1" applyFill="1" applyBorder="1" applyAlignment="1" applyProtection="1">
      <alignment horizontal="center" vertical="center"/>
    </xf>
    <xf numFmtId="0" fontId="48" fillId="6" borderId="23" xfId="0"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52" fillId="6" borderId="1" xfId="0"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185"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6" borderId="23" xfId="0" applyFont="1" applyFill="1" applyBorder="1" applyAlignment="1" applyProtection="1">
      <alignment horizontal="center"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1" fillId="18"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7" xfId="0" applyFont="1" applyFill="1" applyBorder="1" applyAlignment="1" applyProtection="1">
      <alignment horizontal="center" vertical="center"/>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209" fillId="0" borderId="3" xfId="0" applyFont="1" applyFill="1" applyBorder="1" applyAlignment="1" applyProtection="1">
      <alignment horizontal="center" vertical="center" wrapText="1"/>
      <protection locked="0"/>
    </xf>
    <xf numFmtId="0" fontId="209" fillId="0" borderId="23" xfId="0" applyFont="1" applyFill="1" applyBorder="1" applyAlignment="1" applyProtection="1">
      <alignment horizontal="center" vertical="center" wrapText="1"/>
      <protection locked="0"/>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center" vertical="center"/>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108" fillId="6" borderId="17"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cellXfs>
  <cellStyles count="21">
    <cellStyle name="百分比" xfId="17" builtinId="5"/>
    <cellStyle name="百分比 2" xfId="14"/>
    <cellStyle name="常规" xfId="0" builtinId="0"/>
    <cellStyle name="常规 10" xfId="20"/>
    <cellStyle name="常规 11" xfId="18"/>
    <cellStyle name="常规 16" xfId="10"/>
    <cellStyle name="常规 2" xfId="1"/>
    <cellStyle name="常规 2 10" xfId="19"/>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814">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5" Type="http://schemas.openxmlformats.org/officeDocument/2006/relationships/image" Target="../media/image17.png"/><Relationship Id="rId4" Type="http://schemas.openxmlformats.org/officeDocument/2006/relationships/image" Target="../media/image16.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7" Type="http://schemas.openxmlformats.org/officeDocument/2006/relationships/image" Target="../media/image28.png"/><Relationship Id="rId2" Type="http://schemas.openxmlformats.org/officeDocument/2006/relationships/image" Target="../media/image23.png"/><Relationship Id="rId1" Type="http://schemas.openxmlformats.org/officeDocument/2006/relationships/image" Target="../media/image22.png"/><Relationship Id="rId6" Type="http://schemas.openxmlformats.org/officeDocument/2006/relationships/image" Target="../media/image27.png"/><Relationship Id="rId5" Type="http://schemas.openxmlformats.org/officeDocument/2006/relationships/image" Target="../media/image26.png"/><Relationship Id="rId4" Type="http://schemas.openxmlformats.org/officeDocument/2006/relationships/image" Target="../media/image2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66675</xdr:colOff>
      <xdr:row>32</xdr:row>
      <xdr:rowOff>133350</xdr:rowOff>
    </xdr:from>
    <xdr:to>
      <xdr:col>10</xdr:col>
      <xdr:colOff>122624</xdr:colOff>
      <xdr:row>67</xdr:row>
      <xdr:rowOff>8791</xdr:rowOff>
    </xdr:to>
    <xdr:pic>
      <xdr:nvPicPr>
        <xdr:cNvPr id="2" name="图片 1"/>
        <xdr:cNvPicPr>
          <a:picLocks noChangeAspect="1"/>
        </xdr:cNvPicPr>
      </xdr:nvPicPr>
      <xdr:blipFill>
        <a:blip xmlns:r="http://schemas.openxmlformats.org/officeDocument/2006/relationships" r:embed="rId1"/>
        <a:stretch>
          <a:fillRect/>
        </a:stretch>
      </xdr:blipFill>
      <xdr:spPr>
        <a:xfrm>
          <a:off x="66675" y="5619750"/>
          <a:ext cx="9609524" cy="5876191"/>
        </a:xfrm>
        <a:prstGeom prst="rect">
          <a:avLst/>
        </a:prstGeom>
      </xdr:spPr>
    </xdr:pic>
    <xdr:clientData/>
  </xdr:twoCellAnchor>
  <xdr:twoCellAnchor editAs="oneCell">
    <xdr:from>
      <xdr:col>0</xdr:col>
      <xdr:colOff>0</xdr:colOff>
      <xdr:row>70</xdr:row>
      <xdr:rowOff>123825</xdr:rowOff>
    </xdr:from>
    <xdr:to>
      <xdr:col>4</xdr:col>
      <xdr:colOff>56667</xdr:colOff>
      <xdr:row>80</xdr:row>
      <xdr:rowOff>133135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2125325"/>
          <a:ext cx="3866667" cy="17238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35</xdr:row>
      <xdr:rowOff>9525</xdr:rowOff>
    </xdr:from>
    <xdr:to>
      <xdr:col>17</xdr:col>
      <xdr:colOff>246164</xdr:colOff>
      <xdr:row>58</xdr:row>
      <xdr:rowOff>142366</xdr:rowOff>
    </xdr:to>
    <xdr:pic>
      <xdr:nvPicPr>
        <xdr:cNvPr id="2" name="图片 1"/>
        <xdr:cNvPicPr>
          <a:picLocks noChangeAspect="1"/>
        </xdr:cNvPicPr>
      </xdr:nvPicPr>
      <xdr:blipFill>
        <a:blip xmlns:r="http://schemas.openxmlformats.org/officeDocument/2006/relationships" r:embed="rId1"/>
        <a:stretch>
          <a:fillRect/>
        </a:stretch>
      </xdr:blipFill>
      <xdr:spPr>
        <a:xfrm>
          <a:off x="9525" y="6010275"/>
          <a:ext cx="11895239" cy="4076191"/>
        </a:xfrm>
        <a:prstGeom prst="rect">
          <a:avLst/>
        </a:prstGeom>
      </xdr:spPr>
    </xdr:pic>
    <xdr:clientData/>
  </xdr:twoCellAnchor>
  <xdr:twoCellAnchor editAs="oneCell">
    <xdr:from>
      <xdr:col>0</xdr:col>
      <xdr:colOff>0</xdr:colOff>
      <xdr:row>2</xdr:row>
      <xdr:rowOff>0</xdr:rowOff>
    </xdr:from>
    <xdr:to>
      <xdr:col>19</xdr:col>
      <xdr:colOff>484087</xdr:colOff>
      <xdr:row>35</xdr:row>
      <xdr:rowOff>161198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42900"/>
          <a:ext cx="13514287" cy="5819048"/>
        </a:xfrm>
        <a:prstGeom prst="rect">
          <a:avLst/>
        </a:prstGeom>
      </xdr:spPr>
    </xdr:pic>
    <xdr:clientData/>
  </xdr:twoCellAnchor>
  <xdr:twoCellAnchor editAs="oneCell">
    <xdr:from>
      <xdr:col>0</xdr:col>
      <xdr:colOff>0</xdr:colOff>
      <xdr:row>85</xdr:row>
      <xdr:rowOff>152400</xdr:rowOff>
    </xdr:from>
    <xdr:to>
      <xdr:col>11</xdr:col>
      <xdr:colOff>532391</xdr:colOff>
      <xdr:row>102</xdr:row>
      <xdr:rowOff>132988</xdr:rowOff>
    </xdr:to>
    <xdr:pic>
      <xdr:nvPicPr>
        <xdr:cNvPr id="6" name="图片 5"/>
        <xdr:cNvPicPr>
          <a:picLocks noChangeAspect="1"/>
        </xdr:cNvPicPr>
      </xdr:nvPicPr>
      <xdr:blipFill>
        <a:blip xmlns:r="http://schemas.openxmlformats.org/officeDocument/2006/relationships" r:embed="rId3"/>
        <a:stretch>
          <a:fillRect/>
        </a:stretch>
      </xdr:blipFill>
      <xdr:spPr>
        <a:xfrm>
          <a:off x="0" y="14725650"/>
          <a:ext cx="8076191" cy="2895238"/>
        </a:xfrm>
        <a:prstGeom prst="rect">
          <a:avLst/>
        </a:prstGeom>
      </xdr:spPr>
    </xdr:pic>
    <xdr:clientData/>
  </xdr:twoCellAnchor>
  <xdr:twoCellAnchor editAs="oneCell">
    <xdr:from>
      <xdr:col>0</xdr:col>
      <xdr:colOff>0</xdr:colOff>
      <xdr:row>62</xdr:row>
      <xdr:rowOff>57150</xdr:rowOff>
    </xdr:from>
    <xdr:to>
      <xdr:col>10</xdr:col>
      <xdr:colOff>475334</xdr:colOff>
      <xdr:row>78</xdr:row>
      <xdr:rowOff>28236</xdr:rowOff>
    </xdr:to>
    <xdr:pic>
      <xdr:nvPicPr>
        <xdr:cNvPr id="7" name="图片 6"/>
        <xdr:cNvPicPr>
          <a:picLocks noChangeAspect="1"/>
        </xdr:cNvPicPr>
      </xdr:nvPicPr>
      <xdr:blipFill>
        <a:blip xmlns:r="http://schemas.openxmlformats.org/officeDocument/2006/relationships" r:embed="rId4"/>
        <a:stretch>
          <a:fillRect/>
        </a:stretch>
      </xdr:blipFill>
      <xdr:spPr>
        <a:xfrm>
          <a:off x="0" y="10687050"/>
          <a:ext cx="7333334" cy="2714286"/>
        </a:xfrm>
        <a:prstGeom prst="rect">
          <a:avLst/>
        </a:prstGeom>
      </xdr:spPr>
    </xdr:pic>
    <xdr:clientData/>
  </xdr:twoCellAnchor>
  <xdr:twoCellAnchor editAs="oneCell">
    <xdr:from>
      <xdr:col>0</xdr:col>
      <xdr:colOff>0</xdr:colOff>
      <xdr:row>136</xdr:row>
      <xdr:rowOff>0</xdr:rowOff>
    </xdr:from>
    <xdr:to>
      <xdr:col>23</xdr:col>
      <xdr:colOff>445649</xdr:colOff>
      <xdr:row>148</xdr:row>
      <xdr:rowOff>66410</xdr:rowOff>
    </xdr:to>
    <xdr:pic>
      <xdr:nvPicPr>
        <xdr:cNvPr id="4" name="图片 3"/>
        <xdr:cNvPicPr>
          <a:picLocks noChangeAspect="1"/>
        </xdr:cNvPicPr>
      </xdr:nvPicPr>
      <xdr:blipFill>
        <a:blip xmlns:r="http://schemas.openxmlformats.org/officeDocument/2006/relationships" r:embed="rId5"/>
        <a:stretch>
          <a:fillRect/>
        </a:stretch>
      </xdr:blipFill>
      <xdr:spPr>
        <a:xfrm>
          <a:off x="0" y="23317200"/>
          <a:ext cx="16219049" cy="2123810"/>
        </a:xfrm>
        <a:prstGeom prst="rect">
          <a:avLst/>
        </a:prstGeom>
      </xdr:spPr>
    </xdr:pic>
    <xdr:clientData/>
  </xdr:twoCellAnchor>
  <xdr:twoCellAnchor editAs="oneCell">
    <xdr:from>
      <xdr:col>0</xdr:col>
      <xdr:colOff>0</xdr:colOff>
      <xdr:row>185</xdr:row>
      <xdr:rowOff>123825</xdr:rowOff>
    </xdr:from>
    <xdr:to>
      <xdr:col>17</xdr:col>
      <xdr:colOff>550925</xdr:colOff>
      <xdr:row>202</xdr:row>
      <xdr:rowOff>66318</xdr:rowOff>
    </xdr:to>
    <xdr:pic>
      <xdr:nvPicPr>
        <xdr:cNvPr id="5" name="图片 4"/>
        <xdr:cNvPicPr>
          <a:picLocks noChangeAspect="1"/>
        </xdr:cNvPicPr>
      </xdr:nvPicPr>
      <xdr:blipFill>
        <a:blip xmlns:r="http://schemas.openxmlformats.org/officeDocument/2006/relationships" r:embed="rId6"/>
        <a:stretch>
          <a:fillRect/>
        </a:stretch>
      </xdr:blipFill>
      <xdr:spPr>
        <a:xfrm>
          <a:off x="0" y="31842075"/>
          <a:ext cx="12209525" cy="2857143"/>
        </a:xfrm>
        <a:prstGeom prst="rect">
          <a:avLst/>
        </a:prstGeom>
      </xdr:spPr>
    </xdr:pic>
    <xdr:clientData/>
  </xdr:twoCellAnchor>
  <xdr:twoCellAnchor editAs="oneCell">
    <xdr:from>
      <xdr:col>0</xdr:col>
      <xdr:colOff>0</xdr:colOff>
      <xdr:row>106</xdr:row>
      <xdr:rowOff>9525</xdr:rowOff>
    </xdr:from>
    <xdr:to>
      <xdr:col>22</xdr:col>
      <xdr:colOff>312401</xdr:colOff>
      <xdr:row>138</xdr:row>
      <xdr:rowOff>18363</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8183225"/>
          <a:ext cx="15400001" cy="5495238"/>
        </a:xfrm>
        <a:prstGeom prst="rect">
          <a:avLst/>
        </a:prstGeom>
      </xdr:spPr>
    </xdr:pic>
    <xdr:clientData/>
  </xdr:twoCellAnchor>
  <xdr:twoCellAnchor editAs="oneCell">
    <xdr:from>
      <xdr:col>0</xdr:col>
      <xdr:colOff>0</xdr:colOff>
      <xdr:row>151</xdr:row>
      <xdr:rowOff>0</xdr:rowOff>
    </xdr:from>
    <xdr:to>
      <xdr:col>20</xdr:col>
      <xdr:colOff>626858</xdr:colOff>
      <xdr:row>185</xdr:row>
      <xdr:rowOff>65938</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5888950"/>
          <a:ext cx="14342858" cy="58952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23</xdr:col>
      <xdr:colOff>550411</xdr:colOff>
      <xdr:row>18</xdr:row>
      <xdr:rowOff>123467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42900"/>
          <a:ext cx="16323811" cy="2866667"/>
        </a:xfrm>
        <a:prstGeom prst="rect">
          <a:avLst/>
        </a:prstGeom>
      </xdr:spPr>
    </xdr:pic>
    <xdr:clientData/>
  </xdr:twoCellAnchor>
  <xdr:twoCellAnchor editAs="oneCell">
    <xdr:from>
      <xdr:col>0</xdr:col>
      <xdr:colOff>0</xdr:colOff>
      <xdr:row>23</xdr:row>
      <xdr:rowOff>66675</xdr:rowOff>
    </xdr:from>
    <xdr:to>
      <xdr:col>23</xdr:col>
      <xdr:colOff>645649</xdr:colOff>
      <xdr:row>45</xdr:row>
      <xdr:rowOff>56680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010025"/>
          <a:ext cx="16419049" cy="3761905"/>
        </a:xfrm>
        <a:prstGeom prst="rect">
          <a:avLst/>
        </a:prstGeom>
      </xdr:spPr>
    </xdr:pic>
    <xdr:clientData/>
  </xdr:twoCellAnchor>
  <xdr:twoCellAnchor editAs="oneCell">
    <xdr:from>
      <xdr:col>2</xdr:col>
      <xdr:colOff>381000</xdr:colOff>
      <xdr:row>22</xdr:row>
      <xdr:rowOff>115388</xdr:rowOff>
    </xdr:from>
    <xdr:to>
      <xdr:col>15</xdr:col>
      <xdr:colOff>647700</xdr:colOff>
      <xdr:row>46</xdr:row>
      <xdr:rowOff>84934</xdr:rowOff>
    </xdr:to>
    <xdr:pic>
      <xdr:nvPicPr>
        <xdr:cNvPr id="4" name="图片 3"/>
        <xdr:cNvPicPr>
          <a:picLocks noChangeAspect="1"/>
        </xdr:cNvPicPr>
      </xdr:nvPicPr>
      <xdr:blipFill>
        <a:blip xmlns:r="http://schemas.openxmlformats.org/officeDocument/2006/relationships" r:embed="rId3"/>
        <a:stretch>
          <a:fillRect/>
        </a:stretch>
      </xdr:blipFill>
      <xdr:spPr>
        <a:xfrm>
          <a:off x="1752600" y="3887288"/>
          <a:ext cx="9182100" cy="4084346"/>
        </a:xfrm>
        <a:prstGeom prst="rect">
          <a:avLst/>
        </a:prstGeom>
      </xdr:spPr>
    </xdr:pic>
    <xdr:clientData/>
  </xdr:twoCellAnchor>
  <xdr:twoCellAnchor editAs="oneCell">
    <xdr:from>
      <xdr:col>0</xdr:col>
      <xdr:colOff>0</xdr:colOff>
      <xdr:row>73</xdr:row>
      <xdr:rowOff>19050</xdr:rowOff>
    </xdr:from>
    <xdr:to>
      <xdr:col>23</xdr:col>
      <xdr:colOff>521839</xdr:colOff>
      <xdr:row>86</xdr:row>
      <xdr:rowOff>66391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2534900"/>
          <a:ext cx="16295239" cy="2276191"/>
        </a:xfrm>
        <a:prstGeom prst="rect">
          <a:avLst/>
        </a:prstGeom>
      </xdr:spPr>
    </xdr:pic>
    <xdr:clientData/>
  </xdr:twoCellAnchor>
  <xdr:twoCellAnchor editAs="oneCell">
    <xdr:from>
      <xdr:col>0</xdr:col>
      <xdr:colOff>0</xdr:colOff>
      <xdr:row>47</xdr:row>
      <xdr:rowOff>0</xdr:rowOff>
    </xdr:from>
    <xdr:to>
      <xdr:col>24</xdr:col>
      <xdr:colOff>112230</xdr:colOff>
      <xdr:row>73</xdr:row>
      <xdr:rowOff>113729</xdr:rowOff>
    </xdr:to>
    <xdr:pic>
      <xdr:nvPicPr>
        <xdr:cNvPr id="6" name="图片 5"/>
        <xdr:cNvPicPr>
          <a:picLocks noChangeAspect="1"/>
        </xdr:cNvPicPr>
      </xdr:nvPicPr>
      <xdr:blipFill>
        <a:blip xmlns:r="http://schemas.openxmlformats.org/officeDocument/2006/relationships" r:embed="rId5"/>
        <a:stretch>
          <a:fillRect/>
        </a:stretch>
      </xdr:blipFill>
      <xdr:spPr>
        <a:xfrm>
          <a:off x="0" y="8058150"/>
          <a:ext cx="16571430" cy="45714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85725</xdr:rowOff>
    </xdr:from>
    <xdr:to>
      <xdr:col>17</xdr:col>
      <xdr:colOff>236639</xdr:colOff>
      <xdr:row>18</xdr:row>
      <xdr:rowOff>37763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28625"/>
          <a:ext cx="11895239" cy="2695238"/>
        </a:xfrm>
        <a:prstGeom prst="rect">
          <a:avLst/>
        </a:prstGeom>
      </xdr:spPr>
    </xdr:pic>
    <xdr:clientData/>
  </xdr:twoCellAnchor>
  <xdr:twoCellAnchor editAs="oneCell">
    <xdr:from>
      <xdr:col>0</xdr:col>
      <xdr:colOff>0</xdr:colOff>
      <xdr:row>21</xdr:row>
      <xdr:rowOff>0</xdr:rowOff>
    </xdr:from>
    <xdr:to>
      <xdr:col>23</xdr:col>
      <xdr:colOff>598030</xdr:colOff>
      <xdr:row>32</xdr:row>
      <xdr:rowOff>47383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600450"/>
          <a:ext cx="16371430" cy="1933333"/>
        </a:xfrm>
        <a:prstGeom prst="rect">
          <a:avLst/>
        </a:prstGeom>
      </xdr:spPr>
    </xdr:pic>
    <xdr:clientData/>
  </xdr:twoCellAnchor>
  <xdr:twoCellAnchor editAs="oneCell">
    <xdr:from>
      <xdr:col>0</xdr:col>
      <xdr:colOff>0</xdr:colOff>
      <xdr:row>63</xdr:row>
      <xdr:rowOff>76200</xdr:rowOff>
    </xdr:from>
    <xdr:to>
      <xdr:col>23</xdr:col>
      <xdr:colOff>521839</xdr:colOff>
      <xdr:row>77</xdr:row>
      <xdr:rowOff>66376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877550"/>
          <a:ext cx="16295239" cy="2390476"/>
        </a:xfrm>
        <a:prstGeom prst="rect">
          <a:avLst/>
        </a:prstGeom>
      </xdr:spPr>
    </xdr:pic>
    <xdr:clientData/>
  </xdr:twoCellAnchor>
  <xdr:twoCellAnchor editAs="oneCell">
    <xdr:from>
      <xdr:col>0</xdr:col>
      <xdr:colOff>0</xdr:colOff>
      <xdr:row>33</xdr:row>
      <xdr:rowOff>19050</xdr:rowOff>
    </xdr:from>
    <xdr:to>
      <xdr:col>23</xdr:col>
      <xdr:colOff>531363</xdr:colOff>
      <xdr:row>65</xdr:row>
      <xdr:rowOff>46936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676900"/>
          <a:ext cx="16304763" cy="55142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26</xdr:row>
      <xdr:rowOff>133350</xdr:rowOff>
    </xdr:from>
    <xdr:to>
      <xdr:col>24</xdr:col>
      <xdr:colOff>121754</xdr:colOff>
      <xdr:row>45</xdr:row>
      <xdr:rowOff>171038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591050"/>
          <a:ext cx="16580954" cy="3295238"/>
        </a:xfrm>
        <a:prstGeom prst="rect">
          <a:avLst/>
        </a:prstGeom>
      </xdr:spPr>
    </xdr:pic>
    <xdr:clientData/>
  </xdr:twoCellAnchor>
  <xdr:twoCellAnchor editAs="oneCell">
    <xdr:from>
      <xdr:col>0</xdr:col>
      <xdr:colOff>0</xdr:colOff>
      <xdr:row>2</xdr:row>
      <xdr:rowOff>0</xdr:rowOff>
    </xdr:from>
    <xdr:to>
      <xdr:col>20</xdr:col>
      <xdr:colOff>17334</xdr:colOff>
      <xdr:row>27</xdr:row>
      <xdr:rowOff>104226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42900"/>
          <a:ext cx="13733334" cy="4390476"/>
        </a:xfrm>
        <a:prstGeom prst="rect">
          <a:avLst/>
        </a:prstGeom>
      </xdr:spPr>
    </xdr:pic>
    <xdr:clientData/>
  </xdr:twoCellAnchor>
  <xdr:twoCellAnchor editAs="oneCell">
    <xdr:from>
      <xdr:col>0</xdr:col>
      <xdr:colOff>9525</xdr:colOff>
      <xdr:row>80</xdr:row>
      <xdr:rowOff>19050</xdr:rowOff>
    </xdr:from>
    <xdr:to>
      <xdr:col>23</xdr:col>
      <xdr:colOff>607555</xdr:colOff>
      <xdr:row>99</xdr:row>
      <xdr:rowOff>142453</xdr:rowOff>
    </xdr:to>
    <xdr:pic>
      <xdr:nvPicPr>
        <xdr:cNvPr id="4" name="图片 3"/>
        <xdr:cNvPicPr>
          <a:picLocks noChangeAspect="1"/>
        </xdr:cNvPicPr>
      </xdr:nvPicPr>
      <xdr:blipFill>
        <a:blip xmlns:r="http://schemas.openxmlformats.org/officeDocument/2006/relationships" r:embed="rId3"/>
        <a:stretch>
          <a:fillRect/>
        </a:stretch>
      </xdr:blipFill>
      <xdr:spPr>
        <a:xfrm>
          <a:off x="9525" y="13735050"/>
          <a:ext cx="16371430" cy="3380953"/>
        </a:xfrm>
        <a:prstGeom prst="rect">
          <a:avLst/>
        </a:prstGeom>
      </xdr:spPr>
    </xdr:pic>
    <xdr:clientData/>
  </xdr:twoCellAnchor>
  <xdr:twoCellAnchor editAs="oneCell">
    <xdr:from>
      <xdr:col>0</xdr:col>
      <xdr:colOff>0</xdr:colOff>
      <xdr:row>48</xdr:row>
      <xdr:rowOff>0</xdr:rowOff>
    </xdr:from>
    <xdr:to>
      <xdr:col>24</xdr:col>
      <xdr:colOff>64611</xdr:colOff>
      <xdr:row>81</xdr:row>
      <xdr:rowOff>27865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8229600"/>
          <a:ext cx="16523811" cy="5685715"/>
        </a:xfrm>
        <a:prstGeom prst="rect">
          <a:avLst/>
        </a:prstGeom>
      </xdr:spPr>
    </xdr:pic>
    <xdr:clientData/>
  </xdr:twoCellAnchor>
  <xdr:twoCellAnchor editAs="oneCell">
    <xdr:from>
      <xdr:col>0</xdr:col>
      <xdr:colOff>0</xdr:colOff>
      <xdr:row>103</xdr:row>
      <xdr:rowOff>47625</xdr:rowOff>
    </xdr:from>
    <xdr:to>
      <xdr:col>24</xdr:col>
      <xdr:colOff>112230</xdr:colOff>
      <xdr:row>125</xdr:row>
      <xdr:rowOff>104297</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7706975"/>
          <a:ext cx="16571430" cy="3828572"/>
        </a:xfrm>
        <a:prstGeom prst="rect">
          <a:avLst/>
        </a:prstGeom>
      </xdr:spPr>
    </xdr:pic>
    <xdr:clientData/>
  </xdr:twoCellAnchor>
  <xdr:twoCellAnchor editAs="oneCell">
    <xdr:from>
      <xdr:col>0</xdr:col>
      <xdr:colOff>0</xdr:colOff>
      <xdr:row>166</xdr:row>
      <xdr:rowOff>66675</xdr:rowOff>
    </xdr:from>
    <xdr:to>
      <xdr:col>20</xdr:col>
      <xdr:colOff>264953</xdr:colOff>
      <xdr:row>188</xdr:row>
      <xdr:rowOff>151918</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8527375"/>
          <a:ext cx="13980953" cy="3857143"/>
        </a:xfrm>
        <a:prstGeom prst="rect">
          <a:avLst/>
        </a:prstGeom>
      </xdr:spPr>
    </xdr:pic>
    <xdr:clientData/>
  </xdr:twoCellAnchor>
  <xdr:twoCellAnchor editAs="oneCell">
    <xdr:from>
      <xdr:col>0</xdr:col>
      <xdr:colOff>0</xdr:colOff>
      <xdr:row>128</xdr:row>
      <xdr:rowOff>0</xdr:rowOff>
    </xdr:from>
    <xdr:to>
      <xdr:col>23</xdr:col>
      <xdr:colOff>617077</xdr:colOff>
      <xdr:row>165</xdr:row>
      <xdr:rowOff>132541</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1945600"/>
          <a:ext cx="16390477" cy="64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5" thickTop="1">
      <c r="A2" s="1194" t="s">
        <v>522</v>
      </c>
      <c r="B2" s="1195" t="str">
        <f>'预评函-封皮'!B37:I37</f>
        <v>房地产抵押价值预评估</v>
      </c>
    </row>
    <row r="3" spans="1:2" s="1199" customFormat="1">
      <c r="A3" s="1197" t="s">
        <v>523</v>
      </c>
      <c r="B3" s="1198">
        <f>'预评函-封皮'!B40</f>
        <v>0</v>
      </c>
    </row>
    <row r="4" spans="1:2" s="1199" customFormat="1">
      <c r="A4" s="1197" t="s">
        <v>524</v>
      </c>
      <c r="B4" s="1198" t="str">
        <f>'预评函-封皮'!B46</f>
        <v>（注册号：0)、（注册号：0)</v>
      </c>
    </row>
    <row r="5" spans="1:2" s="1193" customFormat="1" ht="15" thickBot="1">
      <c r="A5" s="1200" t="s">
        <v>525</v>
      </c>
      <c r="B5" s="1201" t="str">
        <f>'预评函-封皮'!B49</f>
        <v>康正预评字号</v>
      </c>
    </row>
    <row r="6" spans="1:2" s="1196" customFormat="1" ht="15" thickTop="1">
      <c r="A6" s="1194" t="s">
        <v>526</v>
      </c>
      <c r="B6" s="1195" t="str">
        <f>'预评函-1'!A4</f>
        <v>受贵公司委托，我公司对房地产抵押价值进行了预评估。</v>
      </c>
    </row>
    <row r="7" spans="1:2" s="1199" customFormat="1">
      <c r="A7" s="1197" t="s">
        <v>566</v>
      </c>
      <c r="B7" s="1198" t="str">
        <f>'预评函-1'!A7</f>
        <v>估价对象为房地产，为所有。根据《国有土地使用证》[]，估价对象（分摊）出让国有建设用地使用权面积为15635.46平方米，建筑面积为226846.23平方米。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估价对象为房地产,属开发建设的，该项目尚在开发建设中。根据《国有土地使用证》[]，估价对象（分摊）出让国有建设用地使用权面积为15635.46平方米，规划建筑面积为226846.23平方米。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2023年3月20日</v>
      </c>
    </row>
    <row r="13" spans="1:2" s="1199" customFormat="1">
      <c r="A13" s="1197" t="s">
        <v>529</v>
      </c>
      <c r="B13" s="1198" t="str">
        <f>'预评函-1'!A18</f>
        <v>本次估价的“房地产价值”是指在正常市场情况下，在价值时点2023年3月20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
      </c>
    </row>
    <row r="18" spans="1:2" s="1193" customFormat="1" ht="15" thickBot="1">
      <c r="A18" s="1200" t="s">
        <v>534</v>
      </c>
      <c r="B18" s="1201" t="str">
        <f>'预评函-1'!A24</f>
        <v>本次评估采用的主估价方法为成本法和假设开发法。</v>
      </c>
    </row>
    <row r="19" spans="1:2" s="1196" customFormat="1" ht="15"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355043</v>
      </c>
    </row>
    <row r="21" spans="1:2" s="1199" customFormat="1">
      <c r="A21" s="1197" t="s">
        <v>537</v>
      </c>
      <c r="B21" s="1198">
        <f ca="1">'预评函-2'!D7</f>
        <v>15651</v>
      </c>
    </row>
    <row r="22" spans="1:2" s="1199" customFormat="1">
      <c r="A22" s="1197" t="s">
        <v>538</v>
      </c>
      <c r="B22" s="1198" t="str">
        <f ca="1">'预评函-2'!D6</f>
        <v>叁拾伍亿伍仟零肆拾叁万元整</v>
      </c>
    </row>
    <row r="23" spans="1:2" s="1199" customFormat="1">
      <c r="A23" s="1197" t="s">
        <v>589</v>
      </c>
      <c r="B23" s="1198" t="str">
        <f>'预评函-2'!B8</f>
        <v>2.估价师知悉的法定优先受偿款</v>
      </c>
    </row>
    <row r="24" spans="1:2" s="1199" customFormat="1">
      <c r="A24" s="1197" t="s">
        <v>595</v>
      </c>
      <c r="B24" s="1198">
        <f>'预评函-2'!D8</f>
        <v>4000</v>
      </c>
    </row>
    <row r="25" spans="1:2" s="1199" customFormat="1">
      <c r="A25" s="1197" t="s">
        <v>539</v>
      </c>
      <c r="B25" s="1198" t="str">
        <f>'预评函-2'!D9</f>
        <v>肆仟万元整</v>
      </c>
    </row>
    <row r="26" spans="1:2" s="1199" customFormat="1">
      <c r="A26" s="1197" t="s">
        <v>540</v>
      </c>
      <c r="B26" s="1198">
        <f>'预评函-2'!D10</f>
        <v>0</v>
      </c>
    </row>
    <row r="27" spans="1:2" s="1199" customFormat="1">
      <c r="A27" s="1197" t="s">
        <v>541</v>
      </c>
      <c r="B27" s="1198">
        <f>'预评函-2'!D11</f>
        <v>4000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351043</v>
      </c>
    </row>
    <row r="31" spans="1:2" s="1199" customFormat="1">
      <c r="A31" s="1197" t="s">
        <v>576</v>
      </c>
      <c r="B31" s="1198">
        <f ca="1">'预评函-2'!D15</f>
        <v>15475</v>
      </c>
    </row>
    <row r="32" spans="1:2" s="1199" customFormat="1">
      <c r="A32" s="1197" t="s">
        <v>543</v>
      </c>
      <c r="B32" s="1198" t="str">
        <f ca="1">'预评函-2'!D14</f>
        <v>叁拾伍亿壹仟零肆拾叁万元整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房地产</v>
      </c>
    </row>
    <row r="42" spans="1:2" s="1199" customFormat="1">
      <c r="A42" s="1197" t="s">
        <v>590</v>
      </c>
      <c r="B42" s="1198" t="str">
        <f>'预评函-3'!B2</f>
        <v>建筑面积</v>
      </c>
    </row>
    <row r="43" spans="1:2" s="1199" customFormat="1">
      <c r="A43" s="1197" t="s">
        <v>591</v>
      </c>
      <c r="B43" s="1198">
        <f>'预评函-3'!B4</f>
        <v>226846.22999999989</v>
      </c>
    </row>
    <row r="44" spans="1:2" s="1199" customFormat="1">
      <c r="A44" s="1197" t="s">
        <v>575</v>
      </c>
      <c r="B44" s="1198" t="str">
        <f>'预评函-3'!C2</f>
        <v>(分摊)土地面积</v>
      </c>
    </row>
    <row r="45" spans="1:2" s="1199" customFormat="1">
      <c r="A45" s="1197" t="s">
        <v>547</v>
      </c>
      <c r="B45" s="1198">
        <f>'预评函-3'!C4</f>
        <v>15635.46</v>
      </c>
    </row>
    <row r="46" spans="1:2" s="1199" customFormat="1">
      <c r="A46" s="1197" t="s">
        <v>573</v>
      </c>
      <c r="B46" s="1198" t="str">
        <f>'预评函-3'!D2</f>
        <v>出让国有建设用地使用权价值</v>
      </c>
    </row>
    <row r="47" spans="1:2" s="1199" customFormat="1">
      <c r="A47" s="1197" t="s">
        <v>548</v>
      </c>
      <c r="B47" s="1198">
        <f ca="1">'预评函-3'!D4</f>
        <v>77754</v>
      </c>
    </row>
    <row r="48" spans="1:2" s="1199" customFormat="1">
      <c r="A48" s="1197" t="s">
        <v>549</v>
      </c>
      <c r="B48" s="1198">
        <f ca="1">'预评函-3'!E4</f>
        <v>3427</v>
      </c>
    </row>
    <row r="49" spans="1:2" s="1199" customFormat="1">
      <c r="A49" s="1197" t="s">
        <v>550</v>
      </c>
      <c r="B49" s="1198" t="str">
        <f ca="1">'预评函-3'!D5</f>
        <v>柒亿柒仟柒佰伍拾肆万元整</v>
      </c>
    </row>
    <row r="50" spans="1:2" s="1199" customFormat="1">
      <c r="A50" s="1197" t="s">
        <v>574</v>
      </c>
      <c r="B50" s="1198" t="str">
        <f>'预评函-3'!F2</f>
        <v>在建建筑物价值</v>
      </c>
    </row>
    <row r="51" spans="1:2" s="1199" customFormat="1">
      <c r="A51" s="1197" t="s">
        <v>551</v>
      </c>
      <c r="B51" s="1198">
        <f ca="1">'预评函-3'!F4</f>
        <v>277289</v>
      </c>
    </row>
    <row r="52" spans="1:2" s="1199" customFormat="1">
      <c r="A52" s="1197" t="s">
        <v>552</v>
      </c>
      <c r="B52" s="1198">
        <f ca="1">'预评函-3'!G4</f>
        <v>12224</v>
      </c>
    </row>
    <row r="53" spans="1:2" s="1199" customFormat="1">
      <c r="A53" s="1197" t="s">
        <v>580</v>
      </c>
      <c r="B53" s="1198" t="str">
        <f ca="1">'预评函-3'!F5</f>
        <v>贰拾柒亿柒仟贰佰捌拾玖万元整</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5" thickBot="1">
      <c r="A57" s="1200" t="s">
        <v>599</v>
      </c>
      <c r="B57" s="1201" t="str">
        <f>'预评函-3'!A6</f>
        <v>估价师知悉的法定优先受偿款</v>
      </c>
    </row>
    <row r="58" spans="1:2" s="1196" customFormat="1" ht="15"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故，本次评估估价师知悉的法定优先受偿款为人民币4000万元整。</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9" customFormat="1">
      <c r="A67" s="1197" t="s">
        <v>571</v>
      </c>
      <c r="B67" s="11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9" customFormat="1">
      <c r="A68" s="1197" t="s">
        <v>572</v>
      </c>
      <c r="B68" s="1198" t="str">
        <f>'预评函-4'!A22</f>
        <v>8.其他需特殊说明事项：无（注意调整序号）</v>
      </c>
    </row>
    <row r="69" spans="1:2" s="1193" customFormat="1" ht="15" thickBot="1">
      <c r="A69" s="1200" t="s">
        <v>561</v>
      </c>
      <c r="B69" s="1202">
        <f>'预评函-4'!C31</f>
        <v>42551</v>
      </c>
    </row>
    <row r="70" spans="1:2" ht="15" thickTop="1">
      <c r="A70" s="1203" t="s">
        <v>562</v>
      </c>
      <c r="B70" s="1204">
        <f>'预评函-4'!A4</f>
        <v>0</v>
      </c>
    </row>
    <row r="71" spans="1:2">
      <c r="A71" s="1197" t="s">
        <v>563</v>
      </c>
      <c r="B71" s="1198">
        <f>'预评函-4'!B4</f>
        <v>0</v>
      </c>
    </row>
    <row r="72" spans="1:2">
      <c r="A72" s="1197" t="s">
        <v>564</v>
      </c>
      <c r="B72" s="1206">
        <f>'预评函-4'!A5</f>
        <v>0</v>
      </c>
    </row>
    <row r="73" spans="1:2" s="1193" customFormat="1" ht="15" thickBot="1">
      <c r="A73" s="1200" t="s">
        <v>565</v>
      </c>
      <c r="B73" s="1201">
        <f>'预评函-4'!B5</f>
        <v>0</v>
      </c>
    </row>
    <row r="74" spans="1:2" ht="15" thickTop="1">
      <c r="A74" s="1190" t="s">
        <v>601</v>
      </c>
      <c r="B74" s="1207"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977</v>
      </c>
      <c r="C1" s="1537" t="s">
        <v>314</v>
      </c>
      <c r="D1" s="1539" t="s">
        <v>3357</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3343</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3344</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3345</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3346</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3347</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3348</v>
      </c>
    </row>
    <row r="8" spans="1:23">
      <c r="A8" s="1542" t="s">
        <v>1026</v>
      </c>
      <c r="B8" s="1542" t="s">
        <v>1027</v>
      </c>
      <c r="C8" s="1543" t="s">
        <v>319</v>
      </c>
      <c r="F8" s="1544" t="s">
        <v>1028</v>
      </c>
      <c r="H8" s="1544" t="s">
        <v>2579</v>
      </c>
      <c r="I8" s="1544" t="s">
        <v>3349</v>
      </c>
    </row>
    <row r="9" spans="1:23">
      <c r="A9" s="1542" t="s">
        <v>1029</v>
      </c>
      <c r="B9" s="1542" t="s">
        <v>1030</v>
      </c>
      <c r="C9" s="1543" t="s">
        <v>320</v>
      </c>
      <c r="F9" s="1544" t="s">
        <v>1031</v>
      </c>
      <c r="H9" s="1544"/>
      <c r="I9" s="1547" t="s">
        <v>3350</v>
      </c>
    </row>
    <row r="10" spans="1:23">
      <c r="A10" s="1542" t="s">
        <v>1032</v>
      </c>
      <c r="B10" s="1542" t="s">
        <v>1033</v>
      </c>
      <c r="C10" s="1543" t="s">
        <v>321</v>
      </c>
      <c r="F10" s="1544" t="s">
        <v>2580</v>
      </c>
      <c r="I10" s="1547" t="s">
        <v>3351</v>
      </c>
    </row>
    <row r="11" spans="1:23">
      <c r="A11" s="1542" t="s">
        <v>1034</v>
      </c>
      <c r="B11" s="1542" t="s">
        <v>1035</v>
      </c>
      <c r="C11" s="1543" t="s">
        <v>322</v>
      </c>
      <c r="F11" s="1544" t="s">
        <v>13</v>
      </c>
      <c r="I11" s="1547" t="s">
        <v>3352</v>
      </c>
    </row>
    <row r="12" spans="1:23">
      <c r="A12" s="1542" t="s">
        <v>1036</v>
      </c>
      <c r="B12" s="1542" t="s">
        <v>1037</v>
      </c>
      <c r="C12" s="1543" t="s">
        <v>323</v>
      </c>
      <c r="I12" s="1547" t="s">
        <v>3353</v>
      </c>
    </row>
    <row r="13" spans="1:23">
      <c r="A13" s="1542" t="s">
        <v>1038</v>
      </c>
      <c r="B13" s="1542" t="s">
        <v>1039</v>
      </c>
      <c r="C13" s="1543" t="s">
        <v>324</v>
      </c>
      <c r="I13" s="1547" t="s">
        <v>3354</v>
      </c>
    </row>
    <row r="14" spans="1:23">
      <c r="A14" s="1542" t="s">
        <v>1040</v>
      </c>
      <c r="B14" s="1542" t="s">
        <v>1041</v>
      </c>
      <c r="C14" s="1544" t="s">
        <v>13</v>
      </c>
      <c r="I14" s="1547" t="s">
        <v>3355</v>
      </c>
    </row>
    <row r="15" spans="1:23">
      <c r="A15" s="1542" t="s">
        <v>1042</v>
      </c>
      <c r="B15" s="1542" t="s">
        <v>1043</v>
      </c>
      <c r="C15" s="1543"/>
      <c r="I15" s="1547" t="s">
        <v>3356</v>
      </c>
    </row>
    <row r="16" spans="1:23">
      <c r="A16" s="1542" t="s">
        <v>1044</v>
      </c>
      <c r="B16" s="1542" t="s">
        <v>312</v>
      </c>
      <c r="C16" s="1543"/>
    </row>
    <row r="17" spans="1:3">
      <c r="A17" s="1542" t="s">
        <v>1045</v>
      </c>
      <c r="B17" s="1542" t="s">
        <v>2292</v>
      </c>
      <c r="C17" s="1543"/>
    </row>
    <row r="18" spans="1:3">
      <c r="A18" s="1542" t="s">
        <v>1046</v>
      </c>
      <c r="B18" s="1542" t="s">
        <v>2435</v>
      </c>
      <c r="C18" s="1543"/>
    </row>
    <row r="19" spans="1:3">
      <c r="A19" s="1542" t="s">
        <v>1047</v>
      </c>
      <c r="B19" s="1542" t="s">
        <v>313</v>
      </c>
      <c r="C19" s="1543"/>
    </row>
    <row r="20" spans="1:3">
      <c r="A20" s="1542" t="s">
        <v>1048</v>
      </c>
      <c r="B20" s="1542" t="s">
        <v>313</v>
      </c>
      <c r="C20" s="1543"/>
    </row>
    <row r="21" spans="1:3">
      <c r="A21" s="1542" t="s">
        <v>1049</v>
      </c>
      <c r="B21" s="1542" t="s">
        <v>313</v>
      </c>
      <c r="C21" s="1543"/>
    </row>
    <row r="22" spans="1:3">
      <c r="A22" s="1542" t="s">
        <v>1050</v>
      </c>
      <c r="B22" s="1542" t="s">
        <v>313</v>
      </c>
      <c r="C22" s="1543"/>
    </row>
    <row r="23" spans="1:3">
      <c r="A23" s="1542" t="s">
        <v>1051</v>
      </c>
      <c r="B23" s="1542" t="s">
        <v>313</v>
      </c>
      <c r="C23" s="1543"/>
    </row>
    <row r="24" spans="1:3">
      <c r="A24" s="1542" t="s">
        <v>1052</v>
      </c>
      <c r="B24" s="1542" t="s">
        <v>313</v>
      </c>
      <c r="C24" s="1543"/>
    </row>
    <row r="25" spans="1:3">
      <c r="A25" s="1542" t="s">
        <v>1053</v>
      </c>
      <c r="B25" s="1542" t="s">
        <v>313</v>
      </c>
      <c r="C25" s="1543"/>
    </row>
    <row r="26" spans="1:3">
      <c r="A26" s="1542" t="s">
        <v>1054</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49"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9"/>
      <c r="B54" s="1550" t="s">
        <v>385</v>
      </c>
      <c r="C54" s="1547" t="s">
        <v>583</v>
      </c>
    </row>
    <row r="55" spans="1:4">
      <c r="A55" s="3549"/>
      <c r="B55" s="1550" t="s">
        <v>386</v>
      </c>
      <c r="C55" s="1547" t="s">
        <v>584</v>
      </c>
    </row>
    <row r="56" spans="1:4">
      <c r="A56" s="3549"/>
      <c r="B56" s="1550" t="s">
        <v>387</v>
      </c>
      <c r="C56" s="1547" t="s">
        <v>588</v>
      </c>
    </row>
    <row r="57" spans="1:4">
      <c r="A57" s="3549"/>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2502</v>
      </c>
      <c r="B1" s="3010"/>
      <c r="C1" s="3010"/>
      <c r="D1" s="3010"/>
      <c r="E1" s="3010"/>
      <c r="F1" s="3011"/>
      <c r="I1" s="3433" t="s">
        <v>2595</v>
      </c>
      <c r="J1" s="3222"/>
      <c r="K1" s="3222"/>
      <c r="L1" s="3222"/>
      <c r="M1" s="3222"/>
      <c r="N1" s="3434"/>
      <c r="O1" s="3434"/>
      <c r="P1" s="3434"/>
      <c r="Q1" s="3434"/>
      <c r="R1" s="3434"/>
    </row>
    <row r="2" spans="1:18">
      <c r="A2" s="3013"/>
      <c r="B2" s="3014"/>
      <c r="C2" s="3014"/>
      <c r="D2" s="3014"/>
      <c r="E2" s="3014"/>
      <c r="F2" s="3015"/>
      <c r="I2" s="3550" t="s">
        <v>2582</v>
      </c>
      <c r="J2" s="3550"/>
      <c r="K2" s="3550"/>
      <c r="L2" s="3550"/>
      <c r="M2" s="3550"/>
      <c r="N2" s="3550"/>
      <c r="O2" s="3550"/>
      <c r="P2" s="3550"/>
      <c r="Q2" s="3550"/>
      <c r="R2" s="3550"/>
    </row>
    <row r="3" spans="1:18">
      <c r="A3" s="3016" t="s">
        <v>2503</v>
      </c>
      <c r="B3" s="3017">
        <f>项目基本情况!D3</f>
        <v>45005</v>
      </c>
      <c r="C3" s="3019"/>
      <c r="D3" s="3019"/>
      <c r="E3" s="3019"/>
      <c r="F3" s="3015"/>
      <c r="I3" s="3435"/>
      <c r="J3" s="3435" t="s">
        <v>2586</v>
      </c>
      <c r="K3" s="3435" t="s">
        <v>2587</v>
      </c>
      <c r="L3" s="3435" t="s">
        <v>2588</v>
      </c>
      <c r="M3" s="3435" t="s">
        <v>2589</v>
      </c>
      <c r="N3" s="3436" t="s">
        <v>2590</v>
      </c>
      <c r="O3" s="3436" t="s">
        <v>2591</v>
      </c>
      <c r="P3" s="3436" t="s">
        <v>2592</v>
      </c>
      <c r="Q3" s="3436" t="s">
        <v>2593</v>
      </c>
      <c r="R3" s="3436" t="s">
        <v>2594</v>
      </c>
    </row>
    <row r="4" spans="1:18">
      <c r="A4" s="3016" t="s">
        <v>2504</v>
      </c>
      <c r="B4" s="3019" t="s">
        <v>2505</v>
      </c>
      <c r="C4" s="3019" t="s">
        <v>2506</v>
      </c>
      <c r="D4" s="3019" t="s">
        <v>2507</v>
      </c>
      <c r="E4" s="3019" t="s">
        <v>2508</v>
      </c>
      <c r="F4" s="3015"/>
      <c r="I4" s="3435" t="s">
        <v>2583</v>
      </c>
      <c r="J4" s="3435">
        <v>80</v>
      </c>
      <c r="K4" s="3435">
        <v>70</v>
      </c>
      <c r="L4" s="3435">
        <v>20</v>
      </c>
      <c r="M4" s="3435">
        <v>30</v>
      </c>
      <c r="N4" s="3019">
        <v>45</v>
      </c>
      <c r="O4" s="3019">
        <v>60</v>
      </c>
      <c r="P4" s="3019">
        <v>50</v>
      </c>
      <c r="Q4" s="3019">
        <v>20</v>
      </c>
      <c r="R4" s="3019">
        <v>375</v>
      </c>
    </row>
    <row r="5" spans="1:18">
      <c r="A5" s="3020">
        <v>40</v>
      </c>
      <c r="B5" s="3017">
        <v>46375</v>
      </c>
      <c r="C5" s="3019">
        <f>ROUNDDOWN(MIN((B5-B3)/365,A5),2)</f>
        <v>3.75</v>
      </c>
      <c r="D5" s="3021">
        <f>IF(ISERROR(ROUND(POWER(1+E5,A5-C5)*(POWER(1+E5,C5)-1)/(POWER(1+E5,A5)-1),3)),0,ROUND(POWER(1+E5,A5-C5)*(POWER(1+E5,C5)-1)/(POWER(1+E5,A5)-1),4))</f>
        <v>0.17280000000000001</v>
      </c>
      <c r="E5" s="3022">
        <v>0.04</v>
      </c>
      <c r="F5" s="3015"/>
      <c r="I5" s="3435" t="s">
        <v>2584</v>
      </c>
      <c r="J5" s="3435">
        <v>70</v>
      </c>
      <c r="K5" s="3435">
        <v>60</v>
      </c>
      <c r="L5" s="3435">
        <v>15</v>
      </c>
      <c r="M5" s="3435">
        <v>25</v>
      </c>
      <c r="N5" s="3019">
        <v>40</v>
      </c>
      <c r="O5" s="3019">
        <v>50</v>
      </c>
      <c r="P5" s="3019">
        <v>40</v>
      </c>
      <c r="Q5" s="3019">
        <v>15</v>
      </c>
      <c r="R5" s="3019">
        <v>315</v>
      </c>
    </row>
    <row r="6" spans="1:18">
      <c r="A6" s="3020">
        <v>50</v>
      </c>
      <c r="B6" s="3017">
        <v>50028</v>
      </c>
      <c r="C6" s="3019">
        <f>ROUNDDOWN(MIN((B6-B3)/365,A6),2)</f>
        <v>13.76</v>
      </c>
      <c r="D6" s="3021">
        <f>IF(ISERROR(ROUND(POWER(1+E6,A6-C6)*(POWER(1+E6,C6)-1)/(POWER(1+E6,A6)-1),3)),0,ROUND(POWER(1+E6,A6-C6)*(POWER(1+E6,C6)-1)/(POWER(1+E6,A6)-1),4))</f>
        <v>0.4854</v>
      </c>
      <c r="E6" s="3022">
        <v>0.04</v>
      </c>
      <c r="F6" s="3015"/>
      <c r="I6" s="3435" t="s">
        <v>2585</v>
      </c>
      <c r="J6" s="3435">
        <v>60</v>
      </c>
      <c r="K6" s="3435">
        <v>50</v>
      </c>
      <c r="L6" s="3435">
        <v>10</v>
      </c>
      <c r="M6" s="3435">
        <v>20</v>
      </c>
      <c r="N6" s="3019">
        <v>35</v>
      </c>
      <c r="O6" s="3019">
        <v>40</v>
      </c>
      <c r="P6" s="3019">
        <v>30</v>
      </c>
      <c r="Q6" s="3019">
        <v>10</v>
      </c>
      <c r="R6" s="3019">
        <v>255</v>
      </c>
    </row>
    <row r="7" spans="1:18">
      <c r="A7" s="3020">
        <v>70</v>
      </c>
      <c r="B7" s="3017">
        <v>57333</v>
      </c>
      <c r="C7" s="3019">
        <f>ROUNDDOWN(MIN((B7-B3)/365,A7),2)</f>
        <v>33.770000000000003</v>
      </c>
      <c r="D7" s="3021">
        <f>IF(ISERROR(ROUND(POWER(1+E7,A7-C7)*(POWER(1+E7,C7)-1)/(POWER(1+E7,A7)-1),3)),0,ROUND(POWER(1+E7,A7-C7)*(POWER(1+E7,C7)-1)/(POWER(1+E7,A7)-1),4))</f>
        <v>0.78439999999999999</v>
      </c>
      <c r="E7" s="3022">
        <v>0.04</v>
      </c>
      <c r="F7" s="3015"/>
    </row>
    <row r="8" spans="1:18">
      <c r="A8" s="3013"/>
      <c r="B8" s="3014"/>
      <c r="C8" s="3014"/>
      <c r="D8" s="3014"/>
      <c r="E8" s="3014"/>
      <c r="F8" s="3015"/>
    </row>
    <row r="9" spans="1:18">
      <c r="A9" s="3016" t="s">
        <v>2509</v>
      </c>
      <c r="B9" s="3019"/>
      <c r="C9" s="3019"/>
      <c r="D9" s="3019"/>
      <c r="E9" s="3019"/>
      <c r="F9" s="3023"/>
    </row>
    <row r="10" spans="1:18">
      <c r="A10" s="3016" t="s">
        <v>2510</v>
      </c>
      <c r="B10" s="3019"/>
      <c r="C10" s="3019"/>
      <c r="D10" s="3019" t="s">
        <v>2508</v>
      </c>
      <c r="E10" s="3019"/>
      <c r="F10" s="3023" t="s">
        <v>2507</v>
      </c>
    </row>
    <row r="11" spans="1:18">
      <c r="A11" s="3016" t="s">
        <v>2511</v>
      </c>
      <c r="B11" s="3024">
        <v>70</v>
      </c>
      <c r="C11" s="3019" t="s">
        <v>2512</v>
      </c>
      <c r="D11" s="3025">
        <v>4.4999999999999998E-2</v>
      </c>
      <c r="E11" s="3019" t="s">
        <v>2513</v>
      </c>
      <c r="F11" s="3026">
        <f>ROUND(1-(1/(POWER(1+D11,B11))),4)</f>
        <v>0.95409999999999995</v>
      </c>
    </row>
    <row r="12" spans="1:18">
      <c r="A12" s="3016" t="s">
        <v>2514</v>
      </c>
      <c r="B12" s="3024">
        <v>40</v>
      </c>
      <c r="C12" s="3019" t="s">
        <v>2515</v>
      </c>
      <c r="D12" s="3025">
        <v>4.4999999999999998E-2</v>
      </c>
      <c r="E12" s="3019" t="s">
        <v>2516</v>
      </c>
      <c r="F12" s="3026">
        <f>ROUND(1-(1/(POWER(1+D12,B12))),4)</f>
        <v>0.82809999999999995</v>
      </c>
    </row>
    <row r="13" spans="1:18">
      <c r="A13" s="3016" t="s">
        <v>2517</v>
      </c>
      <c r="B13" s="3019"/>
      <c r="C13" s="3019"/>
      <c r="D13" s="3014"/>
      <c r="E13" s="3014"/>
      <c r="F13" s="3015"/>
    </row>
    <row r="14" spans="1:18">
      <c r="A14" s="3016" t="s">
        <v>2518</v>
      </c>
      <c r="B14" s="3024">
        <v>5000</v>
      </c>
      <c r="C14" s="3018"/>
      <c r="D14" s="3014"/>
      <c r="E14" s="3014"/>
      <c r="F14" s="3015"/>
    </row>
    <row r="15" spans="1:18">
      <c r="A15" s="3016" t="s">
        <v>2519</v>
      </c>
      <c r="B15" s="3019">
        <f>ROUND(B14*F12/F11,2)</f>
        <v>4339.6899999999996</v>
      </c>
      <c r="C15" s="3019">
        <f>ROUND(F12/F11,4)</f>
        <v>0.8679</v>
      </c>
      <c r="D15" s="3014"/>
      <c r="E15" s="3014"/>
      <c r="F15" s="3015"/>
    </row>
    <row r="16" spans="1:18">
      <c r="A16" s="3016" t="s">
        <v>2520</v>
      </c>
      <c r="B16" s="3019"/>
      <c r="C16" s="3019"/>
      <c r="D16" s="3014"/>
      <c r="E16" s="3014"/>
      <c r="F16" s="3015"/>
    </row>
    <row r="17" spans="1:13">
      <c r="A17" s="3016" t="s">
        <v>2519</v>
      </c>
      <c r="B17" s="3025">
        <v>4810</v>
      </c>
      <c r="C17" s="3018"/>
      <c r="D17" s="3014"/>
      <c r="E17" s="3014"/>
      <c r="F17" s="3015"/>
    </row>
    <row r="18" spans="1:13" ht="14.25" thickBot="1">
      <c r="A18" s="3027" t="s">
        <v>2518</v>
      </c>
      <c r="B18" s="3028">
        <f>ROUND(B17*F11/F12,2)</f>
        <v>5541.87</v>
      </c>
      <c r="C18" s="3028">
        <f>ROUND(F11/F12,4)</f>
        <v>1.1521999999999999</v>
      </c>
      <c r="D18" s="3029"/>
      <c r="E18" s="3029"/>
      <c r="F18" s="3030"/>
    </row>
    <row r="19" spans="1:13" ht="14.25" thickBot="1"/>
    <row r="20" spans="1:13" s="3065" customFormat="1" ht="14.25" thickTop="1">
      <c r="A20" s="3062" t="s">
        <v>2521</v>
      </c>
      <c r="B20" s="3063"/>
      <c r="C20" s="3063"/>
      <c r="D20" s="3063"/>
      <c r="E20" s="3063"/>
      <c r="F20" s="3063"/>
      <c r="G20" s="3064"/>
      <c r="I20" s="3066" t="s">
        <v>2566</v>
      </c>
      <c r="J20" s="3066" t="s">
        <v>2571</v>
      </c>
      <c r="K20" s="3066"/>
      <c r="L20" s="3066"/>
      <c r="M20" s="3066"/>
    </row>
    <row r="21" spans="1:13">
      <c r="A21" s="3031"/>
      <c r="B21" s="3032" t="s">
        <v>2522</v>
      </c>
      <c r="C21" s="3032" t="s">
        <v>2523</v>
      </c>
      <c r="D21" s="3032" t="s">
        <v>2524</v>
      </c>
      <c r="E21" s="3032" t="s">
        <v>2525</v>
      </c>
      <c r="F21" s="3032" t="s">
        <v>2526</v>
      </c>
      <c r="G21" s="3033" t="s">
        <v>2527</v>
      </c>
      <c r="I21" s="3054">
        <v>5</v>
      </c>
      <c r="J21" s="3054">
        <v>54.2</v>
      </c>
    </row>
    <row r="22" spans="1:13">
      <c r="A22" s="3031" t="s">
        <v>2528</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2529</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2569</v>
      </c>
      <c r="M23" s="3054" t="s">
        <v>2570</v>
      </c>
    </row>
    <row r="24" spans="1:13">
      <c r="A24" s="3031" t="s">
        <v>2530</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2568</v>
      </c>
      <c r="M24" s="3054">
        <v>10</v>
      </c>
    </row>
    <row r="25" spans="1:13">
      <c r="A25" s="3031" t="s">
        <v>2531</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2572</v>
      </c>
      <c r="M25" s="3054">
        <v>8</v>
      </c>
    </row>
    <row r="26" spans="1:13">
      <c r="A26" s="3036"/>
      <c r="B26" s="3037"/>
      <c r="C26" s="3037"/>
      <c r="D26" s="3037"/>
      <c r="E26" s="3037"/>
      <c r="F26" s="3037"/>
      <c r="G26" s="3038"/>
      <c r="I26" s="3054">
        <v>30</v>
      </c>
      <c r="J26" s="3054">
        <v>90.5</v>
      </c>
      <c r="K26" s="3054">
        <f t="shared" si="2"/>
        <v>4.2000000000000028</v>
      </c>
      <c r="L26" s="3054" t="s">
        <v>2573</v>
      </c>
      <c r="M26" s="3054">
        <v>5</v>
      </c>
    </row>
    <row r="27" spans="1:13">
      <c r="A27" s="3036" t="s">
        <v>2532</v>
      </c>
      <c r="B27" s="3037"/>
      <c r="C27" s="3037"/>
      <c r="D27" s="3037"/>
      <c r="E27" s="3037"/>
      <c r="F27" s="3037"/>
      <c r="G27" s="3038"/>
      <c r="I27" s="3054">
        <v>35</v>
      </c>
      <c r="J27" s="3054">
        <v>93.8</v>
      </c>
      <c r="K27" s="3054">
        <f t="shared" si="2"/>
        <v>3.2999999999999972</v>
      </c>
      <c r="L27" s="3054" t="s">
        <v>2574</v>
      </c>
      <c r="M27" s="3054">
        <v>3</v>
      </c>
    </row>
    <row r="28" spans="1:13">
      <c r="A28" s="3036" t="s">
        <v>2533</v>
      </c>
      <c r="B28" s="3037"/>
      <c r="C28" s="3037"/>
      <c r="D28" s="3037"/>
      <c r="E28" s="3037"/>
      <c r="F28" s="3037"/>
      <c r="G28" s="3038"/>
      <c r="I28" s="3054">
        <v>40</v>
      </c>
      <c r="J28" s="3054">
        <v>96.4</v>
      </c>
      <c r="K28" s="3054">
        <f t="shared" si="2"/>
        <v>2.6000000000000085</v>
      </c>
      <c r="L28" s="3054" t="s">
        <v>2575</v>
      </c>
      <c r="M28" s="3054">
        <v>2</v>
      </c>
    </row>
    <row r="29" spans="1:13">
      <c r="A29" s="3036" t="s">
        <v>2534</v>
      </c>
      <c r="B29" s="3037"/>
      <c r="C29" s="3037"/>
      <c r="D29" s="3037"/>
      <c r="E29" s="3037"/>
      <c r="F29" s="3037"/>
      <c r="G29" s="3038"/>
      <c r="I29" s="3054">
        <v>45</v>
      </c>
      <c r="J29" s="3054">
        <v>98.4</v>
      </c>
      <c r="K29" s="3054">
        <f t="shared" si="2"/>
        <v>2</v>
      </c>
    </row>
    <row r="30" spans="1:13">
      <c r="A30" s="3036" t="s">
        <v>2535</v>
      </c>
      <c r="B30" s="3037"/>
      <c r="C30" s="3037"/>
      <c r="D30" s="3037"/>
      <c r="E30" s="3037"/>
      <c r="F30" s="3037"/>
      <c r="G30" s="3038"/>
      <c r="I30" s="3054">
        <v>50</v>
      </c>
      <c r="J30" s="3054">
        <v>100</v>
      </c>
      <c r="K30" s="3054">
        <f t="shared" si="2"/>
        <v>1.5999999999999943</v>
      </c>
    </row>
    <row r="31" spans="1:13">
      <c r="A31" s="3036" t="s">
        <v>2536</v>
      </c>
      <c r="B31" s="3037"/>
      <c r="C31" s="3037"/>
      <c r="D31" s="3037"/>
      <c r="E31" s="3037"/>
      <c r="F31" s="3037"/>
      <c r="G31" s="3038"/>
      <c r="I31" s="3054" t="s">
        <v>2567</v>
      </c>
    </row>
    <row r="32" spans="1:13">
      <c r="A32" s="3036" t="s">
        <v>2537</v>
      </c>
      <c r="B32" s="3037"/>
      <c r="C32" s="3037"/>
      <c r="D32" s="3037"/>
      <c r="E32" s="3037"/>
      <c r="F32" s="3037"/>
      <c r="G32" s="3038"/>
    </row>
    <row r="33" spans="1:13">
      <c r="A33" s="3036" t="s">
        <v>2538</v>
      </c>
      <c r="B33" s="3037"/>
      <c r="C33" s="3037"/>
      <c r="D33" s="3037"/>
      <c r="E33" s="3037"/>
      <c r="F33" s="3037"/>
      <c r="G33" s="3038"/>
      <c r="I33" s="3054" t="s">
        <v>2566</v>
      </c>
      <c r="J33" s="3054" t="s">
        <v>2576</v>
      </c>
    </row>
    <row r="34" spans="1:13">
      <c r="A34" s="3036" t="s">
        <v>2539</v>
      </c>
      <c r="B34" s="3037"/>
      <c r="C34" s="3037"/>
      <c r="D34" s="3037"/>
      <c r="E34" s="3037"/>
      <c r="F34" s="3037"/>
      <c r="G34" s="3038"/>
      <c r="I34" s="3054">
        <v>5</v>
      </c>
      <c r="J34" s="3054">
        <v>55.1</v>
      </c>
    </row>
    <row r="35" spans="1:13">
      <c r="A35" s="3036" t="s">
        <v>2540</v>
      </c>
      <c r="B35" s="3037"/>
      <c r="C35" s="3037"/>
      <c r="D35" s="3037"/>
      <c r="E35" s="3037"/>
      <c r="F35" s="3037"/>
      <c r="G35" s="3038"/>
      <c r="I35" s="3054">
        <v>10</v>
      </c>
      <c r="J35" s="3054">
        <v>67</v>
      </c>
      <c r="K35" s="3054">
        <f>J35-J34</f>
        <v>11.899999999999999</v>
      </c>
    </row>
    <row r="36" spans="1:13">
      <c r="A36" s="3036" t="s">
        <v>2541</v>
      </c>
      <c r="B36" s="3037"/>
      <c r="C36" s="3037"/>
      <c r="D36" s="3037"/>
      <c r="E36" s="3037"/>
      <c r="F36" s="3037"/>
      <c r="G36" s="3038"/>
      <c r="I36" s="3054">
        <v>15</v>
      </c>
      <c r="J36" s="3054">
        <v>76.3</v>
      </c>
      <c r="K36" s="3054">
        <f t="shared" ref="K36:K41" si="3">J36-J35</f>
        <v>9.2999999999999972</v>
      </c>
      <c r="L36" s="3054" t="s">
        <v>2569</v>
      </c>
      <c r="M36" s="3054" t="s">
        <v>2570</v>
      </c>
    </row>
    <row r="37" spans="1:13">
      <c r="A37" s="3036" t="s">
        <v>2542</v>
      </c>
      <c r="B37" s="3037"/>
      <c r="C37" s="3037"/>
      <c r="D37" s="3037"/>
      <c r="E37" s="3037"/>
      <c r="F37" s="3037"/>
      <c r="G37" s="3038"/>
      <c r="I37" s="3054">
        <v>20</v>
      </c>
      <c r="J37" s="3054">
        <v>83.6</v>
      </c>
      <c r="K37" s="3054">
        <f t="shared" si="3"/>
        <v>7.2999999999999972</v>
      </c>
      <c r="L37" s="3054" t="s">
        <v>2568</v>
      </c>
      <c r="M37" s="3054">
        <v>10</v>
      </c>
    </row>
    <row r="38" spans="1:13">
      <c r="A38" s="3036" t="s">
        <v>2543</v>
      </c>
      <c r="B38" s="3037"/>
      <c r="C38" s="3037"/>
      <c r="D38" s="3037"/>
      <c r="E38" s="3037"/>
      <c r="F38" s="3037"/>
      <c r="G38" s="3038"/>
      <c r="I38" s="3054">
        <v>25</v>
      </c>
      <c r="J38" s="3054">
        <v>89.3</v>
      </c>
      <c r="K38" s="3054">
        <f t="shared" si="3"/>
        <v>5.7000000000000028</v>
      </c>
      <c r="L38" s="3054" t="s">
        <v>2572</v>
      </c>
      <c r="M38" s="3054">
        <v>8</v>
      </c>
    </row>
    <row r="39" spans="1:13">
      <c r="A39" s="3036"/>
      <c r="B39" s="3037"/>
      <c r="C39" s="3037"/>
      <c r="D39" s="3037"/>
      <c r="E39" s="3037"/>
      <c r="F39" s="3037"/>
      <c r="G39" s="3038"/>
      <c r="I39" s="3054">
        <v>30</v>
      </c>
      <c r="J39" s="3054">
        <v>93.8</v>
      </c>
      <c r="K39" s="3054">
        <f t="shared" si="3"/>
        <v>4.5</v>
      </c>
      <c r="L39" s="3054" t="s">
        <v>2573</v>
      </c>
      <c r="M39" s="3054">
        <v>6</v>
      </c>
    </row>
    <row r="40" spans="1:13">
      <c r="A40" s="3039" t="s">
        <v>2544</v>
      </c>
      <c r="B40" s="3040"/>
      <c r="C40" s="3040"/>
      <c r="D40" s="3040"/>
      <c r="E40" s="3040"/>
      <c r="F40" s="3040"/>
      <c r="G40" s="3041"/>
      <c r="I40" s="3054">
        <v>35</v>
      </c>
      <c r="J40" s="3054">
        <v>97.2</v>
      </c>
      <c r="K40" s="3054">
        <f t="shared" si="3"/>
        <v>3.4000000000000057</v>
      </c>
      <c r="L40" s="3054" t="s">
        <v>2574</v>
      </c>
      <c r="M40" s="3054">
        <v>3</v>
      </c>
    </row>
    <row r="41" spans="1:13">
      <c r="A41" s="3042" t="s">
        <v>2545</v>
      </c>
      <c r="B41" s="3043" t="s">
        <v>2546</v>
      </c>
      <c r="C41" s="3044" t="s">
        <v>2547</v>
      </c>
      <c r="D41" s="3044" t="s">
        <v>2548</v>
      </c>
      <c r="E41" s="3045"/>
      <c r="F41" s="3046"/>
      <c r="G41" s="3047"/>
      <c r="I41" s="3054">
        <v>40</v>
      </c>
      <c r="J41" s="3054">
        <v>100</v>
      </c>
      <c r="K41" s="3054">
        <f t="shared" si="3"/>
        <v>2.7999999999999972</v>
      </c>
    </row>
    <row r="42" spans="1:13">
      <c r="A42" s="3042" t="s">
        <v>2549</v>
      </c>
      <c r="B42" s="3043" t="s">
        <v>2550</v>
      </c>
      <c r="C42" s="3044" t="s">
        <v>2551</v>
      </c>
      <c r="D42" s="3048" t="s">
        <v>2552</v>
      </c>
      <c r="E42" s="3040" t="s">
        <v>2553</v>
      </c>
      <c r="F42" s="3040"/>
      <c r="G42" s="3041"/>
    </row>
    <row r="43" spans="1:13">
      <c r="A43" s="3042" t="s">
        <v>2554</v>
      </c>
      <c r="B43" s="3043" t="s">
        <v>2555</v>
      </c>
      <c r="C43" s="3044" t="s">
        <v>2556</v>
      </c>
      <c r="D43" s="3044" t="s">
        <v>2557</v>
      </c>
      <c r="E43" s="3045" t="s">
        <v>2558</v>
      </c>
      <c r="F43" s="3046"/>
      <c r="G43" s="3047"/>
      <c r="I43" s="3054" t="s">
        <v>2566</v>
      </c>
      <c r="J43" s="3054" t="s">
        <v>2577</v>
      </c>
    </row>
    <row r="44" spans="1:13">
      <c r="A44" s="3042" t="s">
        <v>2559</v>
      </c>
      <c r="B44" s="3043" t="s">
        <v>2560</v>
      </c>
      <c r="C44" s="3044" t="s">
        <v>2561</v>
      </c>
      <c r="D44" s="3048">
        <v>0.5</v>
      </c>
      <c r="E44" s="3045" t="s">
        <v>2562</v>
      </c>
      <c r="F44" s="3046"/>
      <c r="G44" s="3047"/>
      <c r="I44" s="3054">
        <v>30</v>
      </c>
      <c r="J44" s="3054">
        <v>81.7</v>
      </c>
    </row>
    <row r="45" spans="1:13" ht="14.25" thickBot="1">
      <c r="A45" s="3049" t="s">
        <v>2563</v>
      </c>
      <c r="B45" s="3050" t="s">
        <v>2550</v>
      </c>
      <c r="C45" s="3051" t="s">
        <v>2550</v>
      </c>
      <c r="D45" s="3051" t="s">
        <v>2564</v>
      </c>
      <c r="E45" s="3052" t="s">
        <v>2565</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B1" zoomScale="80" zoomScaleNormal="100" zoomScaleSheetLayoutView="80" workbookViewId="0">
      <selection activeCell="D4" sqref="D4"/>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24" customWidth="1"/>
    <col min="12" max="13" width="10" style="2625"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2" t="s">
        <v>2167</v>
      </c>
      <c r="B1" s="3551" t="str">
        <f>IF(B10="北京市","北京市",C10)&amp;F10&amp;IF(结果表!G1="在建","出让国有建设用地使用权及在建建筑物",IF(结果表!G1="土地","出让国有建设用地使用权",))&amp;B9&amp;"预评估"</f>
        <v>房地产抵押价值预评估</v>
      </c>
      <c r="C1" s="3552"/>
      <c r="D1" s="3552"/>
      <c r="E1" s="3552"/>
      <c r="F1" s="3552"/>
      <c r="G1" s="3552"/>
      <c r="H1" s="3552"/>
      <c r="I1" s="3553"/>
      <c r="J1" s="2467"/>
      <c r="K1" s="2364"/>
      <c r="L1" s="2365"/>
      <c r="M1" s="2365"/>
      <c r="N1" s="2366"/>
      <c r="O1" s="1572"/>
      <c r="P1" s="2366"/>
      <c r="Q1" s="2366"/>
      <c r="R1" s="2366"/>
      <c r="S1" s="1678" t="str">
        <f>IF(B10="北京市","北京市",C10)&amp;F10&amp;IF(结果表!G1="在建","出让国有建设用地使用权及在建建筑物房地产抵押价值",IF(结果表!G1="土地","出让国有建设用地使用权抵押价值",B9))</f>
        <v>房地产抵押价值</v>
      </c>
      <c r="T1" s="1741"/>
      <c r="U1" s="1741"/>
      <c r="V1" s="1741"/>
      <c r="W1" s="1741"/>
      <c r="X1" s="1741"/>
      <c r="Y1" s="1741"/>
      <c r="Z1" s="1741"/>
      <c r="AA1" s="1741"/>
      <c r="AB1" s="1741"/>
    </row>
    <row r="2" spans="1:30">
      <c r="A2" s="2363" t="s">
        <v>2168</v>
      </c>
      <c r="B2" s="2367"/>
      <c r="C2" s="2368"/>
      <c r="D2" s="2666"/>
      <c r="E2" s="2658"/>
      <c r="F2" s="2658"/>
      <c r="G2" s="2659"/>
      <c r="H2" s="2659"/>
      <c r="I2" s="2659"/>
      <c r="J2" s="2467"/>
      <c r="K2" s="2364"/>
      <c r="L2" s="2365"/>
      <c r="M2" s="2365"/>
      <c r="N2" s="2366"/>
      <c r="O2" s="1572"/>
      <c r="P2" s="2366"/>
      <c r="Q2" s="2366"/>
      <c r="R2" s="2366"/>
      <c r="S2" s="1678" t="str">
        <f>IF(B10="北京市","北京市",C10)&amp;F10&amp;IF(结果表!G1="在建","出让国有建设用地使用权及在建建筑物房地产",IF(结果表!G1="土地","出让国有建设用地使用权","房地产"))</f>
        <v>房地产</v>
      </c>
      <c r="T2" s="1741"/>
      <c r="U2" s="1741"/>
      <c r="V2" s="1741"/>
      <c r="W2" s="1741"/>
      <c r="X2" s="1741"/>
      <c r="Y2" s="1741"/>
      <c r="Z2" s="1741"/>
      <c r="AA2" s="1741"/>
      <c r="AB2" s="1741"/>
    </row>
    <row r="3" spans="1:30">
      <c r="A3" s="302" t="s">
        <v>2169</v>
      </c>
      <c r="B3" s="2369"/>
      <c r="C3" s="2370" t="s">
        <v>2170</v>
      </c>
      <c r="D3" s="2369">
        <v>45005</v>
      </c>
      <c r="E3" s="2659"/>
      <c r="F3" s="2659"/>
      <c r="G3" s="2659"/>
      <c r="H3" s="2659"/>
      <c r="I3" s="2659"/>
      <c r="J3" s="2467"/>
      <c r="K3" s="2364"/>
      <c r="L3" s="2365"/>
      <c r="M3" s="2365"/>
      <c r="N3" s="2366"/>
      <c r="O3" s="1572"/>
      <c r="P3" s="2366"/>
      <c r="Q3" s="2366"/>
      <c r="R3" s="2366"/>
      <c r="S3" s="1678"/>
      <c r="T3" s="1741"/>
      <c r="U3" s="1741"/>
      <c r="V3" s="1741"/>
      <c r="W3" s="1741"/>
      <c r="X3" s="1741"/>
      <c r="Y3" s="1741"/>
      <c r="Z3" s="1741"/>
      <c r="AA3" s="1741"/>
      <c r="AB3" s="1741"/>
    </row>
    <row r="4" spans="1:30" ht="13.5" thickBot="1">
      <c r="A4" s="1087" t="s">
        <v>2171</v>
      </c>
      <c r="B4" s="2371"/>
      <c r="C4" s="2372">
        <f>SUMIF(注册房地产估价师,B4,估价师及机构信息!B3:B24)</f>
        <v>0</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CONCATENATE(B4,"（注册号：",C4,")、",D4,"（注册号：",E4,")")</f>
        <v>（注册号：0)、（注册号：0)</v>
      </c>
      <c r="L4" s="2365"/>
      <c r="M4" s="2365"/>
      <c r="N4" s="2366"/>
      <c r="O4" s="1572"/>
      <c r="P4" s="2366"/>
      <c r="Q4" s="2366"/>
      <c r="R4" s="2366"/>
      <c r="S4" s="1678"/>
      <c r="T4" s="1741"/>
      <c r="U4" s="1741"/>
      <c r="V4" s="1741"/>
      <c r="W4" s="1741"/>
      <c r="X4" s="1741"/>
      <c r="Y4" s="1741"/>
      <c r="Z4" s="1741"/>
      <c r="AA4" s="1741"/>
      <c r="AB4" s="1741"/>
    </row>
    <row r="5" spans="1:30" ht="13.5" thickTop="1">
      <c r="A5" s="2375" t="s">
        <v>2172</v>
      </c>
      <c r="B5" s="2376"/>
      <c r="C5" s="2377"/>
      <c r="D5" s="2378"/>
      <c r="E5" s="2660"/>
      <c r="F5" s="2660"/>
      <c r="G5" s="2660"/>
      <c r="H5" s="2660"/>
      <c r="I5" s="2660"/>
      <c r="J5" s="2435"/>
      <c r="K5" s="2374" t="str">
        <f>IF(F4="——","",IF(H4="——",F4&amp;"（注册号："&amp;G4&amp;")",CONCATENATE(F4,"（注册号：",G4,")、",H4,"（注册号：",I4,")")))</f>
        <v>（注册号：0)、（注册号：0)</v>
      </c>
      <c r="L5" s="2365"/>
      <c r="M5" s="2365"/>
      <c r="N5" s="2366"/>
      <c r="O5" s="1572"/>
      <c r="P5" s="2366"/>
      <c r="Q5" s="2366"/>
      <c r="R5" s="2366"/>
      <c r="S5" s="1741"/>
      <c r="T5" s="1741"/>
      <c r="U5" s="1741"/>
      <c r="V5" s="1741"/>
      <c r="W5" s="1741"/>
      <c r="X5" s="1741"/>
      <c r="Y5" s="1741"/>
      <c r="Z5" s="1741"/>
      <c r="AA5" s="1741"/>
      <c r="AB5" s="1741"/>
    </row>
    <row r="6" spans="1:30">
      <c r="A6" s="2379" t="s">
        <v>2173</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2174</v>
      </c>
      <c r="B7" s="2383"/>
      <c r="C7" s="2381"/>
      <c r="D7" s="2382"/>
      <c r="E7" s="2658"/>
      <c r="F7" s="2660"/>
      <c r="G7" s="2660"/>
      <c r="H7" s="2660"/>
      <c r="I7" s="2660"/>
      <c r="J7" s="2435"/>
      <c r="K7" s="2612"/>
      <c r="L7" s="2609"/>
      <c r="M7" s="2609"/>
      <c r="N7" s="2435"/>
      <c r="O7" s="2446"/>
      <c r="P7" s="2435"/>
      <c r="Q7" s="2435"/>
      <c r="R7" s="2435"/>
    </row>
    <row r="8" spans="1:30">
      <c r="A8" s="2384" t="s">
        <v>2175</v>
      </c>
      <c r="B8" s="2385" t="s">
        <v>3377</v>
      </c>
      <c r="C8" s="2386"/>
      <c r="D8" s="3554" t="s">
        <v>2176</v>
      </c>
      <c r="E8" s="2387" t="s">
        <v>3793</v>
      </c>
      <c r="F8" s="2388"/>
      <c r="G8" s="2659"/>
      <c r="H8" s="2659"/>
      <c r="I8" s="2659"/>
      <c r="J8" s="2435"/>
      <c r="K8" s="2610"/>
      <c r="L8" s="2609"/>
      <c r="M8" s="2609"/>
      <c r="N8" s="2435"/>
      <c r="O8" s="2446"/>
      <c r="P8" s="2435"/>
      <c r="Q8" s="2435"/>
      <c r="R8" s="2435"/>
    </row>
    <row r="9" spans="1:30" ht="13.5" thickBot="1">
      <c r="A9" s="2389" t="s">
        <v>2177</v>
      </c>
      <c r="B9" s="2390" t="s">
        <v>3793</v>
      </c>
      <c r="C9" s="2391"/>
      <c r="D9" s="3555"/>
      <c r="E9" s="2390" t="s">
        <v>43</v>
      </c>
      <c r="F9" s="2392"/>
      <c r="G9" s="2661"/>
      <c r="H9" s="2661"/>
      <c r="I9" s="2661"/>
      <c r="J9" s="2435"/>
      <c r="K9" s="2612"/>
      <c r="L9" s="2609"/>
      <c r="M9" s="2609"/>
      <c r="N9" s="2435"/>
      <c r="O9" s="2446"/>
      <c r="P9" s="2435"/>
      <c r="Q9" s="2435"/>
      <c r="R9" s="2435"/>
    </row>
    <row r="10" spans="1:30" ht="13.5" thickTop="1">
      <c r="A10" s="2393" t="s">
        <v>2178</v>
      </c>
      <c r="B10" s="2394" t="s">
        <v>3794</v>
      </c>
      <c r="C10" s="2395"/>
      <c r="D10" s="2378"/>
      <c r="E10" s="2396" t="s">
        <v>2179</v>
      </c>
      <c r="F10" s="2662"/>
      <c r="G10" s="2663"/>
      <c r="H10" s="2664"/>
      <c r="I10" s="2665"/>
      <c r="J10" s="2435"/>
      <c r="K10" s="2612"/>
      <c r="L10" s="2609"/>
      <c r="M10" s="2609"/>
      <c r="N10" s="2435"/>
      <c r="O10" s="2446"/>
      <c r="P10" s="2435"/>
      <c r="Q10" s="2435"/>
      <c r="R10" s="2435"/>
    </row>
    <row r="11" spans="1:30">
      <c r="A11" s="2397" t="s">
        <v>2180</v>
      </c>
      <c r="B11" s="2398" t="s">
        <v>3795</v>
      </c>
      <c r="C11" s="2399"/>
      <c r="D11" s="2400"/>
      <c r="E11" s="2366"/>
      <c r="F11" s="2366"/>
      <c r="G11" s="2366"/>
      <c r="H11" s="2366"/>
      <c r="I11" s="2366"/>
      <c r="J11" s="3057"/>
      <c r="K11" s="3056"/>
      <c r="L11" s="2609"/>
      <c r="M11" s="2609"/>
      <c r="N11" s="2435"/>
      <c r="O11" s="2446"/>
      <c r="P11" s="2435"/>
      <c r="Q11" s="2435"/>
      <c r="R11" s="2435"/>
    </row>
    <row r="12" spans="1:30">
      <c r="A12" s="2401" t="s">
        <v>2181</v>
      </c>
      <c r="B12" s="323" t="s">
        <v>2182</v>
      </c>
      <c r="C12" s="2402" t="s">
        <v>2183</v>
      </c>
      <c r="D12" s="2402" t="s">
        <v>2184</v>
      </c>
      <c r="E12" s="2402" t="s">
        <v>2185</v>
      </c>
      <c r="F12" s="2402" t="s">
        <v>2186</v>
      </c>
      <c r="G12" s="2402" t="s">
        <v>2187</v>
      </c>
      <c r="H12" s="2402" t="s">
        <v>2188</v>
      </c>
      <c r="I12" s="3055" t="s">
        <v>2578</v>
      </c>
      <c r="J12" s="3058"/>
      <c r="K12" s="2609"/>
      <c r="L12" s="2609"/>
      <c r="M12" s="2435"/>
      <c r="N12" s="2446"/>
      <c r="O12" s="2435"/>
      <c r="P12" s="2435"/>
      <c r="Q12" s="2435"/>
      <c r="AD12" s="1741"/>
    </row>
    <row r="13" spans="1:30">
      <c r="A13" s="3419" t="s">
        <v>3338</v>
      </c>
      <c r="B13" s="2403" t="s">
        <v>2189</v>
      </c>
      <c r="C13" s="853"/>
      <c r="D13" s="853">
        <v>55548</v>
      </c>
      <c r="E13" s="853">
        <v>55548</v>
      </c>
      <c r="F13" s="853">
        <v>55548</v>
      </c>
      <c r="G13" s="853">
        <v>55548</v>
      </c>
      <c r="H13" s="853"/>
      <c r="I13" s="853"/>
      <c r="J13" s="3058"/>
      <c r="K13" s="2609"/>
      <c r="L13" s="2609"/>
      <c r="M13" s="2435"/>
      <c r="N13" s="2446"/>
      <c r="O13" s="2435"/>
      <c r="P13" s="2435"/>
      <c r="Q13" s="2435"/>
      <c r="AD13" s="1741"/>
    </row>
    <row r="14" spans="1:30">
      <c r="A14" s="1078"/>
      <c r="B14" s="2403" t="s">
        <v>2190</v>
      </c>
      <c r="C14" s="2404"/>
      <c r="D14" s="2404">
        <v>40</v>
      </c>
      <c r="E14" s="2404">
        <v>40</v>
      </c>
      <c r="F14" s="2404">
        <v>40</v>
      </c>
      <c r="G14" s="2404">
        <v>40</v>
      </c>
      <c r="H14" s="2404"/>
      <c r="I14" s="2404"/>
      <c r="J14" s="3059"/>
      <c r="K14" s="2609"/>
      <c r="L14" s="2609"/>
      <c r="M14" s="2435"/>
      <c r="N14" s="2446"/>
      <c r="O14" s="2435"/>
      <c r="P14" s="2435"/>
      <c r="Q14" s="2435"/>
      <c r="AD14" s="1741"/>
    </row>
    <row r="15" spans="1:30">
      <c r="A15" s="320"/>
      <c r="B15" s="2405" t="s">
        <v>2191</v>
      </c>
      <c r="C15" s="2406" t="str">
        <f>IF(A13="出让",IF(C13="","",ROUNDDOWN(MIN((C13-$D$3)/365,C14),2)),C14)</f>
        <v/>
      </c>
      <c r="D15" s="2406">
        <f>IF(A13="出让",IF(D13="","",ROUNDDOWN(MIN((D13-$D$3)/365,D14),2)),D14)</f>
        <v>28.88</v>
      </c>
      <c r="E15" s="2406">
        <f>IF(A13="出让",IF(E13="","",ROUNDDOWN(MIN((E13-$D$3)/365,E14),2)),E14)</f>
        <v>28.88</v>
      </c>
      <c r="F15" s="2406">
        <f>IF(A13="出让",IF(F13="","",ROUNDDOWN(MIN((F13-$D$3)/365,F14),2)),F14)</f>
        <v>28.88</v>
      </c>
      <c r="G15" s="2406">
        <f>IF(A13="出让",IF(G13="","",ROUNDDOWN(MIN((G13-$D$3)/365,G14),2)),G14)</f>
        <v>28.88</v>
      </c>
      <c r="H15" s="2406" t="str">
        <f>IF(A13="出让",IF(H13="","",ROUNDDOWN(MIN((H13-$D$3)/365,H14),2)),H14)</f>
        <v/>
      </c>
      <c r="I15" s="2406" t="str">
        <f>IF(A13="出让",IF(I13="","",ROUNDDOWN(MIN((I13-$D$3)/365,I14),2)),I14)</f>
        <v/>
      </c>
      <c r="J15" s="3060"/>
      <c r="K15" s="2447"/>
      <c r="L15" s="2447"/>
      <c r="M15" s="2505"/>
      <c r="N15" s="2447"/>
      <c r="O15" s="2505"/>
      <c r="P15" s="2435"/>
      <c r="Q15" s="2435"/>
      <c r="AD15" s="1741"/>
    </row>
    <row r="16" spans="1:30">
      <c r="A16" s="2396" t="s">
        <v>2192</v>
      </c>
      <c r="B16" s="3561"/>
      <c r="C16" s="3562"/>
      <c r="D16" s="3563"/>
      <c r="E16" s="2409" t="s">
        <v>2193</v>
      </c>
      <c r="F16" s="3564"/>
      <c r="G16" s="3565"/>
      <c r="H16" s="3565"/>
      <c r="I16" s="3566"/>
      <c r="J16" s="2435"/>
      <c r="K16" s="2613"/>
      <c r="L16" s="2447"/>
      <c r="M16" s="2447"/>
      <c r="N16" s="2505"/>
      <c r="O16" s="2447"/>
      <c r="P16" s="2505"/>
      <c r="Q16" s="2435"/>
      <c r="R16" s="2435"/>
    </row>
    <row r="17" spans="1:28">
      <c r="A17" s="313" t="s">
        <v>2194</v>
      </c>
      <c r="B17" s="302" t="s">
        <v>2195</v>
      </c>
      <c r="C17" s="8">
        <f>'数据-汇总表'!E3</f>
        <v>226846.22999999989</v>
      </c>
      <c r="D17" s="2318" t="s">
        <v>2196</v>
      </c>
      <c r="E17" s="3567" t="s">
        <v>2197</v>
      </c>
      <c r="F17" s="3568"/>
      <c r="G17" s="3568"/>
      <c r="H17" s="3568"/>
      <c r="I17" s="3569"/>
      <c r="J17" s="2435"/>
      <c r="K17" s="2614"/>
      <c r="L17" s="2447"/>
      <c r="M17" s="2447"/>
      <c r="N17" s="2505"/>
      <c r="O17" s="2447"/>
      <c r="P17" s="2505"/>
      <c r="Q17" s="2435"/>
      <c r="R17" s="2435"/>
      <c r="S17" s="2435"/>
      <c r="T17" s="2435"/>
      <c r="U17" s="2435"/>
      <c r="V17" s="2435"/>
    </row>
    <row r="18" spans="1:28" ht="24.75" thickBot="1">
      <c r="A18" s="2410" t="s">
        <v>2198</v>
      </c>
      <c r="B18" s="1087" t="s">
        <v>2199</v>
      </c>
      <c r="C18" s="2411">
        <f>'数据-汇总表'!D3</f>
        <v>15635.46</v>
      </c>
      <c r="D18" s="1089" t="s">
        <v>2200</v>
      </c>
      <c r="E18" s="3570" t="s">
        <v>2201</v>
      </c>
      <c r="F18" s="3571"/>
      <c r="G18" s="3571"/>
      <c r="H18" s="3571"/>
      <c r="I18" s="3572"/>
      <c r="J18" s="2435"/>
      <c r="K18" s="2614"/>
      <c r="L18" s="2447"/>
      <c r="M18" s="2447"/>
      <c r="N18" s="2505"/>
      <c r="O18" s="2447"/>
      <c r="P18" s="2505"/>
      <c r="Q18" s="2435"/>
      <c r="R18" s="2435"/>
      <c r="S18" s="2435"/>
      <c r="T18" s="2435"/>
      <c r="U18" s="2435"/>
      <c r="V18" s="2435"/>
    </row>
    <row r="19" spans="1:28" ht="37.5" thickTop="1" thickBot="1">
      <c r="A19" s="327" t="s">
        <v>1055</v>
      </c>
      <c r="B19" s="307" t="s">
        <v>2202</v>
      </c>
      <c r="C19" s="1559"/>
      <c r="D19" s="1560" t="s">
        <v>2203</v>
      </c>
      <c r="E19" s="1561"/>
      <c r="F19" s="1562" t="str">
        <f>IF(AND(C19="是",E19="否"),"是否提供他项权证或相关说明","")</f>
        <v/>
      </c>
      <c r="G19" s="1563"/>
      <c r="H19" s="2660"/>
      <c r="I19" s="2660"/>
      <c r="J19" s="2435"/>
      <c r="K19" s="2612"/>
      <c r="L19" s="2609"/>
      <c r="M19" s="2609"/>
      <c r="N19" s="2505"/>
      <c r="O19" s="2447"/>
      <c r="P19" s="2505"/>
      <c r="Q19" s="2435"/>
      <c r="R19" s="2435"/>
      <c r="S19" s="2435"/>
      <c r="T19" s="2435"/>
      <c r="U19" s="2435"/>
      <c r="V19" s="2435"/>
    </row>
    <row r="20" spans="1:28">
      <c r="A20" s="2628" t="s">
        <v>2204</v>
      </c>
      <c r="B20" s="3557" t="s">
        <v>2205</v>
      </c>
      <c r="C20" s="3558"/>
      <c r="D20" s="3559" t="s">
        <v>2206</v>
      </c>
      <c r="E20" s="3560"/>
      <c r="F20" s="2643" t="s">
        <v>1056</v>
      </c>
      <c r="G20" s="2660"/>
      <c r="H20" s="2660"/>
      <c r="I20" s="2660"/>
      <c r="J20" s="2435"/>
      <c r="K20" s="3556"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1"/>
      <c r="X20" s="1741"/>
      <c r="Y20" s="1741"/>
      <c r="Z20" s="1741"/>
      <c r="AA20" s="1741"/>
      <c r="AB20" s="1741"/>
    </row>
    <row r="21" spans="1:28" ht="24.75" thickBot="1">
      <c r="A21" s="2628"/>
      <c r="B21" s="2629" t="s">
        <v>2208</v>
      </c>
      <c r="C21" s="2630" t="s">
        <v>1057</v>
      </c>
      <c r="D21" s="1564" t="s">
        <v>2209</v>
      </c>
      <c r="E21" s="2631" t="s">
        <v>1057</v>
      </c>
      <c r="F21" s="2644"/>
      <c r="G21" s="2660"/>
      <c r="H21" s="2660"/>
      <c r="I21" s="2660"/>
      <c r="J21" s="2435"/>
      <c r="K21" s="355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1"/>
      <c r="X21" s="1741"/>
      <c r="Y21" s="1741"/>
      <c r="Z21" s="1741"/>
      <c r="AA21" s="1741"/>
      <c r="AB21" s="1741"/>
    </row>
    <row r="22" spans="1:28" ht="24.75" thickBot="1">
      <c r="A22" s="2628"/>
      <c r="B22" s="2632" t="s">
        <v>2210</v>
      </c>
      <c r="C22" s="2630" t="s">
        <v>1058</v>
      </c>
      <c r="D22" s="2659"/>
      <c r="E22" s="2659"/>
      <c r="F22" s="2659"/>
      <c r="G22" s="2660"/>
      <c r="H22" s="2660"/>
      <c r="I22" s="2660"/>
      <c r="J22" s="2435"/>
      <c r="K22" s="355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1"/>
      <c r="X22" s="1741"/>
      <c r="Y22" s="1741"/>
      <c r="Z22" s="1741"/>
      <c r="AA22" s="1741"/>
      <c r="AB22" s="1741"/>
    </row>
    <row r="23" spans="1:28">
      <c r="A23" s="2633" t="s">
        <v>2211</v>
      </c>
      <c r="B23" s="2498" t="s">
        <v>2212</v>
      </c>
      <c r="C23" s="2634"/>
      <c r="D23" s="2635" t="s">
        <v>2212</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1059</v>
      </c>
      <c r="C24" s="2637"/>
      <c r="D24" s="2633" t="s">
        <v>1059</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1060</v>
      </c>
      <c r="C25" s="2637"/>
      <c r="D25" s="2633" t="s">
        <v>1060</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1061</v>
      </c>
      <c r="C26" s="2641"/>
      <c r="D26" s="2639" t="s">
        <v>1061</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574" t="s">
        <v>2213</v>
      </c>
      <c r="B27" s="320" t="s">
        <v>2214</v>
      </c>
      <c r="C27" s="2412"/>
      <c r="D27" s="2413"/>
      <c r="E27" s="2660"/>
      <c r="F27" s="2660"/>
      <c r="G27" s="2660"/>
      <c r="H27" s="2660"/>
      <c r="I27" s="2660"/>
      <c r="J27" s="2435"/>
      <c r="K27" s="2613"/>
      <c r="L27" s="2447"/>
      <c r="M27" s="2447"/>
      <c r="N27" s="2505"/>
      <c r="O27" s="2447"/>
      <c r="P27" s="2505"/>
      <c r="Q27" s="2435"/>
      <c r="R27" s="2435"/>
      <c r="S27" s="2435"/>
      <c r="T27" s="2435"/>
      <c r="U27" s="2435"/>
      <c r="V27" s="2435"/>
    </row>
    <row r="28" spans="1:28">
      <c r="A28" s="3574"/>
      <c r="B28" s="302" t="s">
        <v>2215</v>
      </c>
      <c r="C28" s="2414"/>
      <c r="D28" s="2415"/>
      <c r="E28" s="2660"/>
      <c r="F28" s="2660"/>
      <c r="G28" s="2660"/>
      <c r="H28" s="2660"/>
      <c r="I28" s="2660"/>
      <c r="J28" s="2435"/>
      <c r="K28" s="2612"/>
      <c r="L28" s="2609"/>
      <c r="M28" s="2609"/>
      <c r="N28" s="2435"/>
      <c r="O28" s="2446"/>
      <c r="P28" s="2435"/>
      <c r="Q28" s="2435"/>
      <c r="R28" s="2435"/>
      <c r="S28" s="2435"/>
      <c r="T28" s="2435"/>
      <c r="U28" s="2435"/>
      <c r="V28" s="2435"/>
    </row>
    <row r="29" spans="1:28">
      <c r="A29" s="3574"/>
      <c r="B29" s="302" t="s">
        <v>2216</v>
      </c>
      <c r="C29" s="2416"/>
      <c r="D29" s="2417"/>
      <c r="E29" s="2660"/>
      <c r="F29" s="2660"/>
      <c r="G29" s="2660"/>
      <c r="H29" s="2660"/>
      <c r="I29" s="2660"/>
      <c r="J29" s="2435"/>
      <c r="K29" s="2612"/>
      <c r="L29" s="2609"/>
      <c r="M29" s="2609"/>
      <c r="N29" s="2435"/>
      <c r="O29" s="2446"/>
      <c r="P29" s="2435"/>
      <c r="Q29" s="2435"/>
      <c r="R29" s="2435"/>
      <c r="S29" s="2435"/>
      <c r="T29" s="2435"/>
      <c r="U29" s="2435"/>
      <c r="V29" s="2435"/>
    </row>
    <row r="30" spans="1:28">
      <c r="A30" s="3575"/>
      <c r="B30" s="302" t="s">
        <v>2217</v>
      </c>
      <c r="C30" s="3576"/>
      <c r="D30" s="3577"/>
      <c r="E30" s="2660"/>
      <c r="F30" s="2660"/>
      <c r="G30" s="2660"/>
      <c r="H30" s="2660"/>
      <c r="I30" s="2660"/>
      <c r="J30" s="2435"/>
      <c r="K30" s="2612"/>
      <c r="L30" s="2609"/>
      <c r="M30" s="2609"/>
      <c r="N30" s="2435"/>
      <c r="O30" s="2446"/>
      <c r="P30" s="2435"/>
      <c r="Q30" s="2435"/>
      <c r="R30" s="2435"/>
      <c r="S30" s="2435"/>
      <c r="T30" s="2435"/>
      <c r="U30" s="2435"/>
      <c r="V30" s="2435"/>
    </row>
    <row r="31" spans="1:28">
      <c r="A31" s="3578" t="s">
        <v>2218</v>
      </c>
      <c r="B31" s="2418"/>
      <c r="C31" s="2319" t="str">
        <f>IF(B31="现房","成新及维护状况正常否",IF(B31="在建","工程状态是否正常",IF(B31="土地","是否闲置","-")))</f>
        <v>-</v>
      </c>
      <c r="D31" s="1369"/>
      <c r="E31" s="2419"/>
      <c r="F31" s="2660"/>
      <c r="G31" s="2660"/>
      <c r="H31" s="2660"/>
      <c r="I31" s="2660"/>
      <c r="J31" s="2435"/>
      <c r="K31" s="2611"/>
      <c r="L31" s="2609"/>
      <c r="M31" s="2609"/>
      <c r="N31" s="2435"/>
      <c r="O31" s="2446"/>
      <c r="P31" s="2435"/>
      <c r="Q31" s="2435"/>
      <c r="R31" s="2435"/>
      <c r="S31" s="2435"/>
      <c r="T31" s="2435"/>
      <c r="U31" s="2435"/>
      <c r="V31" s="2435"/>
    </row>
    <row r="32" spans="1:28">
      <c r="A32" s="3579"/>
      <c r="B32" s="2418"/>
      <c r="C32" s="2319" t="str">
        <f>IF(B32="现房","成新及维护状况是否正常",IF(B32="在建","工程状态是否正常",IF(B32="土地","是否闲置","-")))</f>
        <v>-</v>
      </c>
      <c r="D32" s="1369"/>
      <c r="E32" s="2419"/>
      <c r="F32" s="2660"/>
      <c r="G32" s="2660"/>
      <c r="H32" s="2660"/>
      <c r="I32" s="2660"/>
      <c r="J32" s="2435"/>
      <c r="K32" s="2612"/>
      <c r="L32" s="2609"/>
      <c r="M32" s="2609"/>
      <c r="N32" s="2435"/>
      <c r="O32" s="2446"/>
      <c r="P32" s="2435"/>
      <c r="Q32" s="2435"/>
      <c r="R32" s="2435"/>
      <c r="S32" s="2435"/>
      <c r="T32" s="2435"/>
      <c r="U32" s="2435"/>
      <c r="V32" s="2435"/>
    </row>
    <row r="33" spans="1:30">
      <c r="A33" s="3579"/>
      <c r="B33" s="2421"/>
      <c r="C33" s="1586" t="str">
        <f>IF(B33="现房","成新及维护状况是否正常",IF(B33="在建","工程状态是否正常",IF(B33="土地","是否闲置","-")))</f>
        <v>-</v>
      </c>
      <c r="D33" s="1361"/>
      <c r="E33" s="2422"/>
      <c r="F33" s="2660"/>
      <c r="G33" s="2660"/>
      <c r="H33" s="2660"/>
      <c r="I33" s="2660"/>
      <c r="J33" s="2435"/>
      <c r="K33" s="2612"/>
      <c r="L33" s="2609"/>
      <c r="M33" s="2609"/>
      <c r="N33" s="2435"/>
      <c r="O33" s="2446"/>
      <c r="P33" s="2435"/>
      <c r="Q33" s="2435"/>
      <c r="R33" s="2435"/>
      <c r="S33" s="2435"/>
      <c r="T33" s="2435"/>
      <c r="U33" s="2435"/>
      <c r="V33" s="2435"/>
    </row>
    <row r="34" spans="1:30">
      <c r="A34" s="302" t="s">
        <v>2219</v>
      </c>
      <c r="B34" s="2022"/>
      <c r="C34" s="2022"/>
      <c r="D34" s="2022"/>
      <c r="E34" s="2022"/>
      <c r="F34" s="2022"/>
      <c r="G34" s="2022"/>
      <c r="H34" s="2022"/>
      <c r="I34" s="2660"/>
      <c r="J34" s="2435"/>
      <c r="K34" s="2423">
        <f>COUNTIF(B34:H34,"——")</f>
        <v>0</v>
      </c>
      <c r="L34" s="323" t="s">
        <v>2220</v>
      </c>
      <c r="M34" s="323" t="s">
        <v>2221</v>
      </c>
      <c r="N34" s="323" t="s">
        <v>2222</v>
      </c>
      <c r="O34" s="323" t="s">
        <v>2223</v>
      </c>
      <c r="P34" s="323" t="s">
        <v>2224</v>
      </c>
      <c r="Q34" s="323" t="s">
        <v>2225</v>
      </c>
      <c r="R34" s="323" t="s">
        <v>2226</v>
      </c>
      <c r="S34" s="3573" t="s">
        <v>2227</v>
      </c>
      <c r="T34" s="2424" t="str">
        <f>NUMBERSTRING(7-K34,1)&amp;"通"</f>
        <v>七通</v>
      </c>
      <c r="U34" s="2435"/>
      <c r="V34" s="2435"/>
    </row>
    <row r="35" spans="1:30">
      <c r="A35" s="2425"/>
      <c r="B35" s="3580" t="s">
        <v>2228</v>
      </c>
      <c r="C35" s="3580"/>
      <c r="D35" s="3580"/>
      <c r="E35" s="3580"/>
      <c r="F35" s="664">
        <f>C10</f>
        <v>0</v>
      </c>
      <c r="G35" s="2660"/>
      <c r="H35" s="2660"/>
      <c r="I35" s="2660"/>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73"/>
      <c r="T35" s="329" t="str">
        <f>IF(T34="一通",L35,IF(T34="二通",M35,IF(T34="三通",N35,IF(T34="四通",O35,IF(T34="五通",P35,IF(T34="六通",Q35,R35))))))</f>
        <v>、、、、、、</v>
      </c>
      <c r="U35" s="2435"/>
      <c r="V35" s="2435"/>
    </row>
    <row r="36" spans="1:30">
      <c r="A36" s="2426"/>
      <c r="B36" s="664" t="s">
        <v>2184</v>
      </c>
      <c r="C36" s="664" t="s">
        <v>2185</v>
      </c>
      <c r="D36" s="664" t="s">
        <v>2183</v>
      </c>
      <c r="E36" s="664" t="s">
        <v>2188</v>
      </c>
      <c r="F36" s="3061" t="s">
        <v>2581</v>
      </c>
      <c r="G36" s="2660"/>
      <c r="H36" s="2660"/>
      <c r="I36" s="2660"/>
      <c r="J36" s="2435"/>
      <c r="K36" s="2612"/>
      <c r="L36" s="2609"/>
      <c r="M36" s="2609"/>
      <c r="N36" s="2435"/>
      <c r="O36" s="2446"/>
      <c r="P36" s="2435"/>
      <c r="Q36" s="2435"/>
      <c r="R36" s="2435"/>
      <c r="S36" s="2435"/>
      <c r="T36" s="2435"/>
      <c r="U36" s="2435"/>
      <c r="V36" s="2435"/>
    </row>
    <row r="37" spans="1:30">
      <c r="A37" s="2626" t="s">
        <v>2229</v>
      </c>
      <c r="B37" s="2427"/>
      <c r="C37" s="2427"/>
      <c r="D37" s="2427"/>
      <c r="E37" s="2427"/>
      <c r="F37" s="2427"/>
      <c r="G37" s="2660"/>
      <c r="H37" s="2660"/>
      <c r="I37" s="2660"/>
      <c r="J37" s="2435"/>
      <c r="K37" s="2612"/>
      <c r="L37" s="2609"/>
      <c r="M37" s="2609"/>
      <c r="N37" s="2435"/>
      <c r="O37" s="2446"/>
      <c r="P37" s="2435"/>
      <c r="Q37" s="2435"/>
      <c r="R37" s="2435"/>
      <c r="S37" s="2435"/>
      <c r="T37" s="2435"/>
      <c r="U37" s="2435"/>
      <c r="V37" s="2435"/>
    </row>
    <row r="38" spans="1:30" ht="13.5" thickBot="1">
      <c r="A38" s="2627" t="s">
        <v>2230</v>
      </c>
      <c r="B38" s="2428"/>
      <c r="C38" s="2428"/>
      <c r="D38" s="2428"/>
      <c r="E38" s="2428"/>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2231</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6"/>
      <c r="B40" s="2366"/>
      <c r="C40" s="2366"/>
      <c r="D40" s="2366"/>
      <c r="E40" s="2366"/>
      <c r="F40" s="2366"/>
      <c r="G40" s="2366"/>
      <c r="H40" s="2366"/>
      <c r="I40" s="1574"/>
      <c r="J40" s="2505"/>
      <c r="K40" s="2611"/>
      <c r="L40" s="2447"/>
      <c r="M40" s="2447"/>
      <c r="N40" s="2505"/>
      <c r="O40" s="2447"/>
      <c r="P40" s="2435"/>
      <c r="Q40" s="2435"/>
      <c r="R40" s="2435"/>
      <c r="S40" s="2435"/>
      <c r="T40" s="2435"/>
      <c r="U40" s="2435"/>
      <c r="V40" s="2435"/>
    </row>
    <row r="41" spans="1:30">
      <c r="A41" s="2432" t="s">
        <v>2232</v>
      </c>
      <c r="B41" s="1753"/>
      <c r="C41" s="1369"/>
      <c r="D41" s="2366"/>
      <c r="E41" s="2366"/>
      <c r="F41" s="2366"/>
      <c r="G41" s="2366"/>
      <c r="H41" s="2366"/>
      <c r="I41" s="1572"/>
      <c r="J41" s="2435"/>
      <c r="K41" s="2612"/>
      <c r="L41" s="2609"/>
      <c r="M41" s="2609"/>
      <c r="N41" s="2435"/>
      <c r="O41" s="2446"/>
      <c r="P41" s="2435"/>
      <c r="Q41" s="2435"/>
      <c r="R41" s="2435"/>
      <c r="S41" s="2435"/>
      <c r="T41" s="2435"/>
      <c r="U41" s="2435"/>
      <c r="V41" s="2435"/>
    </row>
    <row r="42" spans="1:30" ht="25.5">
      <c r="A42" s="323" t="s">
        <v>2233</v>
      </c>
      <c r="B42" s="8" t="s">
        <v>2234</v>
      </c>
      <c r="C42" s="8" t="s">
        <v>2235</v>
      </c>
      <c r="D42" s="8" t="s">
        <v>2236</v>
      </c>
      <c r="E42" s="8" t="s">
        <v>2237</v>
      </c>
      <c r="F42" s="8" t="s">
        <v>2238</v>
      </c>
      <c r="G42" s="8" t="s">
        <v>2239</v>
      </c>
      <c r="H42" s="8" t="s">
        <v>2240</v>
      </c>
      <c r="I42" s="8" t="s">
        <v>2241</v>
      </c>
      <c r="J42" s="2622" t="s">
        <v>2242</v>
      </c>
      <c r="K42" s="2623" t="s">
        <v>2243</v>
      </c>
      <c r="L42" s="2623" t="s">
        <v>2244</v>
      </c>
      <c r="M42" s="2623" t="s">
        <v>2245</v>
      </c>
      <c r="N42" s="2616" t="s">
        <v>2246</v>
      </c>
      <c r="O42" s="2616" t="s">
        <v>2247</v>
      </c>
      <c r="P42" s="2616" t="s">
        <v>2248</v>
      </c>
      <c r="Q42" s="2617" t="s">
        <v>2249</v>
      </c>
      <c r="R42" s="2617" t="s">
        <v>2250</v>
      </c>
      <c r="S42" s="2435"/>
      <c r="T42" s="2435"/>
      <c r="U42" s="2435"/>
      <c r="V42" s="2435"/>
    </row>
    <row r="43" spans="1:30" s="1739" customFormat="1">
      <c r="A43" s="1566"/>
      <c r="B43" s="1048"/>
      <c r="C43" s="1048"/>
      <c r="D43" s="1048"/>
      <c r="E43" s="1048"/>
      <c r="F43" s="1048"/>
      <c r="G43" s="1048"/>
      <c r="H43" s="1048"/>
      <c r="I43" s="1048"/>
      <c r="J43" s="2433"/>
      <c r="K43" s="2434"/>
      <c r="L43" s="2434"/>
      <c r="M43" s="1048"/>
      <c r="N43" s="1048"/>
      <c r="O43" s="1048"/>
      <c r="P43" s="1048"/>
      <c r="Q43" s="1048"/>
      <c r="R43" s="1048"/>
      <c r="S43" s="2435"/>
      <c r="T43" s="2435"/>
      <c r="U43" s="2435"/>
      <c r="V43" s="2435"/>
    </row>
    <row r="44" spans="1:30" s="1739" customFormat="1">
      <c r="A44" s="1566"/>
      <c r="B44" s="1566"/>
      <c r="C44" s="1048"/>
      <c r="D44" s="1048"/>
      <c r="E44" s="1048"/>
      <c r="F44" s="1048"/>
      <c r="G44" s="1048"/>
      <c r="H44" s="1048"/>
      <c r="I44" s="1048"/>
      <c r="J44" s="2433"/>
      <c r="K44" s="2434"/>
      <c r="L44" s="2434"/>
      <c r="M44" s="1048"/>
      <c r="N44" s="1048"/>
      <c r="O44" s="1048"/>
      <c r="P44" s="1048"/>
      <c r="Q44" s="1048"/>
      <c r="R44" s="1048"/>
      <c r="S44" s="2435"/>
      <c r="T44" s="2435"/>
      <c r="U44" s="2435"/>
      <c r="V44" s="2435"/>
    </row>
    <row r="45" spans="1:30" s="1739" customFormat="1">
      <c r="A45" s="1566"/>
      <c r="B45" s="1566"/>
      <c r="C45" s="1048"/>
      <c r="D45" s="1048"/>
      <c r="E45" s="1048"/>
      <c r="F45" s="1048"/>
      <c r="G45" s="1048"/>
      <c r="H45" s="1048"/>
      <c r="I45" s="1048"/>
      <c r="J45" s="2433"/>
      <c r="K45" s="2434"/>
      <c r="L45" s="2434"/>
      <c r="M45" s="1048"/>
      <c r="N45" s="1048"/>
      <c r="O45" s="1048"/>
      <c r="P45" s="1048"/>
      <c r="Q45" s="1048"/>
      <c r="R45" s="1048"/>
      <c r="S45" s="2435"/>
      <c r="T45" s="2435"/>
      <c r="U45" s="2435"/>
      <c r="V45" s="2435"/>
    </row>
    <row r="46" spans="1:30" s="1739" customFormat="1">
      <c r="A46" s="1566"/>
      <c r="B46" s="1566"/>
      <c r="C46" s="1048"/>
      <c r="D46" s="1048"/>
      <c r="E46" s="1048"/>
      <c r="F46" s="1048"/>
      <c r="G46" s="1048"/>
      <c r="H46" s="1048"/>
      <c r="I46" s="1048"/>
      <c r="J46" s="2433"/>
      <c r="K46" s="2434"/>
      <c r="L46" s="2434"/>
      <c r="M46" s="1048"/>
      <c r="N46" s="1048"/>
      <c r="O46" s="1048"/>
      <c r="P46" s="1048"/>
      <c r="Q46" s="1048"/>
      <c r="R46" s="1048"/>
      <c r="S46" s="2435"/>
      <c r="T46" s="2435"/>
      <c r="U46" s="2435"/>
      <c r="V46" s="2435"/>
    </row>
    <row r="47" spans="1:30" s="1739" customFormat="1">
      <c r="A47" s="1566"/>
      <c r="B47" s="1566"/>
      <c r="C47" s="1048"/>
      <c r="D47" s="1048"/>
      <c r="E47" s="1048"/>
      <c r="F47" s="1048"/>
      <c r="G47" s="1048"/>
      <c r="H47" s="1048"/>
      <c r="I47" s="1048"/>
      <c r="J47" s="2433"/>
      <c r="K47" s="2434"/>
      <c r="L47" s="2434"/>
      <c r="M47" s="1048"/>
      <c r="N47" s="1048"/>
      <c r="O47" s="1048"/>
      <c r="P47" s="1048"/>
      <c r="Q47" s="1048"/>
      <c r="R47" s="1048"/>
      <c r="S47" s="2435"/>
      <c r="T47" s="2435"/>
      <c r="U47" s="2435"/>
      <c r="V47" s="2435"/>
    </row>
    <row r="48" spans="1:30" s="1739" customFormat="1">
      <c r="A48" s="1566"/>
      <c r="B48" s="1566"/>
      <c r="C48" s="1048"/>
      <c r="D48" s="1048"/>
      <c r="E48" s="1048"/>
      <c r="F48" s="1048"/>
      <c r="G48" s="1048"/>
      <c r="H48" s="1048"/>
      <c r="I48" s="1048"/>
      <c r="J48" s="2433"/>
      <c r="K48" s="2434"/>
      <c r="L48" s="2434"/>
      <c r="M48" s="1048"/>
      <c r="N48" s="1048"/>
      <c r="O48" s="1048"/>
      <c r="P48" s="1048"/>
      <c r="Q48" s="1048"/>
      <c r="R48" s="1048"/>
      <c r="S48" s="2435"/>
      <c r="T48" s="2435"/>
      <c r="U48" s="2435"/>
      <c r="V48" s="2435"/>
    </row>
    <row r="49" spans="1:22" s="1739" customFormat="1">
      <c r="A49" s="1566"/>
      <c r="B49" s="1566"/>
      <c r="C49" s="1048"/>
      <c r="D49" s="1048"/>
      <c r="E49" s="1048"/>
      <c r="F49" s="1048"/>
      <c r="G49" s="1048"/>
      <c r="H49" s="1048"/>
      <c r="I49" s="1048"/>
      <c r="J49" s="2433"/>
      <c r="K49" s="2434"/>
      <c r="L49" s="2434"/>
      <c r="M49" s="1048"/>
      <c r="N49" s="1048"/>
      <c r="O49" s="1048"/>
      <c r="P49" s="1048"/>
      <c r="Q49" s="1048"/>
      <c r="R49" s="1048"/>
      <c r="S49" s="2435"/>
      <c r="T49" s="2435"/>
      <c r="U49" s="2435"/>
      <c r="V49" s="2435"/>
    </row>
    <row r="50" spans="1:22" s="1739" customFormat="1">
      <c r="A50" s="1566"/>
      <c r="B50" s="1566"/>
      <c r="C50" s="1048"/>
      <c r="D50" s="1048"/>
      <c r="E50" s="1048"/>
      <c r="F50" s="1048"/>
      <c r="G50" s="1048"/>
      <c r="H50" s="1048"/>
      <c r="I50" s="1048"/>
      <c r="J50" s="2433"/>
      <c r="K50" s="2434"/>
      <c r="L50" s="2434"/>
      <c r="M50" s="1048"/>
      <c r="N50" s="1048"/>
      <c r="O50" s="1048"/>
      <c r="P50" s="1048"/>
      <c r="Q50" s="1048"/>
      <c r="R50" s="1048"/>
      <c r="S50" s="2435"/>
      <c r="T50" s="2435"/>
      <c r="U50" s="2435"/>
      <c r="V50" s="2435"/>
    </row>
    <row r="51" spans="1:22" s="1739" customFormat="1">
      <c r="A51" s="1566"/>
      <c r="B51" s="1566"/>
      <c r="C51" s="1048"/>
      <c r="D51" s="1048"/>
      <c r="E51" s="1048"/>
      <c r="F51" s="1048"/>
      <c r="G51" s="1048"/>
      <c r="H51" s="1048"/>
      <c r="I51" s="1048"/>
      <c r="J51" s="2433"/>
      <c r="K51" s="2434"/>
      <c r="L51" s="2434"/>
      <c r="M51" s="1048"/>
      <c r="N51" s="1048"/>
      <c r="O51" s="1048"/>
      <c r="P51" s="1048"/>
      <c r="Q51" s="1048"/>
      <c r="R51" s="1048"/>
    </row>
    <row r="52" spans="1:22" s="1739" customFormat="1">
      <c r="A52" s="1566"/>
      <c r="B52" s="1566"/>
      <c r="C52" s="1566"/>
      <c r="D52" s="1566"/>
      <c r="E52" s="1566"/>
      <c r="F52" s="1048"/>
      <c r="G52" s="1566"/>
      <c r="H52" s="1566"/>
      <c r="I52" s="1566"/>
      <c r="J52" s="2436"/>
      <c r="K52" s="2434"/>
      <c r="L52" s="2434"/>
      <c r="M52" s="2434"/>
      <c r="N52" s="1566"/>
      <c r="O52" s="1566"/>
      <c r="P52" s="1566"/>
      <c r="Q52" s="1566"/>
      <c r="R52" s="1566"/>
    </row>
    <row r="53" spans="1:22" s="1739" customFormat="1">
      <c r="A53" s="1566"/>
      <c r="B53" s="1566"/>
      <c r="C53" s="1566"/>
      <c r="D53" s="1566"/>
      <c r="E53" s="1566"/>
      <c r="F53" s="1048"/>
      <c r="G53" s="1566"/>
      <c r="H53" s="1566"/>
      <c r="I53" s="1566"/>
      <c r="J53" s="2436"/>
      <c r="K53" s="2434"/>
      <c r="L53" s="2434"/>
      <c r="M53" s="2434"/>
      <c r="N53" s="1566"/>
      <c r="O53" s="1566"/>
      <c r="P53" s="1566"/>
      <c r="Q53" s="1566"/>
      <c r="R53" s="1566"/>
    </row>
    <row r="54" spans="1:22" s="1739" customFormat="1">
      <c r="A54" s="1566"/>
      <c r="B54" s="1566"/>
      <c r="C54" s="1566"/>
      <c r="D54" s="1566"/>
      <c r="E54" s="1566"/>
      <c r="F54" s="1048"/>
      <c r="G54" s="1566"/>
      <c r="H54" s="1566"/>
      <c r="I54" s="1566"/>
      <c r="J54" s="2436"/>
      <c r="K54" s="2434"/>
      <c r="L54" s="2434"/>
      <c r="M54" s="2434"/>
      <c r="N54" s="1566"/>
      <c r="O54" s="1566"/>
      <c r="P54" s="1566"/>
      <c r="Q54" s="1566"/>
      <c r="R54" s="1566"/>
    </row>
    <row r="55" spans="1:22" s="1739" customFormat="1">
      <c r="A55" s="1566"/>
      <c r="B55" s="1566"/>
      <c r="C55" s="1566"/>
      <c r="D55" s="1566"/>
      <c r="E55" s="1566"/>
      <c r="F55" s="1048"/>
      <c r="G55" s="1566"/>
      <c r="H55" s="1566"/>
      <c r="I55" s="1566"/>
      <c r="J55" s="2436"/>
      <c r="K55" s="2434"/>
      <c r="L55" s="2434"/>
      <c r="M55" s="2434"/>
      <c r="N55" s="1566"/>
      <c r="O55" s="1566"/>
      <c r="P55" s="1566"/>
      <c r="Q55" s="1566"/>
      <c r="R55" s="1566"/>
    </row>
    <row r="56" spans="1:22" s="1739" customFormat="1">
      <c r="A56" s="1566"/>
      <c r="B56" s="1566"/>
      <c r="C56" s="1566"/>
      <c r="D56" s="1566"/>
      <c r="E56" s="1566"/>
      <c r="F56" s="1048"/>
      <c r="G56" s="1566"/>
      <c r="H56" s="1566"/>
      <c r="I56" s="1566"/>
      <c r="J56" s="2436"/>
      <c r="K56" s="2434"/>
      <c r="L56" s="2434"/>
      <c r="M56" s="2434"/>
      <c r="N56" s="1566"/>
      <c r="O56" s="1566"/>
      <c r="P56" s="1566"/>
      <c r="Q56" s="1566"/>
      <c r="R56" s="156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AL13" activePane="bottomRight" state="frozen"/>
      <selection activeCell="C50" sqref="C50"/>
      <selection pane="topRight" activeCell="C50" sqref="C50"/>
      <selection pane="bottomLeft" activeCell="C50" sqref="C50"/>
      <selection pane="bottomRight" activeCell="AL13" sqref="AL13"/>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hidden="1" customWidth="1"/>
    <col min="11" max="11" width="11" style="1569" customWidth="1"/>
    <col min="12" max="12" width="9.5" style="1569" hidden="1" customWidth="1"/>
    <col min="13" max="13" width="9.5" style="1569" customWidth="1"/>
    <col min="14" max="14" width="9.5" style="1569" hidden="1" customWidth="1"/>
    <col min="15" max="15" width="9.875" style="1569" customWidth="1"/>
    <col min="16" max="16" width="9.75" style="1569" hidden="1" customWidth="1"/>
    <col min="17" max="17" width="9.375" style="1569" customWidth="1"/>
    <col min="18" max="18" width="9.25" style="1569" hidden="1" customWidth="1"/>
    <col min="19" max="19" width="10.875" style="1569" customWidth="1"/>
    <col min="20" max="21" width="10.75" style="1569" hidden="1" customWidth="1"/>
    <col min="22" max="22" width="10.875" style="1569" hidden="1" customWidth="1"/>
    <col min="23" max="27" width="10.75" style="1569" hidden="1" customWidth="1"/>
    <col min="28" max="28" width="10.875" style="1569" hidden="1"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1062</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1063</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1064</v>
      </c>
      <c r="B2" s="8" t="s">
        <v>1065</v>
      </c>
      <c r="C2" s="8" t="s">
        <v>1066</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5" t="s">
        <v>1067</v>
      </c>
      <c r="AZ2" s="1046" t="s">
        <v>1068</v>
      </c>
      <c r="BA2" s="8" t="s">
        <v>1069</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v>19162</v>
      </c>
      <c r="B3" s="11">
        <f>IF(C3="否",G5-AT5,G5)</f>
        <v>278010.89999999991</v>
      </c>
      <c r="C3" s="1576" t="s">
        <v>1070</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7"/>
      <c r="AZ3" s="1048"/>
      <c r="BA3" s="1049"/>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1071</v>
      </c>
      <c r="B5" s="1343"/>
      <c r="C5" s="1343"/>
      <c r="D5" s="1345"/>
      <c r="E5" s="13" t="s">
        <v>0</v>
      </c>
      <c r="F5" s="13">
        <f>SUM(F13:F587)</f>
        <v>0</v>
      </c>
      <c r="G5" s="13">
        <f>SUM(G13:G587)</f>
        <v>282075.71999999991</v>
      </c>
      <c r="H5" s="13">
        <f t="shared" ref="H5:AT5" si="0">SUM(H13:H656)</f>
        <v>269167.72999999986</v>
      </c>
      <c r="I5" s="13">
        <f t="shared" si="0"/>
        <v>200418.11999999991</v>
      </c>
      <c r="J5" s="13">
        <f t="shared" si="0"/>
        <v>0</v>
      </c>
      <c r="K5" s="13">
        <f t="shared" si="0"/>
        <v>6729.11</v>
      </c>
      <c r="L5" s="13">
        <f t="shared" si="0"/>
        <v>0</v>
      </c>
      <c r="M5" s="13">
        <f t="shared" si="0"/>
        <v>4630.4399999999996</v>
      </c>
      <c r="N5" s="13">
        <f t="shared" si="0"/>
        <v>0</v>
      </c>
      <c r="O5" s="13">
        <f t="shared" si="0"/>
        <v>7011.7199999999993</v>
      </c>
      <c r="P5" s="13">
        <f t="shared" si="0"/>
        <v>0</v>
      </c>
      <c r="Q5" s="13">
        <f t="shared" si="0"/>
        <v>3236.94</v>
      </c>
      <c r="R5" s="13">
        <f t="shared" si="0"/>
        <v>0</v>
      </c>
      <c r="S5" s="13">
        <f t="shared" si="0"/>
        <v>47141.400000000009</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8843.1700000000019</v>
      </c>
      <c r="AD5" s="13">
        <f t="shared" si="0"/>
        <v>0</v>
      </c>
      <c r="AE5" s="13">
        <f t="shared" si="0"/>
        <v>0</v>
      </c>
      <c r="AF5" s="13">
        <f t="shared" si="0"/>
        <v>0</v>
      </c>
      <c r="AG5" s="13">
        <f t="shared" si="0"/>
        <v>0</v>
      </c>
      <c r="AH5" s="13">
        <f t="shared" si="0"/>
        <v>0</v>
      </c>
      <c r="AI5" s="13">
        <f t="shared" si="0"/>
        <v>0</v>
      </c>
      <c r="AJ5" s="13">
        <f t="shared" si="0"/>
        <v>0</v>
      </c>
      <c r="AK5" s="13">
        <f t="shared" si="0"/>
        <v>0</v>
      </c>
      <c r="AL5" s="13">
        <f t="shared" si="0"/>
        <v>7712.7100000000009</v>
      </c>
      <c r="AM5" s="13">
        <f t="shared" si="0"/>
        <v>0</v>
      </c>
      <c r="AN5" s="13">
        <f t="shared" si="0"/>
        <v>1130.46</v>
      </c>
      <c r="AO5" s="13">
        <f t="shared" si="0"/>
        <v>0</v>
      </c>
      <c r="AP5" s="13">
        <f t="shared" si="0"/>
        <v>0</v>
      </c>
      <c r="AQ5" s="13">
        <f t="shared" si="0"/>
        <v>0</v>
      </c>
      <c r="AR5" s="13">
        <f t="shared" si="0"/>
        <v>0</v>
      </c>
      <c r="AS5" s="13">
        <f t="shared" si="0"/>
        <v>0</v>
      </c>
      <c r="AT5" s="13">
        <f t="shared" si="0"/>
        <v>4064.82</v>
      </c>
      <c r="AU5" s="1342"/>
      <c r="AV5" s="12" t="s">
        <v>1071</v>
      </c>
      <c r="AW5" s="1343"/>
      <c r="AX5" s="1343"/>
      <c r="AY5" s="14" t="s">
        <v>2</v>
      </c>
      <c r="AZ5" s="15">
        <f t="shared" ref="AZ5:BT5" si="1">SUM(AZ13:AZ656)</f>
        <v>226846.22999999989</v>
      </c>
      <c r="BA5" s="15">
        <f t="shared" si="1"/>
        <v>218003.05999999988</v>
      </c>
      <c r="BB5" s="15">
        <f t="shared" si="1"/>
        <v>158807.61999999988</v>
      </c>
      <c r="BC5" s="15">
        <f t="shared" si="1"/>
        <v>1631.7999999999993</v>
      </c>
      <c r="BD5" s="15">
        <f t="shared" si="1"/>
        <v>3028.6099999999997</v>
      </c>
      <c r="BE5" s="15">
        <f t="shared" si="1"/>
        <v>5486.17</v>
      </c>
      <c r="BF5" s="15">
        <f t="shared" si="1"/>
        <v>3014.34</v>
      </c>
      <c r="BG5" s="15">
        <f t="shared" si="1"/>
        <v>46034.520000000011</v>
      </c>
      <c r="BH5" s="15">
        <f t="shared" si="1"/>
        <v>0</v>
      </c>
      <c r="BI5" s="15">
        <f t="shared" si="1"/>
        <v>0</v>
      </c>
      <c r="BJ5" s="15">
        <f t="shared" si="1"/>
        <v>0</v>
      </c>
      <c r="BK5" s="15">
        <f t="shared" si="1"/>
        <v>0</v>
      </c>
      <c r="BL5" s="15">
        <f t="shared" si="1"/>
        <v>8843.1700000000019</v>
      </c>
      <c r="BM5" s="15">
        <f t="shared" si="1"/>
        <v>0</v>
      </c>
      <c r="BN5" s="15">
        <f t="shared" si="1"/>
        <v>0</v>
      </c>
      <c r="BO5" s="15">
        <f t="shared" si="1"/>
        <v>0</v>
      </c>
      <c r="BP5" s="15">
        <f t="shared" si="1"/>
        <v>0</v>
      </c>
      <c r="BQ5" s="15">
        <f t="shared" si="1"/>
        <v>7712.7100000000009</v>
      </c>
      <c r="BR5" s="15">
        <f t="shared" si="1"/>
        <v>1130.46</v>
      </c>
      <c r="BS5" s="15">
        <f t="shared" si="1"/>
        <v>0</v>
      </c>
      <c r="BT5" s="16">
        <f t="shared" si="1"/>
        <v>0</v>
      </c>
    </row>
    <row r="6" spans="1:72" s="1585" customFormat="1" ht="12.75">
      <c r="A6" s="12" t="s">
        <v>1072</v>
      </c>
      <c r="B6" s="1582"/>
      <c r="C6" s="1582"/>
      <c r="D6" s="1583"/>
      <c r="E6" s="13">
        <f>H6+AC6+AT6</f>
        <v>19162.009999999998</v>
      </c>
      <c r="F6" s="13" t="s">
        <v>0</v>
      </c>
      <c r="G6" s="13" t="s">
        <v>1</v>
      </c>
      <c r="H6" s="17">
        <f>SUMIF(I$12:AB$12,"总值",I6:AB6)</f>
        <v>18552.489999999998</v>
      </c>
      <c r="I6" s="13">
        <f t="shared" ref="I6:AB6" si="2">ROUND($A$3*I5/$B$3,2)</f>
        <v>13813.89</v>
      </c>
      <c r="J6" s="13">
        <f t="shared" si="2"/>
        <v>0</v>
      </c>
      <c r="K6" s="13">
        <f t="shared" si="2"/>
        <v>463.81</v>
      </c>
      <c r="L6" s="13">
        <f t="shared" si="2"/>
        <v>0</v>
      </c>
      <c r="M6" s="13">
        <f t="shared" si="2"/>
        <v>319.14999999999998</v>
      </c>
      <c r="N6" s="13">
        <f t="shared" si="2"/>
        <v>0</v>
      </c>
      <c r="O6" s="13">
        <f t="shared" si="2"/>
        <v>483.29</v>
      </c>
      <c r="P6" s="13">
        <f t="shared" si="2"/>
        <v>0</v>
      </c>
      <c r="Q6" s="13">
        <f t="shared" si="2"/>
        <v>223.11</v>
      </c>
      <c r="R6" s="13">
        <f t="shared" si="2"/>
        <v>0</v>
      </c>
      <c r="S6" s="13">
        <f t="shared" si="2"/>
        <v>3249.24</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609.52</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531.6</v>
      </c>
      <c r="AM6" s="13">
        <f t="shared" si="3"/>
        <v>0</v>
      </c>
      <c r="AN6" s="13">
        <f t="shared" si="3"/>
        <v>77.92</v>
      </c>
      <c r="AO6" s="13">
        <f t="shared" si="3"/>
        <v>0</v>
      </c>
      <c r="AP6" s="13">
        <f t="shared" si="3"/>
        <v>0</v>
      </c>
      <c r="AQ6" s="13">
        <f t="shared" si="3"/>
        <v>0</v>
      </c>
      <c r="AR6" s="13">
        <f t="shared" si="3"/>
        <v>0</v>
      </c>
      <c r="AS6" s="13">
        <f t="shared" si="3"/>
        <v>0</v>
      </c>
      <c r="AT6" s="17">
        <f>IF(C3="是",ROUND($A$3*AT5/$B$3,2),0)</f>
        <v>0</v>
      </c>
      <c r="AU6" s="1584"/>
      <c r="AV6" s="12" t="s">
        <v>1072</v>
      </c>
      <c r="AW6" s="1582"/>
      <c r="AX6" s="1582"/>
      <c r="AY6" s="18">
        <f>IF(AY3&gt;0,AY3,ROUND($A$3*AZ5/$B$3,2))</f>
        <v>15635.46</v>
      </c>
      <c r="AZ6" s="13" t="s">
        <v>2</v>
      </c>
      <c r="BA6" s="13">
        <f>ROUND($AY$6*BA5/$AZ$5,2)</f>
        <v>15025.94</v>
      </c>
      <c r="BB6" s="13">
        <f>ROUND($AY$6*BB5/$AZ$5,2)</f>
        <v>10945.87</v>
      </c>
      <c r="BC6" s="13">
        <f t="shared" ref="BC6:BH6" si="4">ROUND($AY$6*BC5/$AZ$5,2)</f>
        <v>112.47</v>
      </c>
      <c r="BD6" s="13">
        <f t="shared" si="4"/>
        <v>208.75</v>
      </c>
      <c r="BE6" s="13">
        <f t="shared" si="4"/>
        <v>378.14</v>
      </c>
      <c r="BF6" s="13">
        <f t="shared" si="4"/>
        <v>207.76</v>
      </c>
      <c r="BG6" s="13">
        <f t="shared" si="4"/>
        <v>3172.95</v>
      </c>
      <c r="BH6" s="13">
        <f t="shared" si="4"/>
        <v>0</v>
      </c>
      <c r="BI6" s="13">
        <f t="shared" ref="BI6:BT6" si="5">ROUND($AY$6*BI5/$AZ$5,2)</f>
        <v>0</v>
      </c>
      <c r="BJ6" s="13">
        <f t="shared" si="5"/>
        <v>0</v>
      </c>
      <c r="BK6" s="13">
        <f t="shared" si="5"/>
        <v>0</v>
      </c>
      <c r="BL6" s="13">
        <f t="shared" si="5"/>
        <v>609.52</v>
      </c>
      <c r="BM6" s="13">
        <f t="shared" si="5"/>
        <v>0</v>
      </c>
      <c r="BN6" s="13">
        <f t="shared" si="5"/>
        <v>0</v>
      </c>
      <c r="BO6" s="13">
        <f t="shared" si="5"/>
        <v>0</v>
      </c>
      <c r="BP6" s="13">
        <f t="shared" si="5"/>
        <v>0</v>
      </c>
      <c r="BQ6" s="13">
        <f t="shared" si="5"/>
        <v>531.6</v>
      </c>
      <c r="BR6" s="13">
        <f t="shared" si="5"/>
        <v>77.92</v>
      </c>
      <c r="BS6" s="13">
        <f t="shared" si="5"/>
        <v>0</v>
      </c>
      <c r="BT6" s="19">
        <f t="shared" si="5"/>
        <v>0</v>
      </c>
    </row>
    <row r="7" spans="1:72" s="1575" customFormat="1" ht="24.75">
      <c r="A7" s="1565" t="s">
        <v>1073</v>
      </c>
      <c r="B7" s="1565" t="s">
        <v>1074</v>
      </c>
      <c r="C7" s="1565" t="s">
        <v>1075</v>
      </c>
      <c r="D7" s="1565" t="s">
        <v>1076</v>
      </c>
      <c r="E7" s="1565" t="s">
        <v>1077</v>
      </c>
      <c r="F7" s="1565" t="s">
        <v>1078</v>
      </c>
      <c r="G7" s="1586" t="s">
        <v>1079</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1080</v>
      </c>
      <c r="AV7" s="20" t="s">
        <v>1081</v>
      </c>
      <c r="AW7" s="1574" t="s">
        <v>1082</v>
      </c>
      <c r="AX7" s="20" t="s">
        <v>1075</v>
      </c>
      <c r="AY7" s="1343" t="s">
        <v>1083</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1084</v>
      </c>
      <c r="H8" s="1592" t="s">
        <v>1085</v>
      </c>
      <c r="I8" s="1593"/>
      <c r="J8" s="1356"/>
      <c r="K8" s="1356"/>
      <c r="L8" s="1356"/>
      <c r="M8" s="1356"/>
      <c r="N8" s="1356"/>
      <c r="O8" s="1356"/>
      <c r="P8" s="1356"/>
      <c r="Q8" s="1356"/>
      <c r="R8" s="1356"/>
      <c r="S8" s="1356"/>
      <c r="T8" s="1356"/>
      <c r="U8" s="1356"/>
      <c r="V8" s="1594"/>
      <c r="W8" s="1356"/>
      <c r="X8" s="1356"/>
      <c r="Y8" s="1356"/>
      <c r="Z8" s="1356"/>
      <c r="AA8" s="1594"/>
      <c r="AB8" s="1595"/>
      <c r="AC8" s="806" t="s">
        <v>1086</v>
      </c>
      <c r="AD8" s="1596"/>
      <c r="AE8" s="1588"/>
      <c r="AF8" s="1356"/>
      <c r="AG8" s="1356"/>
      <c r="AH8" s="1356"/>
      <c r="AI8" s="1356"/>
      <c r="AJ8" s="1356"/>
      <c r="AK8" s="1356"/>
      <c r="AL8" s="1356"/>
      <c r="AM8" s="1356"/>
      <c r="AN8" s="1356"/>
      <c r="AO8" s="1356"/>
      <c r="AP8" s="1356"/>
      <c r="AQ8" s="1356"/>
      <c r="AR8" s="1356"/>
      <c r="AS8" s="1356"/>
      <c r="AT8" s="1067" t="s">
        <v>1087</v>
      </c>
      <c r="AU8" s="1590" t="s">
        <v>1088</v>
      </c>
      <c r="AV8" s="1067"/>
      <c r="AW8" s="1573"/>
      <c r="AX8" s="1067"/>
      <c r="AY8" s="1574" t="s">
        <v>1089</v>
      </c>
      <c r="AZ8" s="1355" t="s">
        <v>1090</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7"/>
      <c r="H9" s="1598" t="s">
        <v>1091</v>
      </c>
      <c r="I9" s="1599" t="s">
        <v>3798</v>
      </c>
      <c r="J9" s="806"/>
      <c r="K9" s="1599" t="s">
        <v>3798</v>
      </c>
      <c r="L9" s="806"/>
      <c r="M9" s="1599" t="s">
        <v>3799</v>
      </c>
      <c r="N9" s="806"/>
      <c r="O9" s="1599" t="s">
        <v>3798</v>
      </c>
      <c r="P9" s="806"/>
      <c r="Q9" s="1599" t="s">
        <v>3799</v>
      </c>
      <c r="R9" s="806"/>
      <c r="S9" s="1599" t="s">
        <v>3799</v>
      </c>
      <c r="T9" s="806"/>
      <c r="U9" s="1599"/>
      <c r="V9" s="806"/>
      <c r="W9" s="1599"/>
      <c r="X9" s="1600"/>
      <c r="Y9" s="1599"/>
      <c r="Z9" s="806"/>
      <c r="AA9" s="1599"/>
      <c r="AB9" s="806"/>
      <c r="AC9" s="1591" t="s">
        <v>1091</v>
      </c>
      <c r="AD9" s="12" t="s">
        <v>1092</v>
      </c>
      <c r="AE9" s="1073"/>
      <c r="AF9" s="12" t="s">
        <v>1093</v>
      </c>
      <c r="AG9" s="1073"/>
      <c r="AH9" s="12" t="s">
        <v>1092</v>
      </c>
      <c r="AI9" s="1073"/>
      <c r="AJ9" s="12" t="s">
        <v>1093</v>
      </c>
      <c r="AK9" s="1073"/>
      <c r="AL9" s="12" t="s">
        <v>1092</v>
      </c>
      <c r="AM9" s="1073"/>
      <c r="AN9" s="12" t="s">
        <v>1093</v>
      </c>
      <c r="AO9" s="1073"/>
      <c r="AP9" s="12" t="s">
        <v>1092</v>
      </c>
      <c r="AQ9" s="1073"/>
      <c r="AR9" s="12" t="s">
        <v>1093</v>
      </c>
      <c r="AS9" s="1601"/>
      <c r="AT9" s="1590"/>
      <c r="AU9" s="1590" t="s">
        <v>1094</v>
      </c>
      <c r="AV9" s="1067"/>
      <c r="AW9" s="1573"/>
      <c r="AX9" s="1067"/>
      <c r="AY9" s="25"/>
      <c r="AZ9" s="25" t="s">
        <v>1084</v>
      </c>
      <c r="BA9" s="1602" t="s">
        <v>1095</v>
      </c>
      <c r="BB9" s="1603"/>
      <c r="BC9" s="1085"/>
      <c r="BD9" s="1085"/>
      <c r="BE9" s="1085"/>
      <c r="BF9" s="1085"/>
      <c r="BG9" s="1085"/>
      <c r="BH9" s="1085"/>
      <c r="BI9" s="1085"/>
      <c r="BJ9" s="1085"/>
      <c r="BK9" s="1604"/>
      <c r="BL9" s="12" t="s">
        <v>1096</v>
      </c>
      <c r="BM9" s="1356"/>
      <c r="BN9" s="1593"/>
      <c r="BO9" s="1356"/>
      <c r="BP9" s="1356"/>
      <c r="BQ9" s="1356"/>
      <c r="BR9" s="1356"/>
      <c r="BS9" s="1356"/>
      <c r="BT9" s="23"/>
    </row>
    <row r="10" spans="1:72" s="1597" customFormat="1" ht="12.75">
      <c r="A10" s="1590"/>
      <c r="B10" s="1590"/>
      <c r="C10" s="1590"/>
      <c r="D10" s="1590"/>
      <c r="E10" s="1590"/>
      <c r="F10" s="1590"/>
      <c r="G10" s="1067"/>
      <c r="H10" s="25"/>
      <c r="I10" s="1599" t="s">
        <v>21</v>
      </c>
      <c r="J10" s="806"/>
      <c r="K10" s="1605" t="s">
        <v>673</v>
      </c>
      <c r="L10" s="806"/>
      <c r="M10" s="1605" t="s">
        <v>673</v>
      </c>
      <c r="N10" s="806"/>
      <c r="O10" s="1605" t="s">
        <v>3340</v>
      </c>
      <c r="P10" s="806"/>
      <c r="Q10" s="1605" t="s">
        <v>3340</v>
      </c>
      <c r="R10" s="806"/>
      <c r="S10" s="1605" t="s">
        <v>3800</v>
      </c>
      <c r="T10" s="806"/>
      <c r="U10" s="1605"/>
      <c r="V10" s="806"/>
      <c r="W10" s="1605"/>
      <c r="X10" s="806"/>
      <c r="Y10" s="1605"/>
      <c r="Z10" s="806"/>
      <c r="AA10" s="1605"/>
      <c r="AB10" s="806"/>
      <c r="AC10" s="1067"/>
      <c r="AD10" s="12" t="s">
        <v>1097</v>
      </c>
      <c r="AE10" s="1606"/>
      <c r="AF10" s="12" t="s">
        <v>1097</v>
      </c>
      <c r="AG10" s="1606"/>
      <c r="AH10" s="12" t="s">
        <v>1098</v>
      </c>
      <c r="AI10" s="1606"/>
      <c r="AJ10" s="12" t="s">
        <v>1098</v>
      </c>
      <c r="AK10" s="1606"/>
      <c r="AL10" s="12" t="s">
        <v>1099</v>
      </c>
      <c r="AM10" s="1073"/>
      <c r="AN10" s="12" t="s">
        <v>1099</v>
      </c>
      <c r="AO10" s="1073"/>
      <c r="AP10" s="12" t="s">
        <v>1100</v>
      </c>
      <c r="AQ10" s="1073"/>
      <c r="AR10" s="12" t="s">
        <v>1100</v>
      </c>
      <c r="AS10" s="1073"/>
      <c r="AT10" s="1590"/>
      <c r="AU10" s="1590"/>
      <c r="AV10" s="1067"/>
      <c r="AW10" s="1573"/>
      <c r="AX10" s="1067"/>
      <c r="AY10" s="25"/>
      <c r="AZ10" s="25"/>
      <c r="BA10" s="1607" t="s">
        <v>1091</v>
      </c>
      <c r="BB10" s="1608" t="str">
        <f>I9</f>
        <v>地上</v>
      </c>
      <c r="BC10" s="26" t="str">
        <f>K9</f>
        <v>地上</v>
      </c>
      <c r="BD10" s="26" t="str">
        <f>M9</f>
        <v>地下</v>
      </c>
      <c r="BE10" s="26" t="str">
        <f>O9</f>
        <v>地上</v>
      </c>
      <c r="BF10" s="26" t="str">
        <f>Q9</f>
        <v>地下</v>
      </c>
      <c r="BG10" s="26" t="str">
        <f>S9</f>
        <v>地下</v>
      </c>
      <c r="BH10" s="26">
        <f>U9</f>
        <v>0</v>
      </c>
      <c r="BI10" s="26">
        <f>W9</f>
        <v>0</v>
      </c>
      <c r="BJ10" s="26">
        <f>Y9</f>
        <v>0</v>
      </c>
      <c r="BK10" s="26">
        <f>AA9</f>
        <v>0</v>
      </c>
      <c r="BL10" s="22" t="s">
        <v>1091</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7"/>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7"/>
      <c r="AD11" s="1612" t="s">
        <v>1101</v>
      </c>
      <c r="AE11" s="1357"/>
      <c r="AF11" s="1612" t="s">
        <v>1101</v>
      </c>
      <c r="AG11" s="1357"/>
      <c r="AH11" s="1612" t="s">
        <v>1102</v>
      </c>
      <c r="AI11" s="1613"/>
      <c r="AJ11" s="1612" t="s">
        <v>1102</v>
      </c>
      <c r="AK11" s="1357"/>
      <c r="AL11" s="1355"/>
      <c r="AM11" s="1357"/>
      <c r="AN11" s="1355"/>
      <c r="AO11" s="1357"/>
      <c r="AP11" s="1355"/>
      <c r="AQ11" s="1357"/>
      <c r="AR11" s="1355"/>
      <c r="AS11" s="1357"/>
      <c r="AT11" s="1573"/>
      <c r="AU11" s="1590"/>
      <c r="AV11" s="1067"/>
      <c r="AW11" s="1573"/>
      <c r="AX11" s="1067"/>
      <c r="AY11" s="25"/>
      <c r="AZ11" s="25"/>
      <c r="BA11" s="25"/>
      <c r="BB11" s="1595" t="str">
        <f>I10</f>
        <v>办公</v>
      </c>
      <c r="BC11" s="1595" t="str">
        <f>K10</f>
        <v>商业</v>
      </c>
      <c r="BD11" s="1595" t="str">
        <f>M10</f>
        <v>商业</v>
      </c>
      <c r="BE11" s="1595" t="str">
        <f>O10</f>
        <v>仓储</v>
      </c>
      <c r="BF11" s="1595" t="str">
        <f>Q10</f>
        <v>仓储</v>
      </c>
      <c r="BG11" s="1595" t="str">
        <f>S10</f>
        <v>车库—办公</v>
      </c>
      <c r="BH11" s="1595">
        <f>U10</f>
        <v>0</v>
      </c>
      <c r="BI11" s="1595">
        <f>W10</f>
        <v>0</v>
      </c>
      <c r="BJ11" s="1595">
        <f>Y10</f>
        <v>0</v>
      </c>
      <c r="BK11" s="1595">
        <f>AA10</f>
        <v>0</v>
      </c>
      <c r="BL11" s="1067"/>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2" t="s">
        <v>1104</v>
      </c>
      <c r="W12" s="8" t="s">
        <v>1103</v>
      </c>
      <c r="X12" s="8" t="s">
        <v>1104</v>
      </c>
      <c r="Y12" s="8" t="s">
        <v>1103</v>
      </c>
      <c r="Z12" s="8" t="s">
        <v>1104</v>
      </c>
      <c r="AA12" s="8" t="s">
        <v>1103</v>
      </c>
      <c r="AB12" s="8" t="s">
        <v>1104</v>
      </c>
      <c r="AC12" s="1617"/>
      <c r="AD12" s="134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5" t="s">
        <v>1104</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7"/>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8"/>
      <c r="B13" s="1048"/>
      <c r="C13" s="1048"/>
      <c r="D13" s="1621" t="s">
        <v>3796</v>
      </c>
      <c r="E13" s="13">
        <f>IF($C$3="是",ROUND($A$3*G13/$B$3,2),ROUND($A$3*(G13-AT13)/$B$3,2))</f>
        <v>15635.46</v>
      </c>
      <c r="F13" s="29"/>
      <c r="G13" s="30">
        <f>H13+AC13+AT13</f>
        <v>230911.0499999999</v>
      </c>
      <c r="H13" s="17">
        <f>SUMIF(I$12:AB$12,"总值",I13:AB13)</f>
        <v>218003.05999999988</v>
      </c>
      <c r="I13" s="1622">
        <f>Sheet1!F89</f>
        <v>158807.61999999988</v>
      </c>
      <c r="J13" s="1622"/>
      <c r="K13" s="1622">
        <f>Sheet1!F90</f>
        <v>1631.7999999999993</v>
      </c>
      <c r="L13" s="1622"/>
      <c r="M13" s="1622">
        <f>Sheet1!F91</f>
        <v>3028.6099999999997</v>
      </c>
      <c r="N13" s="1622"/>
      <c r="O13" s="1622">
        <f>Sheet1!F94</f>
        <v>5486.17</v>
      </c>
      <c r="P13" s="1622"/>
      <c r="Q13" s="1622">
        <f>Sheet1!F95</f>
        <v>3014.34</v>
      </c>
      <c r="R13" s="1622"/>
      <c r="S13" s="1622">
        <f>Sheet1!F92</f>
        <v>46034.520000000011</v>
      </c>
      <c r="T13" s="1622"/>
      <c r="U13" s="1622"/>
      <c r="V13" s="1622"/>
      <c r="W13" s="1622"/>
      <c r="X13" s="1622"/>
      <c r="Y13" s="1622"/>
      <c r="Z13" s="1622"/>
      <c r="AA13" s="1622"/>
      <c r="AB13" s="1622"/>
      <c r="AC13" s="13">
        <f>SUMIF(AD$12:AS$12,"总值",AD13:AS13)</f>
        <v>8843.1700000000019</v>
      </c>
      <c r="AD13" s="1623"/>
      <c r="AE13" s="1623"/>
      <c r="AF13" s="1623"/>
      <c r="AG13" s="1623"/>
      <c r="AH13" s="1623"/>
      <c r="AI13" s="1623"/>
      <c r="AJ13" s="1623"/>
      <c r="AK13" s="1623"/>
      <c r="AL13" s="1623">
        <f>Sheet1!L85</f>
        <v>7712.7100000000009</v>
      </c>
      <c r="AM13" s="1623"/>
      <c r="AN13" s="1623">
        <f>Sheet1!I85+Sheet1!K85</f>
        <v>1130.46</v>
      </c>
      <c r="AO13" s="1623"/>
      <c r="AP13" s="1623"/>
      <c r="AQ13" s="1623"/>
      <c r="AR13" s="1623"/>
      <c r="AS13" s="1623"/>
      <c r="AT13" s="1624">
        <f>Sheet1!D97</f>
        <v>4064.82</v>
      </c>
      <c r="AU13" s="1625"/>
      <c r="AV13" s="8">
        <f t="shared" ref="AV13:AX17" si="6">A13</f>
        <v>0</v>
      </c>
      <c r="AW13" s="8">
        <f t="shared" si="6"/>
        <v>0</v>
      </c>
      <c r="AX13" s="8">
        <f t="shared" si="6"/>
        <v>0</v>
      </c>
      <c r="AY13" s="1345">
        <f>ROUND($AY$6*AZ13/$AZ$5,2)</f>
        <v>15635.46</v>
      </c>
      <c r="AZ13" s="13">
        <f>BA13+BL13</f>
        <v>226846.22999999989</v>
      </c>
      <c r="BA13" s="13">
        <f>SUM(BB13:BK13)</f>
        <v>218003.05999999988</v>
      </c>
      <c r="BB13" s="13">
        <f>IF($D13="是",I13-J13,0)</f>
        <v>158807.61999999988</v>
      </c>
      <c r="BC13" s="13">
        <f>IF($D13="是",K13-L13,0)</f>
        <v>1631.7999999999993</v>
      </c>
      <c r="BD13" s="13">
        <f>IF($D13="是",M13-N13,0)</f>
        <v>3028.6099999999997</v>
      </c>
      <c r="BE13" s="13">
        <f>IF($D13="是",O13-P13,0)</f>
        <v>5486.17</v>
      </c>
      <c r="BF13" s="13">
        <f>IF($D13="是",Q13-R13,0)</f>
        <v>3014.34</v>
      </c>
      <c r="BG13" s="13">
        <f>IF($D13="是",S13-T13,0)</f>
        <v>46034.520000000011</v>
      </c>
      <c r="BH13" s="13">
        <f>IF($D13="是",U13-V13,0)</f>
        <v>0</v>
      </c>
      <c r="BI13" s="13">
        <f>IF($D13="是",W13-X13,0)</f>
        <v>0</v>
      </c>
      <c r="BJ13" s="13">
        <f>IF($D13="是",Y13-Z13,0)</f>
        <v>0</v>
      </c>
      <c r="BK13" s="13">
        <f>IF($D13="是",AA13-AB13,0)</f>
        <v>0</v>
      </c>
      <c r="BL13" s="13">
        <f>SUM(BM13:BT13)</f>
        <v>8843.1700000000019</v>
      </c>
      <c r="BM13" s="13">
        <f>IF($D13="是",AD13-AE13,0)</f>
        <v>0</v>
      </c>
      <c r="BN13" s="13">
        <f>IF($D13="是",AF13-AG13,0)</f>
        <v>0</v>
      </c>
      <c r="BO13" s="13">
        <f>IF($D13="是",AH13-AI13,0)</f>
        <v>0</v>
      </c>
      <c r="BP13" s="13">
        <f>IF($D13="是",AJ13-AK13,0)</f>
        <v>0</v>
      </c>
      <c r="BQ13" s="13">
        <f>IF($D13="是",AL13-AM13,0)</f>
        <v>7712.7100000000009</v>
      </c>
      <c r="BR13" s="13">
        <f>IF($D13="是",AN13-AO13,0)</f>
        <v>1130.46</v>
      </c>
      <c r="BS13" s="13">
        <f>IF($D13="是",AP13-AQ13,0)</f>
        <v>0</v>
      </c>
      <c r="BT13" s="19">
        <f>IF($D13="是",AR13-AS13,0)</f>
        <v>0</v>
      </c>
    </row>
    <row r="14" spans="1:72" s="1575" customFormat="1" ht="12.75">
      <c r="A14" s="1048"/>
      <c r="B14" s="1048"/>
      <c r="C14" s="1566"/>
      <c r="D14" s="1621" t="s">
        <v>3797</v>
      </c>
      <c r="E14" s="13">
        <f>IF($C$3="是",ROUND($A$3*G14/$B$3,2),ROUND($A$3*(G14-AT14)/$B$3,2))</f>
        <v>3526.54</v>
      </c>
      <c r="F14" s="29"/>
      <c r="G14" s="30">
        <f>H14+AC14+AT14</f>
        <v>51164.670000000013</v>
      </c>
      <c r="H14" s="17">
        <f>SUMIF(I$12:AB$12,"总值",I14:AB14)</f>
        <v>51164.670000000013</v>
      </c>
      <c r="I14" s="1622">
        <f>Sheet1!E89</f>
        <v>41610.500000000022</v>
      </c>
      <c r="J14" s="1622"/>
      <c r="K14" s="1622">
        <f>Sheet1!E90</f>
        <v>5097.3100000000004</v>
      </c>
      <c r="L14" s="1622"/>
      <c r="M14" s="1622">
        <f>Sheet1!E91</f>
        <v>1601.83</v>
      </c>
      <c r="N14" s="1622"/>
      <c r="O14" s="1622">
        <f>Sheet1!E94</f>
        <v>1525.5499999999993</v>
      </c>
      <c r="P14" s="1622"/>
      <c r="Q14" s="1622">
        <f>Sheet1!E95</f>
        <v>222.6</v>
      </c>
      <c r="R14" s="1622"/>
      <c r="S14" s="1622">
        <f>Sheet1!E92</f>
        <v>1106.8800000000001</v>
      </c>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0</v>
      </c>
      <c r="AY14" s="134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8"/>
      <c r="B15" s="1048"/>
      <c r="C15" s="1566"/>
      <c r="D15" s="1621"/>
      <c r="E15" s="13">
        <f>IF($C$3="是",ROUND($A$3*G15/$B$3,2),ROUND($A$3*(G15-AT15)/$B$3,2))</f>
        <v>0</v>
      </c>
      <c r="F15" s="29"/>
      <c r="G15" s="30">
        <f>H15+AC15+AT15</f>
        <v>0</v>
      </c>
      <c r="H15" s="17">
        <f>SUMIF(I$12:AB$12,"总值",I15:AB15)</f>
        <v>0</v>
      </c>
      <c r="I15" s="1622"/>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8"/>
      <c r="B16" s="1048"/>
      <c r="C16" s="1566"/>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8"/>
      <c r="B17" s="1048"/>
      <c r="C17" s="1566"/>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6:L409"/>
  <sheetViews>
    <sheetView topLeftCell="A375" zoomScaleNormal="100" workbookViewId="0">
      <selection activeCell="H405" sqref="H405"/>
    </sheetView>
  </sheetViews>
  <sheetFormatPr defaultRowHeight="12"/>
  <cols>
    <col min="1" max="4" width="9" style="3446"/>
    <col min="5" max="5" width="9.375" style="3446" bestFit="1" customWidth="1"/>
    <col min="6" max="6" width="10.875" style="3446" customWidth="1"/>
    <col min="7" max="16384" width="9" style="3446"/>
  </cols>
  <sheetData>
    <row r="6" spans="2:12">
      <c r="C6" s="3446" t="s">
        <v>3378</v>
      </c>
      <c r="D6" s="3446" t="s">
        <v>3379</v>
      </c>
      <c r="E6" s="3446" t="s">
        <v>3380</v>
      </c>
      <c r="F6" s="3446" t="s">
        <v>3381</v>
      </c>
      <c r="G6" s="3446" t="s">
        <v>3382</v>
      </c>
      <c r="H6" s="3446" t="s">
        <v>3383</v>
      </c>
      <c r="I6" s="3446" t="s">
        <v>3384</v>
      </c>
      <c r="J6" s="3446" t="s">
        <v>3385</v>
      </c>
      <c r="K6" s="3446" t="s">
        <v>3386</v>
      </c>
      <c r="L6" s="3446" t="s">
        <v>3387</v>
      </c>
    </row>
    <row r="7" spans="2:12">
      <c r="B7" s="3447" t="s">
        <v>3476</v>
      </c>
      <c r="C7" s="3448">
        <v>16637.830000000002</v>
      </c>
      <c r="F7" s="3448">
        <f>C7-H7-I7-J7</f>
        <v>11115.810000000003</v>
      </c>
      <c r="H7" s="3446">
        <v>4064.82</v>
      </c>
      <c r="I7" s="3446">
        <f>25.12+12.05+19.29+30.09+32.84</f>
        <v>119.39</v>
      </c>
      <c r="J7" s="3446">
        <f>13.9+7.37+44.06+22.95+57.49+18.73+18.73+41.01+16.36+19.39+25.73+11.22+19.39+8.56+17.11+27.24+443.46+78.79+32.34+23.62+23.03+22.88+19.48+23.47+23.03+23.03+26.27+27.45+31.64+56.83+85.93+27.32</f>
        <v>1337.81</v>
      </c>
    </row>
    <row r="8" spans="2:12" ht="13.5">
      <c r="B8" s="3447" t="s">
        <v>3477</v>
      </c>
      <c r="C8" s="3448">
        <v>16132.76</v>
      </c>
      <c r="F8" s="3446">
        <f>C8-I8-J8</f>
        <v>14883.42</v>
      </c>
      <c r="I8" s="3446">
        <f>11.37+25.12+20.57+19.36+69.56+40.54+16.75</f>
        <v>203.27</v>
      </c>
      <c r="J8" s="3446">
        <f>28.38+7.37+21.82+22.8+24.01+20.21+11.22+8.99+38.81+67.88+44.85+27.92+47.38+133.88+18.99+19.39+30.36+24.15+23.5+23.39+19.93+23.96+23.54+23.54+26.86+26.86+28.02+8.71+10.07+10.74+198.54</f>
        <v>1046.07</v>
      </c>
    </row>
    <row r="9" spans="2:12" ht="13.5">
      <c r="B9" s="3447" t="s">
        <v>3478</v>
      </c>
      <c r="C9" s="3448">
        <v>15738.27</v>
      </c>
      <c r="F9" s="3446">
        <f>C9-I9-J9-K9</f>
        <v>14682.859999999999</v>
      </c>
      <c r="I9" s="3446">
        <f>23.42+27.81+10.55+25.12+20.57+20.57+35.35+33.71+30.09</f>
        <v>227.19</v>
      </c>
      <c r="J9" s="3446">
        <f>28.38+6.95+20.26+22.8+46.35+33.71+16.83+19.39+18.99+16.36+32.34+24.15+23.54+23.39+19.93+24.75+28.63+51.6</f>
        <v>458.35</v>
      </c>
      <c r="K9" s="3446">
        <f>184.87+185</f>
        <v>369.87</v>
      </c>
    </row>
    <row r="10" spans="2:12" ht="13.5">
      <c r="B10" s="3447" t="s">
        <v>3479</v>
      </c>
      <c r="C10" s="3448">
        <v>11695.2</v>
      </c>
      <c r="E10" s="3446">
        <f>557+1399.31+1629.3+63.36+738.77+106.62+136.08</f>
        <v>4630.4399999999996</v>
      </c>
      <c r="F10" s="3446">
        <f>C10-E10-I10-J10</f>
        <v>6459.3100000000013</v>
      </c>
      <c r="I10" s="3446">
        <f>13.91+13.65+23.37+27.06+76.7+56.05</f>
        <v>210.74</v>
      </c>
      <c r="J10" s="3446">
        <f>64.13+65.39+40.85+34.42+36.8+20.69+35.2+25.51+27.06+27.81+16.85</f>
        <v>394.71</v>
      </c>
    </row>
    <row r="11" spans="2:12">
      <c r="B11" s="3446" t="s">
        <v>3388</v>
      </c>
      <c r="C11" s="3446">
        <v>1398.5</v>
      </c>
      <c r="E11" s="3446">
        <f>C11</f>
        <v>1398.5</v>
      </c>
    </row>
    <row r="12" spans="2:12">
      <c r="B12" s="3447" t="s">
        <v>3389</v>
      </c>
      <c r="C12" s="3448">
        <v>5125.5</v>
      </c>
      <c r="D12" s="3446">
        <f>C12-E12-G12</f>
        <v>2808.34</v>
      </c>
      <c r="E12" s="3446">
        <f>433.49+1246.57+489.16</f>
        <v>2169.2199999999998</v>
      </c>
      <c r="G12" s="3446">
        <f>6.08+9.2+6.08+63.29+63.29</f>
        <v>147.94</v>
      </c>
    </row>
    <row r="13" spans="2:12">
      <c r="B13" s="3446" t="s">
        <v>3390</v>
      </c>
      <c r="C13" s="3446">
        <f>SUM(D13:L13)</f>
        <v>5991.0899999999992</v>
      </c>
      <c r="D13" s="3446">
        <f>319.54+190.78+285.58+319.54+288.73+319.54+190.78+285.58+319.54+288.73</f>
        <v>2808.34</v>
      </c>
      <c r="E13" s="3446">
        <f>1876.37+1285.02</f>
        <v>3161.39</v>
      </c>
      <c r="G13" s="3446">
        <f>6.08+9.2+6.08</f>
        <v>21.36</v>
      </c>
    </row>
    <row r="14" spans="2:12">
      <c r="B14" s="3447" t="s">
        <v>3391</v>
      </c>
      <c r="C14" s="3446">
        <v>2956.28</v>
      </c>
      <c r="D14" s="3446">
        <f>C14-SUM(E14:L14)</f>
        <v>2808.34</v>
      </c>
      <c r="G14" s="3446">
        <f>6.08+9.2+6.08+63.29+63.29</f>
        <v>147.94</v>
      </c>
    </row>
    <row r="15" spans="2:12">
      <c r="B15" s="3446" t="s">
        <v>3392</v>
      </c>
      <c r="C15" s="3446">
        <v>2829.7</v>
      </c>
      <c r="D15" s="3446">
        <f t="shared" ref="D15:D78" si="0">C15-SUM(E15:L15)</f>
        <v>2808.3399999999997</v>
      </c>
      <c r="G15" s="3446">
        <f>6.08+9.2+6.08</f>
        <v>21.36</v>
      </c>
    </row>
    <row r="16" spans="2:12">
      <c r="B16" s="3447" t="s">
        <v>3393</v>
      </c>
      <c r="C16" s="3446">
        <v>2956.28</v>
      </c>
      <c r="D16" s="3446">
        <f t="shared" si="0"/>
        <v>2808.34</v>
      </c>
      <c r="G16" s="3446">
        <f>6.08+9.2+6.08+63.29+63.29</f>
        <v>147.94</v>
      </c>
    </row>
    <row r="17" spans="2:12">
      <c r="B17" s="3446" t="s">
        <v>3394</v>
      </c>
      <c r="C17" s="3446">
        <v>2829.7</v>
      </c>
      <c r="D17" s="3446">
        <f t="shared" si="0"/>
        <v>2808.3399999999997</v>
      </c>
      <c r="G17" s="3446">
        <f>6.08+9.2+6.08</f>
        <v>21.36</v>
      </c>
    </row>
    <row r="18" spans="2:12">
      <c r="B18" s="3447" t="s">
        <v>3395</v>
      </c>
      <c r="C18" s="3446">
        <v>2956.28</v>
      </c>
      <c r="D18" s="3446">
        <f t="shared" si="0"/>
        <v>2808.34</v>
      </c>
      <c r="G18" s="3446">
        <f>6.08+9.2+6.08+63.29+63.29</f>
        <v>147.94</v>
      </c>
    </row>
    <row r="19" spans="2:12">
      <c r="B19" s="3446" t="s">
        <v>3396</v>
      </c>
      <c r="C19" s="3446">
        <v>2829.7</v>
      </c>
      <c r="D19" s="3446">
        <f t="shared" si="0"/>
        <v>2808.3399999999997</v>
      </c>
      <c r="G19" s="3446">
        <v>21.36</v>
      </c>
    </row>
    <row r="20" spans="2:12">
      <c r="B20" s="3447" t="s">
        <v>3397</v>
      </c>
      <c r="C20" s="3446">
        <v>1565.73</v>
      </c>
      <c r="D20" s="3446">
        <f t="shared" si="0"/>
        <v>0</v>
      </c>
      <c r="L20" s="3446">
        <v>1565.73</v>
      </c>
    </row>
    <row r="21" spans="2:12">
      <c r="B21" s="3446" t="s">
        <v>3398</v>
      </c>
      <c r="C21" s="3446">
        <v>2977.22</v>
      </c>
      <c r="D21" s="3446">
        <f t="shared" si="0"/>
        <v>2830.22</v>
      </c>
      <c r="G21" s="3446">
        <f>5.79+8.84+5.79+63.29+63.29</f>
        <v>147</v>
      </c>
    </row>
    <row r="22" spans="2:12">
      <c r="B22" s="3447" t="s">
        <v>3399</v>
      </c>
      <c r="C22" s="3446">
        <v>2850.64</v>
      </c>
      <c r="D22" s="3446">
        <f t="shared" si="0"/>
        <v>2830.22</v>
      </c>
      <c r="G22" s="3446">
        <f>5.79+8.84+5.79</f>
        <v>20.419999999999998</v>
      </c>
    </row>
    <row r="23" spans="2:12">
      <c r="B23" s="3446" t="s">
        <v>3400</v>
      </c>
      <c r="C23" s="3446">
        <v>2977.22</v>
      </c>
      <c r="D23" s="3446">
        <f t="shared" si="0"/>
        <v>2830.22</v>
      </c>
      <c r="G23" s="3446">
        <v>147</v>
      </c>
    </row>
    <row r="24" spans="2:12">
      <c r="B24" s="3447" t="s">
        <v>3401</v>
      </c>
      <c r="C24" s="3446">
        <v>2891.53</v>
      </c>
      <c r="D24" s="3446">
        <f t="shared" si="0"/>
        <v>2870.82</v>
      </c>
      <c r="G24" s="3446">
        <f>5.87+8.97+5.87</f>
        <v>20.71</v>
      </c>
    </row>
    <row r="25" spans="2:12">
      <c r="B25" s="3446" t="s">
        <v>3402</v>
      </c>
      <c r="C25" s="3446">
        <v>3019.93</v>
      </c>
      <c r="D25" s="3446">
        <f t="shared" si="0"/>
        <v>2870.8199999999997</v>
      </c>
      <c r="G25" s="3446">
        <f>5.87+8.97+5.87+64.2+64.2</f>
        <v>149.11000000000001</v>
      </c>
    </row>
    <row r="26" spans="2:12">
      <c r="B26" s="3447" t="s">
        <v>3403</v>
      </c>
      <c r="C26" s="3446">
        <v>3010.41</v>
      </c>
      <c r="D26" s="3446">
        <f t="shared" si="0"/>
        <v>2989.7</v>
      </c>
      <c r="G26" s="3446">
        <f>G24</f>
        <v>20.71</v>
      </c>
    </row>
    <row r="27" spans="2:12">
      <c r="B27" s="3446" t="s">
        <v>3404</v>
      </c>
      <c r="C27" s="3446">
        <v>3138.81</v>
      </c>
      <c r="D27" s="3446">
        <f t="shared" si="0"/>
        <v>2989.7</v>
      </c>
      <c r="G27" s="3446">
        <f>G25</f>
        <v>149.11000000000001</v>
      </c>
    </row>
    <row r="28" spans="2:12">
      <c r="B28" s="3447" t="s">
        <v>3405</v>
      </c>
      <c r="C28" s="3446">
        <v>3010.41</v>
      </c>
      <c r="D28" s="3446">
        <f t="shared" si="0"/>
        <v>2989.7</v>
      </c>
      <c r="G28" s="3446">
        <f>G24</f>
        <v>20.71</v>
      </c>
    </row>
    <row r="29" spans="2:12">
      <c r="B29" s="3446" t="s">
        <v>3406</v>
      </c>
      <c r="C29" s="3446">
        <v>3010.41</v>
      </c>
      <c r="D29" s="3446">
        <f t="shared" si="0"/>
        <v>2989.7</v>
      </c>
      <c r="G29" s="3446">
        <f>G24</f>
        <v>20.71</v>
      </c>
    </row>
    <row r="30" spans="2:12">
      <c r="B30" s="3447" t="s">
        <v>3407</v>
      </c>
      <c r="C30" s="3446">
        <v>3138.81</v>
      </c>
      <c r="D30" s="3446">
        <f t="shared" si="0"/>
        <v>2989.7</v>
      </c>
      <c r="G30" s="3446">
        <f>G25</f>
        <v>149.11000000000001</v>
      </c>
    </row>
    <row r="31" spans="2:12">
      <c r="B31" s="3446" t="s">
        <v>3408</v>
      </c>
      <c r="C31" s="3446">
        <v>3001.53</v>
      </c>
      <c r="D31" s="3446">
        <f t="shared" si="0"/>
        <v>2978.76</v>
      </c>
      <c r="G31" s="3446">
        <f>8.58+8.61+5.58</f>
        <v>22.769999999999996</v>
      </c>
    </row>
    <row r="32" spans="2:12">
      <c r="B32" s="3447" t="s">
        <v>3409</v>
      </c>
      <c r="C32" s="3446">
        <v>2627.92</v>
      </c>
      <c r="D32" s="3446">
        <f t="shared" si="0"/>
        <v>2479.75</v>
      </c>
      <c r="G32" s="3446">
        <f>5.58+64.2+8.61+5.58+64.2</f>
        <v>148.17000000000002</v>
      </c>
    </row>
    <row r="33" spans="2:12">
      <c r="B33" s="3446" t="s">
        <v>3410</v>
      </c>
      <c r="C33" s="3446">
        <v>2499.52</v>
      </c>
      <c r="D33" s="3446">
        <f t="shared" si="0"/>
        <v>2479.75</v>
      </c>
      <c r="G33" s="3446">
        <f>5.58+8.61+5.58</f>
        <v>19.77</v>
      </c>
    </row>
    <row r="34" spans="2:12">
      <c r="B34" s="3447" t="s">
        <v>3411</v>
      </c>
      <c r="C34" s="3446">
        <v>1660.02</v>
      </c>
      <c r="D34" s="3446">
        <f t="shared" si="0"/>
        <v>0</v>
      </c>
      <c r="L34" s="3446">
        <v>1660.02</v>
      </c>
    </row>
    <row r="35" spans="2:12">
      <c r="B35" s="3446" t="s">
        <v>3412</v>
      </c>
      <c r="C35" s="3446">
        <v>1802.23</v>
      </c>
      <c r="D35" s="3446">
        <f t="shared" si="0"/>
        <v>1791.43</v>
      </c>
      <c r="G35" s="3446">
        <f>5.4+5.4</f>
        <v>10.8</v>
      </c>
    </row>
    <row r="36" spans="2:12">
      <c r="B36" s="3447" t="s">
        <v>3413</v>
      </c>
      <c r="C36" s="3446">
        <v>3050.47</v>
      </c>
      <c r="D36" s="3446">
        <f t="shared" si="0"/>
        <v>2903.04</v>
      </c>
      <c r="G36" s="3446">
        <f>5.26+8.19+5.26+64.36+64.36</f>
        <v>147.43</v>
      </c>
    </row>
    <row r="37" spans="2:12">
      <c r="B37" s="3446" t="s">
        <v>3414</v>
      </c>
      <c r="C37" s="3446">
        <v>2921.55</v>
      </c>
      <c r="D37" s="3446">
        <f t="shared" si="0"/>
        <v>2903.04</v>
      </c>
      <c r="G37" s="3446">
        <f>5.26+7.99+5.26</f>
        <v>18.509999999999998</v>
      </c>
    </row>
    <row r="38" spans="2:12">
      <c r="B38" s="3447" t="s">
        <v>3415</v>
      </c>
      <c r="C38" s="3446">
        <v>3190.35</v>
      </c>
      <c r="D38" s="3446">
        <f t="shared" si="0"/>
        <v>3043.12</v>
      </c>
      <c r="G38" s="3446">
        <f>5.26+7.99+5.26+64.36+64.36</f>
        <v>147.23000000000002</v>
      </c>
    </row>
    <row r="39" spans="2:12">
      <c r="B39" s="3446" t="s">
        <v>3416</v>
      </c>
      <c r="C39" s="3446">
        <v>2997.73</v>
      </c>
      <c r="D39" s="3446">
        <f t="shared" si="0"/>
        <v>2970.15</v>
      </c>
      <c r="G39" s="3446">
        <f>5.26+5.26+17.06</f>
        <v>27.58</v>
      </c>
    </row>
    <row r="40" spans="2:12">
      <c r="B40" s="3447" t="s">
        <v>3417</v>
      </c>
      <c r="C40" s="3446">
        <v>2997.73</v>
      </c>
      <c r="D40" s="3446">
        <f t="shared" si="0"/>
        <v>2970.15</v>
      </c>
      <c r="G40" s="3446">
        <f>5.26+5.26+17.06</f>
        <v>27.58</v>
      </c>
    </row>
    <row r="41" spans="2:12">
      <c r="B41" s="3446" t="s">
        <v>3418</v>
      </c>
      <c r="C41" s="3446">
        <v>3126.45</v>
      </c>
      <c r="D41" s="3446">
        <f t="shared" si="0"/>
        <v>2970.1499999999996</v>
      </c>
      <c r="G41" s="3446">
        <f>5.26+5.26+17.06+64.36+64.36</f>
        <v>156.30000000000001</v>
      </c>
    </row>
    <row r="42" spans="2:12">
      <c r="B42" s="3447" t="s">
        <v>3419</v>
      </c>
      <c r="C42" s="3446">
        <v>3017.96</v>
      </c>
      <c r="D42" s="3446">
        <f t="shared" si="0"/>
        <v>2991.26</v>
      </c>
      <c r="G42" s="3446">
        <f>4.97+4.97+16.76</f>
        <v>26.700000000000003</v>
      </c>
    </row>
    <row r="43" spans="2:12">
      <c r="B43" s="3446" t="s">
        <v>3420</v>
      </c>
      <c r="C43" s="3446">
        <v>3146.68</v>
      </c>
      <c r="D43" s="3446">
        <f t="shared" si="0"/>
        <v>2991.2599999999998</v>
      </c>
      <c r="G43" s="3446">
        <f>4.97+4.97+16.76+64.36+64.36</f>
        <v>155.42000000000002</v>
      </c>
    </row>
    <row r="44" spans="2:12">
      <c r="B44" s="3447" t="s">
        <v>3421</v>
      </c>
      <c r="C44" s="3446">
        <v>3017.96</v>
      </c>
      <c r="D44" s="3446">
        <f t="shared" si="0"/>
        <v>2991.26</v>
      </c>
      <c r="G44" s="3446">
        <f>4.97+4.97+16.76</f>
        <v>26.700000000000003</v>
      </c>
    </row>
    <row r="45" spans="2:12">
      <c r="B45" s="3446" t="s">
        <v>3422</v>
      </c>
      <c r="C45" s="3446">
        <v>3146.68</v>
      </c>
      <c r="D45" s="3446">
        <f t="shared" si="0"/>
        <v>2991.2599999999998</v>
      </c>
      <c r="G45" s="3446">
        <f>4.97+4.97+16.76+64.36+64.36</f>
        <v>155.42000000000002</v>
      </c>
    </row>
    <row r="46" spans="2:12">
      <c r="B46" s="3447" t="s">
        <v>3423</v>
      </c>
      <c r="C46" s="3446">
        <v>3017.96</v>
      </c>
      <c r="D46" s="3446">
        <f t="shared" si="0"/>
        <v>2991.26</v>
      </c>
      <c r="G46" s="3446">
        <f>4.97+4.97+16.76</f>
        <v>26.700000000000003</v>
      </c>
    </row>
    <row r="47" spans="2:12">
      <c r="B47" s="3446" t="s">
        <v>3424</v>
      </c>
      <c r="C47" s="3446">
        <v>1437.25</v>
      </c>
      <c r="D47" s="3446">
        <f t="shared" si="0"/>
        <v>0</v>
      </c>
      <c r="L47" s="3446">
        <v>1437.25</v>
      </c>
    </row>
    <row r="48" spans="2:12">
      <c r="B48" s="3447" t="s">
        <v>3425</v>
      </c>
      <c r="C48" s="3446">
        <v>3102.36</v>
      </c>
      <c r="D48" s="3446">
        <f t="shared" si="0"/>
        <v>3012.15</v>
      </c>
      <c r="G48" s="3446">
        <f>4.68+4.68+16.49+64.36</f>
        <v>90.21</v>
      </c>
    </row>
    <row r="49" spans="2:12">
      <c r="B49" s="3446" t="s">
        <v>3426</v>
      </c>
      <c r="C49" s="3446">
        <v>3072.87</v>
      </c>
      <c r="D49" s="3446">
        <f t="shared" si="0"/>
        <v>3046.73</v>
      </c>
      <c r="G49" s="3446">
        <f>4.73+4.73+16.68</f>
        <v>26.14</v>
      </c>
    </row>
    <row r="50" spans="2:12">
      <c r="B50" s="3447" t="s">
        <v>3427</v>
      </c>
      <c r="C50" s="3446">
        <v>3136.52</v>
      </c>
      <c r="D50" s="3446">
        <f t="shared" si="0"/>
        <v>2980.18</v>
      </c>
      <c r="G50" s="3446">
        <f>4.73+4.73+16.68+65.1+65.1</f>
        <v>156.33999999999997</v>
      </c>
    </row>
    <row r="51" spans="2:12">
      <c r="B51" s="3446" t="s">
        <v>3428</v>
      </c>
      <c r="C51" s="3446">
        <v>3188.35</v>
      </c>
      <c r="D51" s="3446">
        <f t="shared" si="0"/>
        <v>3162.21</v>
      </c>
      <c r="G51" s="3446">
        <f>4.73+4.73+16.68</f>
        <v>26.14</v>
      </c>
    </row>
    <row r="52" spans="2:12">
      <c r="B52" s="3447" t="s">
        <v>3429</v>
      </c>
      <c r="C52" s="3446">
        <v>3318.55</v>
      </c>
      <c r="D52" s="3446">
        <f t="shared" si="0"/>
        <v>3162.21</v>
      </c>
      <c r="G52" s="3446">
        <f>4.73+4.73+16.68+65.1+65.1</f>
        <v>156.33999999999997</v>
      </c>
    </row>
    <row r="53" spans="2:12">
      <c r="B53" s="3446" t="s">
        <v>3430</v>
      </c>
      <c r="C53" s="3446">
        <v>3188.35</v>
      </c>
      <c r="D53" s="3446">
        <f t="shared" si="0"/>
        <v>3162.21</v>
      </c>
      <c r="G53" s="3446">
        <f>4.73+4.73+16.68</f>
        <v>26.14</v>
      </c>
    </row>
    <row r="54" spans="2:12">
      <c r="B54" s="3447" t="s">
        <v>3431</v>
      </c>
      <c r="C54" s="3446">
        <v>3318.55</v>
      </c>
      <c r="D54" s="3446">
        <f t="shared" si="0"/>
        <v>3162.21</v>
      </c>
      <c r="G54" s="3446">
        <f>4.73+4.73+16.68+65.1+65.1</f>
        <v>156.33999999999997</v>
      </c>
    </row>
    <row r="55" spans="2:12">
      <c r="B55" s="3446" t="s">
        <v>3432</v>
      </c>
      <c r="C55" s="3446">
        <v>3188.35</v>
      </c>
      <c r="D55" s="3446">
        <f t="shared" si="0"/>
        <v>3162.21</v>
      </c>
      <c r="G55" s="3446">
        <f>4.73+4.73+16.68</f>
        <v>26.14</v>
      </c>
    </row>
    <row r="56" spans="2:12">
      <c r="B56" s="3447" t="s">
        <v>3433</v>
      </c>
      <c r="C56" s="3446">
        <v>3188.35</v>
      </c>
      <c r="D56" s="3446">
        <f t="shared" si="0"/>
        <v>3159.21</v>
      </c>
      <c r="G56" s="3446">
        <f>4.73+7.73+16.68</f>
        <v>29.14</v>
      </c>
    </row>
    <row r="57" spans="2:12">
      <c r="B57" s="3446" t="s">
        <v>3434</v>
      </c>
      <c r="C57" s="3446">
        <v>3318.55</v>
      </c>
      <c r="D57" s="3446">
        <f t="shared" si="0"/>
        <v>3162.21</v>
      </c>
      <c r="G57" s="3446">
        <f>4.73+4.73+16.68+65.1+65.1</f>
        <v>156.33999999999997</v>
      </c>
    </row>
    <row r="58" spans="2:12">
      <c r="B58" s="3447" t="s">
        <v>3435</v>
      </c>
      <c r="C58" s="3446">
        <v>3158.56</v>
      </c>
      <c r="D58" s="3446">
        <f t="shared" si="0"/>
        <v>3132.42</v>
      </c>
      <c r="G58" s="3446">
        <f>4.73+4.73+16.68</f>
        <v>26.14</v>
      </c>
    </row>
    <row r="59" spans="2:12">
      <c r="B59" s="3446" t="s">
        <v>3436</v>
      </c>
      <c r="C59" s="3446">
        <v>2765.86</v>
      </c>
      <c r="D59" s="3446">
        <f t="shared" si="0"/>
        <v>2609.52</v>
      </c>
      <c r="G59" s="3446">
        <f>4.73+65.1+4.73+65.1+16.68</f>
        <v>156.34</v>
      </c>
    </row>
    <row r="60" spans="2:12">
      <c r="B60" s="3447" t="s">
        <v>3437</v>
      </c>
      <c r="C60" s="3446">
        <v>2635.66</v>
      </c>
      <c r="D60" s="3446">
        <f t="shared" si="0"/>
        <v>2609.52</v>
      </c>
      <c r="G60" s="3446">
        <f>4.73+4.73+16.68</f>
        <v>26.14</v>
      </c>
    </row>
    <row r="61" spans="2:12">
      <c r="B61" s="3446" t="s">
        <v>3438</v>
      </c>
      <c r="C61" s="3446">
        <v>1495.44</v>
      </c>
      <c r="D61" s="3446">
        <f t="shared" si="0"/>
        <v>0</v>
      </c>
      <c r="L61" s="3446">
        <v>1495.44</v>
      </c>
    </row>
    <row r="62" spans="2:12">
      <c r="B62" s="3447" t="s">
        <v>3439</v>
      </c>
      <c r="C62" s="3446">
        <v>1961.18</v>
      </c>
      <c r="D62" s="3446">
        <f t="shared" si="0"/>
        <v>1937.98</v>
      </c>
      <c r="G62" s="3446">
        <f>4.54+4.54+14.12</f>
        <v>23.2</v>
      </c>
    </row>
    <row r="63" spans="2:12">
      <c r="B63" s="3446" t="s">
        <v>3440</v>
      </c>
      <c r="C63" s="3446">
        <v>3198.59</v>
      </c>
      <c r="D63" s="3446">
        <f t="shared" si="0"/>
        <v>3000.4500000000003</v>
      </c>
      <c r="G63" s="3446">
        <f>4.34+4.34+3.74+15.79+13.93+13.93+13.93+64.07+64.07</f>
        <v>198.14</v>
      </c>
    </row>
    <row r="64" spans="2:12">
      <c r="B64" s="3447" t="s">
        <v>3441</v>
      </c>
      <c r="C64" s="3446">
        <v>3005.38</v>
      </c>
      <c r="D64" s="3446">
        <f t="shared" si="0"/>
        <v>2935.38</v>
      </c>
      <c r="G64" s="3446">
        <f>4.34+4.34+3.74+15.79+13.93+13.93+13.93</f>
        <v>70</v>
      </c>
    </row>
    <row r="65" spans="2:12">
      <c r="B65" s="3446" t="s">
        <v>3442</v>
      </c>
      <c r="C65" s="3446">
        <v>3300.08</v>
      </c>
      <c r="D65" s="3446">
        <f t="shared" si="0"/>
        <v>3101.94</v>
      </c>
      <c r="G65" s="3446">
        <f>G63</f>
        <v>198.14</v>
      </c>
    </row>
    <row r="66" spans="2:12">
      <c r="B66" s="3447" t="s">
        <v>3443</v>
      </c>
      <c r="C66" s="3446">
        <v>3171.94</v>
      </c>
      <c r="D66" s="3446">
        <f t="shared" si="0"/>
        <v>3101.94</v>
      </c>
      <c r="G66" s="3446">
        <f>G64</f>
        <v>70</v>
      </c>
    </row>
    <row r="67" spans="2:12">
      <c r="B67" s="3446" t="s">
        <v>3444</v>
      </c>
      <c r="C67" s="3446">
        <v>3171.94</v>
      </c>
      <c r="D67" s="3446">
        <f t="shared" si="0"/>
        <v>3101.94</v>
      </c>
      <c r="G67" s="3446">
        <f>G64</f>
        <v>70</v>
      </c>
    </row>
    <row r="68" spans="2:12">
      <c r="B68" s="3447" t="s">
        <v>3445</v>
      </c>
      <c r="C68" s="3446">
        <v>3319.14</v>
      </c>
      <c r="D68" s="3446">
        <f t="shared" si="0"/>
        <v>3121.96</v>
      </c>
      <c r="G68" s="3446">
        <f>4.05+4.05+3.63+15.52+13.93+13.93+13.93+64.07+64.07</f>
        <v>197.17999999999998</v>
      </c>
    </row>
    <row r="69" spans="2:12">
      <c r="B69" s="3446" t="s">
        <v>3446</v>
      </c>
      <c r="C69" s="3446">
        <v>3191</v>
      </c>
      <c r="D69" s="3446">
        <f t="shared" si="0"/>
        <v>3121.96</v>
      </c>
      <c r="G69" s="3446">
        <f>4.05+4.05+3.63+15.52+13.93+13.93+13.93</f>
        <v>69.039999999999992</v>
      </c>
    </row>
    <row r="70" spans="2:12">
      <c r="B70" s="3447" t="s">
        <v>3447</v>
      </c>
      <c r="C70" s="3446">
        <v>3319.14</v>
      </c>
      <c r="D70" s="3446">
        <f t="shared" si="0"/>
        <v>3121.96</v>
      </c>
      <c r="G70" s="3446">
        <f>G68</f>
        <v>197.17999999999998</v>
      </c>
    </row>
    <row r="71" spans="2:12">
      <c r="B71" s="3446" t="s">
        <v>3448</v>
      </c>
      <c r="C71" s="3446">
        <v>3191</v>
      </c>
      <c r="D71" s="3446">
        <f t="shared" si="0"/>
        <v>3121.96</v>
      </c>
      <c r="G71" s="3446">
        <f>G69</f>
        <v>69.039999999999992</v>
      </c>
    </row>
    <row r="72" spans="2:12">
      <c r="B72" s="3447" t="s">
        <v>3449</v>
      </c>
      <c r="C72" s="3446">
        <v>3374.91</v>
      </c>
      <c r="D72" s="3446">
        <f t="shared" si="0"/>
        <v>3174.42</v>
      </c>
      <c r="G72" s="3446">
        <f>4.12+4.12+3.69+15.78+14.16+14.16+14.16+65.15+65.15</f>
        <v>200.49</v>
      </c>
    </row>
    <row r="73" spans="2:12">
      <c r="B73" s="3446" t="s">
        <v>3450</v>
      </c>
      <c r="C73" s="3446">
        <v>3246.71</v>
      </c>
      <c r="D73" s="3446">
        <f t="shared" si="0"/>
        <v>3204.84</v>
      </c>
      <c r="G73" s="3446">
        <f>4.12+4.12+3.69+15.78+14.16</f>
        <v>41.870000000000005</v>
      </c>
    </row>
    <row r="74" spans="2:12">
      <c r="B74" s="3447" t="s">
        <v>3451</v>
      </c>
      <c r="C74" s="3446">
        <v>1554.27</v>
      </c>
      <c r="D74" s="3446">
        <f t="shared" si="0"/>
        <v>0</v>
      </c>
      <c r="L74" s="3446">
        <v>1554.27</v>
      </c>
    </row>
    <row r="75" spans="2:12">
      <c r="B75" s="3446" t="s">
        <v>3452</v>
      </c>
      <c r="C75" s="3446">
        <v>3474.7</v>
      </c>
      <c r="D75" s="3446">
        <f t="shared" si="0"/>
        <v>3302.33</v>
      </c>
      <c r="G75" s="3446">
        <f>5.38+15.49+4.12+4.12+14.16+64.55+64.55</f>
        <v>172.37</v>
      </c>
    </row>
    <row r="76" spans="2:12">
      <c r="B76" s="3447" t="s">
        <v>3453</v>
      </c>
      <c r="C76" s="3446">
        <v>3343.73</v>
      </c>
      <c r="D76" s="3446">
        <f t="shared" si="0"/>
        <v>3302.33</v>
      </c>
      <c r="G76" s="3446">
        <f>3.51+15.49+4.12+4.12+14.16</f>
        <v>41.400000000000006</v>
      </c>
    </row>
    <row r="77" spans="2:12">
      <c r="B77" s="3446" t="s">
        <v>3454</v>
      </c>
      <c r="C77" s="3446">
        <v>3472.83</v>
      </c>
      <c r="D77" s="3446">
        <f t="shared" si="0"/>
        <v>3302.33</v>
      </c>
      <c r="G77" s="3446">
        <f>3.51+15.49+4.12+4.12+14.16+64.55+64.55</f>
        <v>170.5</v>
      </c>
    </row>
    <row r="78" spans="2:12">
      <c r="B78" s="3447" t="s">
        <v>3455</v>
      </c>
      <c r="C78" s="3446">
        <v>3343.73</v>
      </c>
      <c r="D78" s="3446">
        <f t="shared" si="0"/>
        <v>3302.33</v>
      </c>
      <c r="G78" s="3446">
        <f>3.51+15.49+4.12+4.12+14.16</f>
        <v>41.400000000000006</v>
      </c>
    </row>
    <row r="79" spans="2:12">
      <c r="B79" s="3446" t="s">
        <v>3456</v>
      </c>
      <c r="C79" s="3446">
        <v>3472.83</v>
      </c>
      <c r="D79" s="3446">
        <f t="shared" ref="D79:D84" si="1">C79-SUM(E79:L79)</f>
        <v>3302.33</v>
      </c>
      <c r="G79" s="3446">
        <f>3.51+15.49+4.12+4.12+14.16+64.55+64.55</f>
        <v>170.5</v>
      </c>
    </row>
    <row r="80" spans="2:12">
      <c r="B80" s="3447" t="s">
        <v>3457</v>
      </c>
      <c r="C80" s="3446">
        <v>3346.65</v>
      </c>
      <c r="D80" s="3446">
        <f t="shared" si="1"/>
        <v>3304.75</v>
      </c>
      <c r="G80" s="3446">
        <f>3.51+15.72+4.12+4.12+14.43</f>
        <v>41.900000000000006</v>
      </c>
    </row>
    <row r="81" spans="2:12">
      <c r="B81" s="3446" t="s">
        <v>3458</v>
      </c>
      <c r="C81" s="3446">
        <v>4338.59</v>
      </c>
      <c r="D81" s="3446">
        <f t="shared" si="1"/>
        <v>4338.59</v>
      </c>
    </row>
    <row r="82" spans="2:12">
      <c r="B82" s="3447" t="s">
        <v>3459</v>
      </c>
      <c r="C82" s="3446">
        <v>918.62</v>
      </c>
      <c r="D82" s="3446">
        <f t="shared" si="1"/>
        <v>0</v>
      </c>
      <c r="G82" s="3446">
        <v>918.62</v>
      </c>
    </row>
    <row r="83" spans="2:12">
      <c r="B83" s="3446" t="s">
        <v>3460</v>
      </c>
      <c r="C83" s="3446">
        <v>3455.35</v>
      </c>
      <c r="D83" s="3446">
        <f t="shared" si="1"/>
        <v>3300.42</v>
      </c>
      <c r="G83" s="3446">
        <f>3.53+64.33+4.13+14.48+64.33+4.13</f>
        <v>154.93</v>
      </c>
    </row>
    <row r="84" spans="2:12">
      <c r="B84" s="3447" t="s">
        <v>3461</v>
      </c>
      <c r="C84" s="3446">
        <v>3498.89</v>
      </c>
      <c r="D84" s="3446">
        <f t="shared" si="1"/>
        <v>3299.83</v>
      </c>
      <c r="G84" s="3446">
        <f>3.53+64.33+4.13+14.48+64.33+4.13+44.13</f>
        <v>199.06</v>
      </c>
    </row>
    <row r="85" spans="2:12">
      <c r="C85" s="3446">
        <f>SUM(C7:C84)</f>
        <v>282075.71999999997</v>
      </c>
      <c r="D85" s="3446">
        <f t="shared" ref="D85:L85" si="2">SUM(D7:D84)</f>
        <v>200418.11999999991</v>
      </c>
      <c r="E85" s="3446">
        <f t="shared" si="2"/>
        <v>11359.55</v>
      </c>
      <c r="F85" s="3446">
        <f t="shared" si="2"/>
        <v>47141.400000000009</v>
      </c>
      <c r="G85" s="3446">
        <f t="shared" si="2"/>
        <v>7011.7199999999993</v>
      </c>
      <c r="H85" s="3446">
        <f t="shared" si="2"/>
        <v>4064.82</v>
      </c>
      <c r="I85" s="3446">
        <f t="shared" si="2"/>
        <v>760.59</v>
      </c>
      <c r="J85" s="3446">
        <f t="shared" si="2"/>
        <v>3236.94</v>
      </c>
      <c r="K85" s="3446">
        <f t="shared" si="2"/>
        <v>369.87</v>
      </c>
      <c r="L85" s="3446">
        <f t="shared" si="2"/>
        <v>7712.7100000000009</v>
      </c>
    </row>
    <row r="86" spans="2:12">
      <c r="B86" s="3447"/>
    </row>
    <row r="88" spans="2:12">
      <c r="B88" s="3447"/>
      <c r="E88" s="3446" t="s">
        <v>3462</v>
      </c>
      <c r="F88" s="3446" t="s">
        <v>3801</v>
      </c>
      <c r="J88" s="3446" t="s">
        <v>3786</v>
      </c>
      <c r="K88" s="3446" t="s">
        <v>3787</v>
      </c>
      <c r="L88" s="3446" t="s">
        <v>3788</v>
      </c>
    </row>
    <row r="89" spans="2:12">
      <c r="C89" s="3449" t="s">
        <v>3463</v>
      </c>
      <c r="D89" s="3449">
        <f>D85</f>
        <v>200418.11999999991</v>
      </c>
      <c r="E89" s="3450">
        <f>SUM(E110:E112,E114:E118,E120,E122:E129,E131:E133,E135:E138,E141:E142,E144:E148,E152,E154:E155,E157:E161,E163,E165:E166,E168:E172,E174:E177,E179:E180,E182:E185,E187:E189,E192:E195,E197:E203,E206,E209:E210,E212:E214,E216:E217,E219:E223,E225:E232,E243,E257:E258,E260:E263,E268:E279,E285,E329,E334:E335,E337:E338,E347,E350:E352,E358:E359,E361,E363,E365:E366,E374:E376,E384,E388:E390,E396:E397,E399:E401)</f>
        <v>41610.500000000022</v>
      </c>
      <c r="F89" s="3450">
        <f>D89-E89</f>
        <v>158807.61999999988</v>
      </c>
      <c r="I89" s="3446" t="s">
        <v>3782</v>
      </c>
      <c r="J89" s="3446">
        <f>E10</f>
        <v>4630.4399999999996</v>
      </c>
      <c r="K89" s="3479">
        <f>SUM(E391:E395)</f>
        <v>1601.83</v>
      </c>
      <c r="L89" s="3479">
        <f>J89-K89</f>
        <v>3028.6099999999997</v>
      </c>
    </row>
    <row r="90" spans="2:12">
      <c r="B90" s="3447"/>
      <c r="C90" s="3449" t="s">
        <v>3464</v>
      </c>
      <c r="D90" s="3449">
        <f>SUM(E11:E13)</f>
        <v>6729.11</v>
      </c>
      <c r="E90" s="3479">
        <f>SUM(E245:E246,E377:E381)</f>
        <v>5097.3100000000004</v>
      </c>
      <c r="F90" s="3450">
        <f t="shared" ref="F90:F91" si="3">D90-E90</f>
        <v>1631.7999999999993</v>
      </c>
      <c r="I90" s="3446" t="s">
        <v>3783</v>
      </c>
      <c r="J90" s="3446">
        <f t="shared" ref="J90:J92" si="4">E11</f>
        <v>1398.5</v>
      </c>
      <c r="K90" s="3479">
        <f>SUM(E377:E380)</f>
        <v>689.35000000000014</v>
      </c>
      <c r="L90" s="3479">
        <f t="shared" ref="L90:L92" si="5">J90-K90</f>
        <v>709.14999999999986</v>
      </c>
    </row>
    <row r="91" spans="2:12">
      <c r="B91" s="3447"/>
      <c r="C91" s="3449" t="s">
        <v>3465</v>
      </c>
      <c r="D91" s="3449">
        <f>E10</f>
        <v>4630.4399999999996</v>
      </c>
      <c r="E91" s="3479">
        <f>SUM(E391:E395)</f>
        <v>1601.83</v>
      </c>
      <c r="F91" s="3450">
        <f t="shared" si="3"/>
        <v>3028.6099999999997</v>
      </c>
      <c r="I91" s="3446" t="s">
        <v>3784</v>
      </c>
      <c r="J91" s="3446">
        <f t="shared" si="4"/>
        <v>2169.2199999999998</v>
      </c>
      <c r="K91" s="3479">
        <f>E381</f>
        <v>1246.57</v>
      </c>
      <c r="L91" s="3479">
        <f t="shared" si="5"/>
        <v>922.64999999999986</v>
      </c>
    </row>
    <row r="92" spans="2:12">
      <c r="C92" s="3449" t="s">
        <v>3466</v>
      </c>
      <c r="D92" s="3449">
        <f>SUM(F7:F10)</f>
        <v>47141.400000000009</v>
      </c>
      <c r="E92" s="3446">
        <f>SUM(E278:E287)</f>
        <v>1106.8800000000001</v>
      </c>
      <c r="F92" s="3446">
        <f>D92-E92</f>
        <v>46034.520000000011</v>
      </c>
      <c r="I92" s="3446" t="s">
        <v>3785</v>
      </c>
      <c r="J92" s="3446">
        <f t="shared" si="4"/>
        <v>3161.39</v>
      </c>
      <c r="K92" s="3479">
        <f>E245+E246</f>
        <v>3161.39</v>
      </c>
      <c r="L92" s="3479">
        <f t="shared" si="5"/>
        <v>0</v>
      </c>
    </row>
    <row r="93" spans="2:12">
      <c r="B93" s="3447"/>
      <c r="C93" s="3451" t="s">
        <v>3467</v>
      </c>
      <c r="D93" s="3451">
        <f>SUM(I7:I10)</f>
        <v>760.59</v>
      </c>
    </row>
    <row r="94" spans="2:12">
      <c r="C94" s="3449" t="s">
        <v>3468</v>
      </c>
      <c r="D94" s="3449">
        <f>G85</f>
        <v>7011.7199999999993</v>
      </c>
      <c r="E94" s="3479">
        <f>SUM(E113,E119,E121,E130,E134,E139:E140,E143,E149:E151,E153,E156,E162,E164,E167,E173,E178,E181,E186,E190:E191,E196,E204,E205,E207:E208,E211,E215,E218,E224,E233:E242,E244,E259,E264,E265:E267,E280:E284,E330,E333,E336,E353,E357,E362,E364,E373,E385,E398)</f>
        <v>1525.5499999999993</v>
      </c>
      <c r="F94" s="3446">
        <f>D94-E94</f>
        <v>5486.17</v>
      </c>
    </row>
    <row r="95" spans="2:12">
      <c r="B95" s="3447"/>
      <c r="C95" s="3449" t="s">
        <v>3469</v>
      </c>
      <c r="D95" s="3449">
        <f>J85</f>
        <v>3236.94</v>
      </c>
      <c r="E95" s="3479">
        <f>E386+E387</f>
        <v>222.6</v>
      </c>
      <c r="F95" s="3446">
        <f>D95-E95</f>
        <v>3014.34</v>
      </c>
    </row>
    <row r="96" spans="2:12">
      <c r="C96" s="3451" t="s">
        <v>3470</v>
      </c>
      <c r="D96" s="3451">
        <f>K85+L85</f>
        <v>8082.5800000000008</v>
      </c>
    </row>
    <row r="97" spans="2:8">
      <c r="B97" s="3447"/>
      <c r="C97" s="3452" t="s">
        <v>3471</v>
      </c>
      <c r="D97" s="3452">
        <f>H85</f>
        <v>4064.82</v>
      </c>
    </row>
    <row r="98" spans="2:8">
      <c r="C98" s="3446" t="s">
        <v>3472</v>
      </c>
      <c r="D98" s="3446">
        <f>SUM(D89:D97)</f>
        <v>282075.71999999991</v>
      </c>
      <c r="H98" s="3446">
        <v>289978.21000000002</v>
      </c>
    </row>
    <row r="99" spans="2:8">
      <c r="B99" s="3447"/>
      <c r="H99" s="3446">
        <f>H98-D98</f>
        <v>7902.4900000001071</v>
      </c>
    </row>
    <row r="100" spans="2:8">
      <c r="C100" s="3446" t="s">
        <v>3473</v>
      </c>
      <c r="D100" s="3446">
        <v>282075.71999999997</v>
      </c>
    </row>
    <row r="101" spans="2:8">
      <c r="B101" s="3447"/>
      <c r="C101" s="3451" t="s">
        <v>3474</v>
      </c>
      <c r="D101" s="3451">
        <v>8843.17</v>
      </c>
    </row>
    <row r="102" spans="2:8">
      <c r="C102" s="3452" t="s">
        <v>3475</v>
      </c>
      <c r="D102" s="3452">
        <v>4064.82</v>
      </c>
      <c r="G102" s="3446">
        <f>D100-D101-D102</f>
        <v>269167.73</v>
      </c>
    </row>
    <row r="103" spans="2:8">
      <c r="G103" s="3446">
        <v>264637</v>
      </c>
    </row>
    <row r="108" spans="2:8">
      <c r="B108" s="3583" t="s">
        <v>3480</v>
      </c>
      <c r="C108" s="3583" t="s">
        <v>3481</v>
      </c>
      <c r="D108" s="3583" t="s">
        <v>3482</v>
      </c>
      <c r="E108" s="3585" t="s">
        <v>3483</v>
      </c>
      <c r="F108" s="3581" t="s">
        <v>3484</v>
      </c>
      <c r="G108" s="3581" t="s">
        <v>3781</v>
      </c>
    </row>
    <row r="109" spans="2:8">
      <c r="B109" s="3584"/>
      <c r="C109" s="3584"/>
      <c r="D109" s="3584"/>
      <c r="E109" s="3586"/>
      <c r="F109" s="3582"/>
      <c r="G109" s="3582"/>
    </row>
    <row r="110" spans="2:8" s="3460" customFormat="1">
      <c r="B110" s="3457">
        <v>1</v>
      </c>
      <c r="C110" s="3458" t="s">
        <v>3485</v>
      </c>
      <c r="D110" s="3458" t="s">
        <v>21</v>
      </c>
      <c r="E110" s="3459">
        <v>319.54000000000002</v>
      </c>
      <c r="F110" s="3457">
        <v>6409845</v>
      </c>
      <c r="G110" s="3457">
        <f>F110/E110</f>
        <v>20059.60130187144</v>
      </c>
    </row>
    <row r="111" spans="2:8" s="3460" customFormat="1">
      <c r="B111" s="3457">
        <v>2</v>
      </c>
      <c r="C111" s="3458" t="s">
        <v>3486</v>
      </c>
      <c r="D111" s="3458" t="s">
        <v>21</v>
      </c>
      <c r="E111" s="3459">
        <v>190.78</v>
      </c>
      <c r="F111" s="3457">
        <v>3764204</v>
      </c>
      <c r="G111" s="3457">
        <f t="shared" ref="G111:G174" si="6">F111/E111</f>
        <v>19730.600691896427</v>
      </c>
    </row>
    <row r="112" spans="2:8" s="3460" customFormat="1">
      <c r="B112" s="3457">
        <v>3</v>
      </c>
      <c r="C112" s="3458" t="s">
        <v>3487</v>
      </c>
      <c r="D112" s="3458" t="s">
        <v>21</v>
      </c>
      <c r="E112" s="3459">
        <v>190.78</v>
      </c>
      <c r="F112" s="3457">
        <v>3839924</v>
      </c>
      <c r="G112" s="3457">
        <f t="shared" si="6"/>
        <v>20127.497641262187</v>
      </c>
    </row>
    <row r="113" spans="2:7" s="3470" customFormat="1">
      <c r="B113" s="3467">
        <v>4</v>
      </c>
      <c r="C113" s="3468" t="s">
        <v>3488</v>
      </c>
      <c r="D113" s="3468" t="s">
        <v>3489</v>
      </c>
      <c r="E113" s="3469">
        <v>9.1999999999999993</v>
      </c>
      <c r="F113" s="3467">
        <v>93970</v>
      </c>
      <c r="G113" s="3467">
        <f t="shared" si="6"/>
        <v>10214.13043478261</v>
      </c>
    </row>
    <row r="114" spans="2:7" s="3460" customFormat="1">
      <c r="B114" s="3457">
        <v>5</v>
      </c>
      <c r="C114" s="3458" t="s">
        <v>3490</v>
      </c>
      <c r="D114" s="3458" t="s">
        <v>21</v>
      </c>
      <c r="E114" s="3459">
        <v>190.78</v>
      </c>
      <c r="F114" s="3457">
        <v>3562817</v>
      </c>
      <c r="G114" s="3457">
        <f t="shared" si="6"/>
        <v>18675.002620819792</v>
      </c>
    </row>
    <row r="115" spans="2:7" s="3460" customFormat="1">
      <c r="B115" s="3457">
        <v>6</v>
      </c>
      <c r="C115" s="3458" t="s">
        <v>3491</v>
      </c>
      <c r="D115" s="3458" t="s">
        <v>21</v>
      </c>
      <c r="E115" s="3459">
        <v>319.54000000000002</v>
      </c>
      <c r="F115" s="3457">
        <v>6546224</v>
      </c>
      <c r="G115" s="3457">
        <f t="shared" si="6"/>
        <v>20486.399198848343</v>
      </c>
    </row>
    <row r="116" spans="2:7" s="3460" customFormat="1">
      <c r="B116" s="3457">
        <v>7</v>
      </c>
      <c r="C116" s="3458" t="s">
        <v>3492</v>
      </c>
      <c r="D116" s="3458" t="s">
        <v>21</v>
      </c>
      <c r="E116" s="3461">
        <v>288.73</v>
      </c>
      <c r="F116" s="3462">
        <v>5732330</v>
      </c>
      <c r="G116" s="3457">
        <f t="shared" si="6"/>
        <v>19853.600249367919</v>
      </c>
    </row>
    <row r="117" spans="2:7" s="3460" customFormat="1">
      <c r="B117" s="3457">
        <v>8</v>
      </c>
      <c r="C117" s="3458" t="s">
        <v>3493</v>
      </c>
      <c r="D117" s="3458" t="s">
        <v>21</v>
      </c>
      <c r="E117" s="3459">
        <v>319.54000000000002</v>
      </c>
      <c r="F117" s="3457">
        <v>6423393</v>
      </c>
      <c r="G117" s="3457">
        <f t="shared" si="6"/>
        <v>20101.999749640105</v>
      </c>
    </row>
    <row r="118" spans="2:7" s="3460" customFormat="1">
      <c r="B118" s="3457">
        <v>9</v>
      </c>
      <c r="C118" s="3458" t="s">
        <v>3494</v>
      </c>
      <c r="D118" s="3458" t="s">
        <v>21</v>
      </c>
      <c r="E118" s="3459">
        <v>319.54000000000002</v>
      </c>
      <c r="F118" s="3457">
        <v>6417098</v>
      </c>
      <c r="G118" s="3457">
        <f t="shared" si="6"/>
        <v>20082.299555611189</v>
      </c>
    </row>
    <row r="119" spans="2:7" s="3470" customFormat="1">
      <c r="B119" s="3467">
        <v>10</v>
      </c>
      <c r="C119" s="3468" t="s">
        <v>3495</v>
      </c>
      <c r="D119" s="3468" t="s">
        <v>3489</v>
      </c>
      <c r="E119" s="3469">
        <v>6.08</v>
      </c>
      <c r="F119" s="3467">
        <v>62809</v>
      </c>
      <c r="G119" s="3467">
        <f t="shared" si="6"/>
        <v>10330.427631578947</v>
      </c>
    </row>
    <row r="120" spans="2:7" s="3460" customFormat="1">
      <c r="B120" s="3457">
        <v>11</v>
      </c>
      <c r="C120" s="3458" t="s">
        <v>3496</v>
      </c>
      <c r="D120" s="3458" t="s">
        <v>21</v>
      </c>
      <c r="E120" s="3459">
        <v>190.78</v>
      </c>
      <c r="F120" s="3457">
        <v>3844293</v>
      </c>
      <c r="G120" s="3457">
        <f t="shared" si="6"/>
        <v>20150.398364608449</v>
      </c>
    </row>
    <row r="121" spans="2:7" s="3470" customFormat="1">
      <c r="B121" s="3467">
        <v>12</v>
      </c>
      <c r="C121" s="3468" t="s">
        <v>3497</v>
      </c>
      <c r="D121" s="3468" t="s">
        <v>3489</v>
      </c>
      <c r="E121" s="3469">
        <v>9.1999999999999993</v>
      </c>
      <c r="F121" s="3467">
        <v>95041</v>
      </c>
      <c r="G121" s="3467">
        <f t="shared" si="6"/>
        <v>10330.54347826087</v>
      </c>
    </row>
    <row r="122" spans="2:7" s="3460" customFormat="1">
      <c r="B122" s="3457">
        <v>13</v>
      </c>
      <c r="C122" s="3458" t="s">
        <v>3498</v>
      </c>
      <c r="D122" s="3458" t="s">
        <v>21</v>
      </c>
      <c r="E122" s="3459">
        <v>319.54000000000002</v>
      </c>
      <c r="F122" s="3457">
        <v>6412976</v>
      </c>
      <c r="G122" s="3457">
        <f t="shared" si="6"/>
        <v>20069.3997621581</v>
      </c>
    </row>
    <row r="123" spans="2:7" s="3460" customFormat="1">
      <c r="B123" s="3457">
        <v>14</v>
      </c>
      <c r="C123" s="3458" t="s">
        <v>3499</v>
      </c>
      <c r="D123" s="3458" t="s">
        <v>21</v>
      </c>
      <c r="E123" s="3459">
        <v>319.54000000000002</v>
      </c>
      <c r="F123" s="3457">
        <v>6478035</v>
      </c>
      <c r="G123" s="3457">
        <f t="shared" si="6"/>
        <v>20273.001815109219</v>
      </c>
    </row>
    <row r="124" spans="2:7" s="3460" customFormat="1">
      <c r="B124" s="3457">
        <v>15</v>
      </c>
      <c r="C124" s="3458" t="s">
        <v>3500</v>
      </c>
      <c r="D124" s="3458" t="s">
        <v>21</v>
      </c>
      <c r="E124" s="3459">
        <v>288.73</v>
      </c>
      <c r="F124" s="3457">
        <v>5853424</v>
      </c>
      <c r="G124" s="3457">
        <f t="shared" si="6"/>
        <v>20273.002459044779</v>
      </c>
    </row>
    <row r="125" spans="2:7" s="3460" customFormat="1">
      <c r="B125" s="3457">
        <v>16</v>
      </c>
      <c r="C125" s="3458" t="s">
        <v>3501</v>
      </c>
      <c r="D125" s="3458" t="s">
        <v>21</v>
      </c>
      <c r="E125" s="3459">
        <v>190.78</v>
      </c>
      <c r="F125" s="3457">
        <v>3510000</v>
      </c>
      <c r="G125" s="3457">
        <f t="shared" si="6"/>
        <v>18398.154942866127</v>
      </c>
    </row>
    <row r="126" spans="2:7" s="3460" customFormat="1">
      <c r="B126" s="3457">
        <v>17</v>
      </c>
      <c r="C126" s="3458" t="s">
        <v>3502</v>
      </c>
      <c r="D126" s="3458" t="s">
        <v>21</v>
      </c>
      <c r="E126" s="3459">
        <v>319.54000000000002</v>
      </c>
      <c r="F126" s="3457">
        <v>5326866</v>
      </c>
      <c r="G126" s="3457">
        <f t="shared" si="6"/>
        <v>16670.419978719408</v>
      </c>
    </row>
    <row r="127" spans="2:7" s="3460" customFormat="1">
      <c r="B127" s="3457">
        <v>18</v>
      </c>
      <c r="C127" s="3458" t="s">
        <v>3503</v>
      </c>
      <c r="D127" s="3458" t="s">
        <v>21</v>
      </c>
      <c r="E127" s="3459">
        <v>190.78</v>
      </c>
      <c r="F127" s="3457">
        <v>3124866</v>
      </c>
      <c r="G127" s="3457">
        <f t="shared" si="6"/>
        <v>16379.421322989831</v>
      </c>
    </row>
    <row r="128" spans="2:7" s="3460" customFormat="1">
      <c r="B128" s="3457">
        <v>19</v>
      </c>
      <c r="C128" s="3458" t="s">
        <v>3504</v>
      </c>
      <c r="D128" s="3458" t="s">
        <v>21</v>
      </c>
      <c r="E128" s="3459">
        <v>190.78</v>
      </c>
      <c r="F128" s="3457">
        <v>3192894</v>
      </c>
      <c r="G128" s="3457">
        <f t="shared" si="6"/>
        <v>16735.999580668835</v>
      </c>
    </row>
    <row r="129" spans="2:7" s="3460" customFormat="1">
      <c r="B129" s="3457">
        <v>20</v>
      </c>
      <c r="C129" s="3458" t="s">
        <v>3505</v>
      </c>
      <c r="D129" s="3458" t="s">
        <v>21</v>
      </c>
      <c r="E129" s="3459">
        <v>319.54000000000002</v>
      </c>
      <c r="F129" s="3457">
        <v>5507591</v>
      </c>
      <c r="G129" s="3457">
        <f t="shared" si="6"/>
        <v>17235.99862302059</v>
      </c>
    </row>
    <row r="130" spans="2:7" s="3470" customFormat="1" ht="11.25" customHeight="1">
      <c r="B130" s="3467">
        <v>21</v>
      </c>
      <c r="C130" s="3468" t="s">
        <v>3506</v>
      </c>
      <c r="D130" s="3468" t="s">
        <v>3489</v>
      </c>
      <c r="E130" s="3469">
        <v>6.08</v>
      </c>
      <c r="F130" s="3467">
        <v>51680</v>
      </c>
      <c r="G130" s="3467">
        <f t="shared" si="6"/>
        <v>8500</v>
      </c>
    </row>
    <row r="131" spans="2:7" s="3460" customFormat="1">
      <c r="B131" s="3457">
        <v>22</v>
      </c>
      <c r="C131" s="3458" t="s">
        <v>3507</v>
      </c>
      <c r="D131" s="3458" t="s">
        <v>21</v>
      </c>
      <c r="E131" s="3459">
        <v>319.54000000000002</v>
      </c>
      <c r="F131" s="3457">
        <v>5555522</v>
      </c>
      <c r="G131" s="3457">
        <f t="shared" si="6"/>
        <v>17385.99862302059</v>
      </c>
    </row>
    <row r="132" spans="2:7" s="3460" customFormat="1">
      <c r="B132" s="3457">
        <v>23</v>
      </c>
      <c r="C132" s="3458" t="s">
        <v>3508</v>
      </c>
      <c r="D132" s="3458" t="s">
        <v>21</v>
      </c>
      <c r="E132" s="3459">
        <v>288.73</v>
      </c>
      <c r="F132" s="3457">
        <v>5019860</v>
      </c>
      <c r="G132" s="3457">
        <f t="shared" si="6"/>
        <v>17386.000761957537</v>
      </c>
    </row>
    <row r="133" spans="2:7" s="3460" customFormat="1">
      <c r="B133" s="3457">
        <v>24</v>
      </c>
      <c r="C133" s="3458" t="s">
        <v>3509</v>
      </c>
      <c r="D133" s="3458" t="s">
        <v>21</v>
      </c>
      <c r="E133" s="3459">
        <v>319.54000000000002</v>
      </c>
      <c r="F133" s="3457">
        <v>5555522</v>
      </c>
      <c r="G133" s="3457">
        <f t="shared" si="6"/>
        <v>17385.99862302059</v>
      </c>
    </row>
    <row r="134" spans="2:7" s="3470" customFormat="1">
      <c r="B134" s="3467">
        <v>25</v>
      </c>
      <c r="C134" s="3468" t="s">
        <v>3510</v>
      </c>
      <c r="D134" s="3468" t="s">
        <v>3489</v>
      </c>
      <c r="E134" s="3469">
        <v>6.08</v>
      </c>
      <c r="F134" s="3467">
        <v>52136</v>
      </c>
      <c r="G134" s="3467">
        <f t="shared" si="6"/>
        <v>8575</v>
      </c>
    </row>
    <row r="135" spans="2:7" s="3460" customFormat="1">
      <c r="B135" s="3457">
        <v>26</v>
      </c>
      <c r="C135" s="3458" t="s">
        <v>3511</v>
      </c>
      <c r="D135" s="3458" t="s">
        <v>21</v>
      </c>
      <c r="E135" s="3459">
        <v>288.73</v>
      </c>
      <c r="F135" s="3457">
        <v>4962114</v>
      </c>
      <c r="G135" s="3457">
        <f t="shared" si="6"/>
        <v>17186.000761957537</v>
      </c>
    </row>
    <row r="136" spans="2:7" s="3460" customFormat="1">
      <c r="B136" s="3457">
        <v>27</v>
      </c>
      <c r="C136" s="3458" t="s">
        <v>3512</v>
      </c>
      <c r="D136" s="3458" t="s">
        <v>21</v>
      </c>
      <c r="E136" s="3459">
        <v>286.88</v>
      </c>
      <c r="F136" s="3457">
        <v>5722338</v>
      </c>
      <c r="G136" s="3457">
        <f t="shared" si="6"/>
        <v>19946.800055772448</v>
      </c>
    </row>
    <row r="137" spans="2:7" s="3460" customFormat="1">
      <c r="B137" s="3457">
        <v>28</v>
      </c>
      <c r="C137" s="3458" t="s">
        <v>3513</v>
      </c>
      <c r="D137" s="3458" t="s">
        <v>21</v>
      </c>
      <c r="E137" s="3459">
        <v>322.74</v>
      </c>
      <c r="F137" s="3457">
        <v>6616622</v>
      </c>
      <c r="G137" s="3457">
        <f t="shared" si="6"/>
        <v>20501.400508148974</v>
      </c>
    </row>
    <row r="138" spans="2:7" s="3460" customFormat="1">
      <c r="B138" s="3457">
        <v>29</v>
      </c>
      <c r="C138" s="3458" t="s">
        <v>3514</v>
      </c>
      <c r="D138" s="3458" t="s">
        <v>21</v>
      </c>
      <c r="E138" s="3459">
        <v>291.63</v>
      </c>
      <c r="F138" s="3457">
        <v>5978823</v>
      </c>
      <c r="G138" s="3457">
        <f t="shared" si="6"/>
        <v>20501.399033021295</v>
      </c>
    </row>
    <row r="139" spans="2:7" s="3470" customFormat="1">
      <c r="B139" s="3467">
        <v>30</v>
      </c>
      <c r="C139" s="3468" t="s">
        <v>3515</v>
      </c>
      <c r="D139" s="3468" t="s">
        <v>3489</v>
      </c>
      <c r="E139" s="3469">
        <v>5.79</v>
      </c>
      <c r="F139" s="3467">
        <v>58617</v>
      </c>
      <c r="G139" s="3467">
        <f t="shared" si="6"/>
        <v>10123.834196891192</v>
      </c>
    </row>
    <row r="140" spans="2:7" s="3470" customFormat="1">
      <c r="B140" s="3467">
        <v>31</v>
      </c>
      <c r="C140" s="3468" t="s">
        <v>3516</v>
      </c>
      <c r="D140" s="3468" t="s">
        <v>3489</v>
      </c>
      <c r="E140" s="3469">
        <v>63.29</v>
      </c>
      <c r="F140" s="3467">
        <v>640735</v>
      </c>
      <c r="G140" s="3467">
        <f t="shared" si="6"/>
        <v>10123.795228314109</v>
      </c>
    </row>
    <row r="141" spans="2:7" s="3460" customFormat="1">
      <c r="B141" s="3457">
        <v>32</v>
      </c>
      <c r="C141" s="3458" t="s">
        <v>3517</v>
      </c>
      <c r="D141" s="3458" t="s">
        <v>21</v>
      </c>
      <c r="E141" s="3459">
        <v>288.73</v>
      </c>
      <c r="F141" s="3457">
        <v>4918804</v>
      </c>
      <c r="G141" s="3457">
        <f t="shared" si="6"/>
        <v>17035.99903023586</v>
      </c>
    </row>
    <row r="142" spans="2:7" s="3460" customFormat="1">
      <c r="B142" s="3457">
        <v>33</v>
      </c>
      <c r="C142" s="3458" t="s">
        <v>3518</v>
      </c>
      <c r="D142" s="3458" t="s">
        <v>21</v>
      </c>
      <c r="E142" s="3459">
        <v>319.54000000000002</v>
      </c>
      <c r="F142" s="3457">
        <v>6491008</v>
      </c>
      <c r="G142" s="3457">
        <f t="shared" si="6"/>
        <v>20313.600801151653</v>
      </c>
    </row>
    <row r="143" spans="2:7" s="3470" customFormat="1">
      <c r="B143" s="3467">
        <v>34</v>
      </c>
      <c r="C143" s="3468" t="s">
        <v>3519</v>
      </c>
      <c r="D143" s="3468" t="s">
        <v>3489</v>
      </c>
      <c r="E143" s="3469">
        <v>6.08</v>
      </c>
      <c r="F143" s="3467">
        <v>60995</v>
      </c>
      <c r="G143" s="3467">
        <f t="shared" si="6"/>
        <v>10032.072368421053</v>
      </c>
    </row>
    <row r="144" spans="2:7" s="3460" customFormat="1">
      <c r="B144" s="3457">
        <v>35</v>
      </c>
      <c r="C144" s="3458" t="s">
        <v>3520</v>
      </c>
      <c r="D144" s="3458" t="s">
        <v>21</v>
      </c>
      <c r="E144" s="3459">
        <v>193.86</v>
      </c>
      <c r="F144" s="3457">
        <v>4402639</v>
      </c>
      <c r="G144" s="3457">
        <f t="shared" si="6"/>
        <v>22710.404415557616</v>
      </c>
    </row>
    <row r="145" spans="2:7" s="3460" customFormat="1">
      <c r="B145" s="3457">
        <v>36</v>
      </c>
      <c r="C145" s="3458" t="s">
        <v>3521</v>
      </c>
      <c r="D145" s="3458" t="s">
        <v>21</v>
      </c>
      <c r="E145" s="3459">
        <v>193.86</v>
      </c>
      <c r="F145" s="3457">
        <v>4215292</v>
      </c>
      <c r="G145" s="3457">
        <f t="shared" si="6"/>
        <v>21744.000825337873</v>
      </c>
    </row>
    <row r="146" spans="2:7" s="3460" customFormat="1">
      <c r="B146" s="3457">
        <v>37</v>
      </c>
      <c r="C146" s="3458" t="s">
        <v>3522</v>
      </c>
      <c r="D146" s="3458" t="s">
        <v>21</v>
      </c>
      <c r="E146" s="3459">
        <v>291</v>
      </c>
      <c r="F146" s="3457">
        <v>6327504</v>
      </c>
      <c r="G146" s="3457">
        <f t="shared" si="6"/>
        <v>21744</v>
      </c>
    </row>
    <row r="147" spans="2:7" s="3460" customFormat="1">
      <c r="B147" s="3457">
        <v>38</v>
      </c>
      <c r="C147" s="3458" t="s">
        <v>3523</v>
      </c>
      <c r="D147" s="3458" t="s">
        <v>21</v>
      </c>
      <c r="E147" s="3459">
        <v>327.37</v>
      </c>
      <c r="F147" s="3457">
        <v>7291647</v>
      </c>
      <c r="G147" s="3457">
        <f t="shared" si="6"/>
        <v>22273.412346885787</v>
      </c>
    </row>
    <row r="148" spans="2:7" s="3460" customFormat="1">
      <c r="B148" s="3457">
        <v>39</v>
      </c>
      <c r="C148" s="3458" t="s">
        <v>3524</v>
      </c>
      <c r="D148" s="3458" t="s">
        <v>21</v>
      </c>
      <c r="E148" s="3459">
        <v>295.81</v>
      </c>
      <c r="F148" s="3457">
        <v>6588698</v>
      </c>
      <c r="G148" s="3457">
        <f t="shared" si="6"/>
        <v>22273.411987424359</v>
      </c>
    </row>
    <row r="149" spans="2:7" s="3470" customFormat="1">
      <c r="B149" s="3467">
        <v>40</v>
      </c>
      <c r="C149" s="3468" t="s">
        <v>3525</v>
      </c>
      <c r="D149" s="3468" t="s">
        <v>3489</v>
      </c>
      <c r="E149" s="3469">
        <v>5.87</v>
      </c>
      <c r="F149" s="3467">
        <v>64639</v>
      </c>
      <c r="G149" s="3467">
        <f t="shared" si="6"/>
        <v>11011.754684838161</v>
      </c>
    </row>
    <row r="150" spans="2:7" s="3470" customFormat="1">
      <c r="B150" s="3467">
        <v>41</v>
      </c>
      <c r="C150" s="3468" t="s">
        <v>3526</v>
      </c>
      <c r="D150" s="3468" t="s">
        <v>3527</v>
      </c>
      <c r="E150" s="3469">
        <v>59.44</v>
      </c>
      <c r="F150" s="3467">
        <v>785447</v>
      </c>
      <c r="G150" s="3467">
        <f t="shared" si="6"/>
        <v>13214.115074024226</v>
      </c>
    </row>
    <row r="151" spans="2:7" s="3470" customFormat="1">
      <c r="B151" s="3467">
        <v>42</v>
      </c>
      <c r="C151" s="3468" t="s">
        <v>3528</v>
      </c>
      <c r="D151" s="3468" t="s">
        <v>3489</v>
      </c>
      <c r="E151" s="3469">
        <v>64.2</v>
      </c>
      <c r="F151" s="3467">
        <v>706955</v>
      </c>
      <c r="G151" s="3467">
        <f t="shared" si="6"/>
        <v>11011.760124610591</v>
      </c>
    </row>
    <row r="152" spans="2:7" s="3460" customFormat="1">
      <c r="B152" s="3457">
        <v>43</v>
      </c>
      <c r="C152" s="3458" t="s">
        <v>3529</v>
      </c>
      <c r="D152" s="3458" t="s">
        <v>21</v>
      </c>
      <c r="E152" s="3459">
        <v>322.74</v>
      </c>
      <c r="F152" s="3457">
        <v>6335063</v>
      </c>
      <c r="G152" s="3457">
        <f t="shared" si="6"/>
        <v>19628.998574704096</v>
      </c>
    </row>
    <row r="153" spans="2:7" s="3470" customFormat="1">
      <c r="B153" s="3467">
        <v>44</v>
      </c>
      <c r="C153" s="3468" t="s">
        <v>3530</v>
      </c>
      <c r="D153" s="3468" t="s">
        <v>3489</v>
      </c>
      <c r="E153" s="3469">
        <v>8.84</v>
      </c>
      <c r="F153" s="3467">
        <v>85686</v>
      </c>
      <c r="G153" s="3467">
        <f t="shared" si="6"/>
        <v>9692.9864253393662</v>
      </c>
    </row>
    <row r="154" spans="2:7" s="3460" customFormat="1">
      <c r="B154" s="3457">
        <v>45</v>
      </c>
      <c r="C154" s="3458" t="s">
        <v>3531</v>
      </c>
      <c r="D154" s="3458" t="s">
        <v>21</v>
      </c>
      <c r="E154" s="3459">
        <v>327.37</v>
      </c>
      <c r="F154" s="3457">
        <v>7623562</v>
      </c>
      <c r="G154" s="3457">
        <f t="shared" si="6"/>
        <v>23287.295720438648</v>
      </c>
    </row>
    <row r="155" spans="2:7" s="3460" customFormat="1">
      <c r="B155" s="3457">
        <v>46</v>
      </c>
      <c r="C155" s="3458" t="s">
        <v>3532</v>
      </c>
      <c r="D155" s="3458" t="s">
        <v>21</v>
      </c>
      <c r="E155" s="3459">
        <v>319.54000000000002</v>
      </c>
      <c r="F155" s="3457">
        <v>6152934</v>
      </c>
      <c r="G155" s="3457">
        <f t="shared" si="6"/>
        <v>19255.598673092569</v>
      </c>
    </row>
    <row r="156" spans="2:7" s="3470" customFormat="1">
      <c r="B156" s="3467">
        <v>47</v>
      </c>
      <c r="C156" s="3468" t="s">
        <v>3533</v>
      </c>
      <c r="D156" s="3468" t="s">
        <v>3489</v>
      </c>
      <c r="E156" s="3469">
        <v>9.1999999999999993</v>
      </c>
      <c r="F156" s="3467">
        <v>90372</v>
      </c>
      <c r="G156" s="3467">
        <f t="shared" si="6"/>
        <v>9823.04347826087</v>
      </c>
    </row>
    <row r="157" spans="2:7" s="3460" customFormat="1">
      <c r="B157" s="3457">
        <v>48</v>
      </c>
      <c r="C157" s="3458" t="s">
        <v>3534</v>
      </c>
      <c r="D157" s="3458" t="s">
        <v>21</v>
      </c>
      <c r="E157" s="3459">
        <v>285.58</v>
      </c>
      <c r="F157" s="3457">
        <v>4961908</v>
      </c>
      <c r="G157" s="3457">
        <f t="shared" si="6"/>
        <v>17374.844176763079</v>
      </c>
    </row>
    <row r="158" spans="2:7" s="3460" customFormat="1">
      <c r="B158" s="3457">
        <v>49</v>
      </c>
      <c r="C158" s="3458" t="s">
        <v>3535</v>
      </c>
      <c r="D158" s="3458" t="s">
        <v>21</v>
      </c>
      <c r="E158" s="3459">
        <v>288.73</v>
      </c>
      <c r="F158" s="3457">
        <v>5620765</v>
      </c>
      <c r="G158" s="3457">
        <f t="shared" si="6"/>
        <v>19467.201191424512</v>
      </c>
    </row>
    <row r="159" spans="2:7" s="3460" customFormat="1">
      <c r="B159" s="3457">
        <v>50</v>
      </c>
      <c r="C159" s="3458" t="s">
        <v>3536</v>
      </c>
      <c r="D159" s="3458" t="s">
        <v>21</v>
      </c>
      <c r="E159" s="3459">
        <v>319.54000000000002</v>
      </c>
      <c r="F159" s="3457">
        <v>5486055</v>
      </c>
      <c r="G159" s="3457">
        <f t="shared" si="6"/>
        <v>17168.60174000125</v>
      </c>
    </row>
    <row r="160" spans="2:7" s="3460" customFormat="1">
      <c r="B160" s="3457">
        <v>51</v>
      </c>
      <c r="C160" s="3458" t="s">
        <v>3537</v>
      </c>
      <c r="D160" s="3458" t="s">
        <v>21</v>
      </c>
      <c r="E160" s="3459">
        <v>288.73</v>
      </c>
      <c r="F160" s="3457">
        <v>5109609</v>
      </c>
      <c r="G160" s="3457">
        <f t="shared" si="6"/>
        <v>17696.841339659888</v>
      </c>
    </row>
    <row r="161" spans="2:7" s="3460" customFormat="1">
      <c r="B161" s="3457">
        <v>52</v>
      </c>
      <c r="C161" s="3458" t="s">
        <v>3538</v>
      </c>
      <c r="D161" s="3458" t="s">
        <v>21</v>
      </c>
      <c r="E161" s="3459">
        <v>319.54000000000002</v>
      </c>
      <c r="F161" s="3457">
        <v>5593383</v>
      </c>
      <c r="G161" s="3457">
        <f t="shared" si="6"/>
        <v>17504.484571571633</v>
      </c>
    </row>
    <row r="162" spans="2:7" s="3470" customFormat="1">
      <c r="B162" s="3467">
        <v>53</v>
      </c>
      <c r="C162" s="3468" t="s">
        <v>3539</v>
      </c>
      <c r="D162" s="3468" t="s">
        <v>3489</v>
      </c>
      <c r="E162" s="3469">
        <v>9.1999999999999993</v>
      </c>
      <c r="F162" s="3467">
        <v>79534</v>
      </c>
      <c r="G162" s="3467">
        <f t="shared" si="6"/>
        <v>8645</v>
      </c>
    </row>
    <row r="163" spans="2:7" s="3460" customFormat="1">
      <c r="B163" s="3457">
        <v>54</v>
      </c>
      <c r="C163" s="3458" t="s">
        <v>3540</v>
      </c>
      <c r="D163" s="3458" t="s">
        <v>21</v>
      </c>
      <c r="E163" s="3459">
        <v>319.54000000000002</v>
      </c>
      <c r="F163" s="3457">
        <v>6241655</v>
      </c>
      <c r="G163" s="3457">
        <f t="shared" si="6"/>
        <v>19533.2509232021</v>
      </c>
    </row>
    <row r="164" spans="2:7" s="3470" customFormat="1">
      <c r="B164" s="3467">
        <v>55</v>
      </c>
      <c r="C164" s="3468" t="s">
        <v>3541</v>
      </c>
      <c r="D164" s="3468" t="s">
        <v>3489</v>
      </c>
      <c r="E164" s="3469">
        <v>6.08</v>
      </c>
      <c r="F164" s="3467">
        <v>59541</v>
      </c>
      <c r="G164" s="3467">
        <f t="shared" si="6"/>
        <v>9792.9276315789466</v>
      </c>
    </row>
    <row r="165" spans="2:7" s="3460" customFormat="1">
      <c r="B165" s="3457">
        <v>56</v>
      </c>
      <c r="C165" s="3458" t="s">
        <v>3542</v>
      </c>
      <c r="D165" s="3458" t="s">
        <v>21</v>
      </c>
      <c r="E165" s="3459">
        <v>190.78</v>
      </c>
      <c r="F165" s="3457">
        <v>3314773</v>
      </c>
      <c r="G165" s="3457">
        <f t="shared" si="6"/>
        <v>17374.845371632247</v>
      </c>
    </row>
    <row r="166" spans="2:7" s="3460" customFormat="1">
      <c r="B166" s="3457">
        <v>57</v>
      </c>
      <c r="C166" s="3458" t="s">
        <v>3543</v>
      </c>
      <c r="D166" s="3458" t="s">
        <v>21</v>
      </c>
      <c r="E166" s="3459">
        <v>322.74</v>
      </c>
      <c r="F166" s="3457">
        <v>6407551</v>
      </c>
      <c r="G166" s="3457">
        <f t="shared" si="6"/>
        <v>19853.600421391831</v>
      </c>
    </row>
    <row r="167" spans="2:7" s="3470" customFormat="1">
      <c r="B167" s="3467">
        <v>58</v>
      </c>
      <c r="C167" s="3468" t="s">
        <v>3544</v>
      </c>
      <c r="D167" s="3468" t="s">
        <v>3489</v>
      </c>
      <c r="E167" s="3469">
        <v>63.29</v>
      </c>
      <c r="F167" s="3467">
        <v>776821</v>
      </c>
      <c r="G167" s="3467">
        <f t="shared" si="6"/>
        <v>12273.992731869173</v>
      </c>
    </row>
    <row r="168" spans="2:7" s="3460" customFormat="1">
      <c r="B168" s="3457">
        <v>59</v>
      </c>
      <c r="C168" s="3458" t="s">
        <v>3545</v>
      </c>
      <c r="D168" s="3458" t="s">
        <v>21</v>
      </c>
      <c r="E168" s="3459">
        <v>319.54000000000002</v>
      </c>
      <c r="F168" s="3457">
        <v>6205850</v>
      </c>
      <c r="G168" s="3457">
        <f t="shared" si="6"/>
        <v>19421.199223884334</v>
      </c>
    </row>
    <row r="169" spans="2:7" s="3460" customFormat="1">
      <c r="B169" s="3457">
        <v>60</v>
      </c>
      <c r="C169" s="3458" t="s">
        <v>3546</v>
      </c>
      <c r="D169" s="3458" t="s">
        <v>21</v>
      </c>
      <c r="E169" s="3459">
        <v>191.12</v>
      </c>
      <c r="F169" s="3457">
        <v>3262962</v>
      </c>
      <c r="G169" s="3457">
        <f t="shared" si="6"/>
        <v>17072.844286312265</v>
      </c>
    </row>
    <row r="170" spans="2:7" s="3460" customFormat="1">
      <c r="B170" s="3457">
        <v>61</v>
      </c>
      <c r="C170" s="3458" t="s">
        <v>3547</v>
      </c>
      <c r="D170" s="3458" t="s">
        <v>21</v>
      </c>
      <c r="E170" s="3459">
        <v>286.88</v>
      </c>
      <c r="F170" s="3457">
        <v>4897857</v>
      </c>
      <c r="G170" s="3457">
        <f t="shared" si="6"/>
        <v>17072.842303402118</v>
      </c>
    </row>
    <row r="171" spans="2:7" s="3460" customFormat="1">
      <c r="B171" s="3457">
        <v>62</v>
      </c>
      <c r="C171" s="3458" t="s">
        <v>3548</v>
      </c>
      <c r="D171" s="3458" t="s">
        <v>21</v>
      </c>
      <c r="E171" s="3459">
        <v>322.74</v>
      </c>
      <c r="F171" s="3457">
        <v>5647254</v>
      </c>
      <c r="G171" s="3457">
        <f t="shared" si="6"/>
        <v>17497.843465328126</v>
      </c>
    </row>
    <row r="172" spans="2:7" s="3460" customFormat="1">
      <c r="B172" s="3457">
        <v>63</v>
      </c>
      <c r="C172" s="3458" t="s">
        <v>3549</v>
      </c>
      <c r="D172" s="3458" t="s">
        <v>21</v>
      </c>
      <c r="E172" s="3459">
        <v>291.63</v>
      </c>
      <c r="F172" s="3457">
        <v>5102896</v>
      </c>
      <c r="G172" s="3457">
        <f t="shared" si="6"/>
        <v>17497.843157425505</v>
      </c>
    </row>
    <row r="173" spans="2:7" s="3470" customFormat="1">
      <c r="B173" s="3467">
        <v>64</v>
      </c>
      <c r="C173" s="3468" t="s">
        <v>3550</v>
      </c>
      <c r="D173" s="3468" t="s">
        <v>3489</v>
      </c>
      <c r="E173" s="3469">
        <v>5.79</v>
      </c>
      <c r="F173" s="3467">
        <v>50076</v>
      </c>
      <c r="G173" s="3467">
        <f t="shared" si="6"/>
        <v>8648.7046632124348</v>
      </c>
    </row>
    <row r="174" spans="2:7" s="3460" customFormat="1">
      <c r="B174" s="3457">
        <v>65</v>
      </c>
      <c r="C174" s="3458" t="s">
        <v>3551</v>
      </c>
      <c r="D174" s="3458" t="s">
        <v>21</v>
      </c>
      <c r="E174" s="3459">
        <v>288.73</v>
      </c>
      <c r="F174" s="3463">
        <v>5129848</v>
      </c>
      <c r="G174" s="3457">
        <f t="shared" si="6"/>
        <v>17766.937969729504</v>
      </c>
    </row>
    <row r="175" spans="2:7" s="3460" customFormat="1">
      <c r="B175" s="3457">
        <v>66</v>
      </c>
      <c r="C175" s="3458" t="s">
        <v>3552</v>
      </c>
      <c r="D175" s="3458" t="s">
        <v>21</v>
      </c>
      <c r="E175" s="3459">
        <v>191.12</v>
      </c>
      <c r="F175" s="3463">
        <v>3600000</v>
      </c>
      <c r="G175" s="3457">
        <f t="shared" ref="G175:G238" si="7">F175/E175</f>
        <v>18836.333193804938</v>
      </c>
    </row>
    <row r="176" spans="2:7" s="3460" customFormat="1">
      <c r="B176" s="3457">
        <v>67</v>
      </c>
      <c r="C176" s="3458" t="s">
        <v>3553</v>
      </c>
      <c r="D176" s="3458" t="s">
        <v>21</v>
      </c>
      <c r="E176" s="3459">
        <v>190.78</v>
      </c>
      <c r="F176" s="3463">
        <v>3158789</v>
      </c>
      <c r="G176" s="3457">
        <f t="shared" si="7"/>
        <v>16557.233462627111</v>
      </c>
    </row>
    <row r="177" spans="2:7" s="3460" customFormat="1">
      <c r="B177" s="3457">
        <v>68</v>
      </c>
      <c r="C177" s="3458" t="s">
        <v>3554</v>
      </c>
      <c r="D177" s="3458" t="s">
        <v>21</v>
      </c>
      <c r="E177" s="3459">
        <v>285.58</v>
      </c>
      <c r="F177" s="3463">
        <v>5095176</v>
      </c>
      <c r="G177" s="3457">
        <f t="shared" si="7"/>
        <v>17841.501505707685</v>
      </c>
    </row>
    <row r="178" spans="2:7" s="3470" customFormat="1">
      <c r="B178" s="3467">
        <v>69</v>
      </c>
      <c r="C178" s="3468" t="s">
        <v>3555</v>
      </c>
      <c r="D178" s="3468" t="s">
        <v>3489</v>
      </c>
      <c r="E178" s="3469">
        <v>6.08</v>
      </c>
      <c r="F178" s="3471">
        <v>61514</v>
      </c>
      <c r="G178" s="3467">
        <f t="shared" si="7"/>
        <v>10117.434210526315</v>
      </c>
    </row>
    <row r="179" spans="2:7" s="3460" customFormat="1">
      <c r="B179" s="3457">
        <v>70</v>
      </c>
      <c r="C179" s="3458" t="s">
        <v>3556</v>
      </c>
      <c r="D179" s="3458" t="s">
        <v>21</v>
      </c>
      <c r="E179" s="3459">
        <v>286.88</v>
      </c>
      <c r="F179" s="3463">
        <v>5224696</v>
      </c>
      <c r="G179" s="3457">
        <f t="shared" si="7"/>
        <v>18212.13050752928</v>
      </c>
    </row>
    <row r="180" spans="2:7" s="3460" customFormat="1">
      <c r="B180" s="3457">
        <v>71</v>
      </c>
      <c r="C180" s="3458" t="s">
        <v>3557</v>
      </c>
      <c r="D180" s="3458" t="s">
        <v>21</v>
      </c>
      <c r="E180" s="3459">
        <v>322.74</v>
      </c>
      <c r="F180" s="3463">
        <v>6023015</v>
      </c>
      <c r="G180" s="3457">
        <f t="shared" si="7"/>
        <v>18662.127409059925</v>
      </c>
    </row>
    <row r="181" spans="2:7" s="3470" customFormat="1">
      <c r="B181" s="3467">
        <v>72</v>
      </c>
      <c r="C181" s="3468" t="s">
        <v>3558</v>
      </c>
      <c r="D181" s="3468" t="s">
        <v>3489</v>
      </c>
      <c r="E181" s="3469">
        <v>63.29</v>
      </c>
      <c r="F181" s="3471">
        <v>739544</v>
      </c>
      <c r="G181" s="3467">
        <f t="shared" si="7"/>
        <v>11685.005530099543</v>
      </c>
    </row>
    <row r="182" spans="2:7" s="3460" customFormat="1">
      <c r="B182" s="3457">
        <v>73</v>
      </c>
      <c r="C182" s="3458" t="s">
        <v>3559</v>
      </c>
      <c r="D182" s="3458" t="s">
        <v>21</v>
      </c>
      <c r="E182" s="3459">
        <v>285.58</v>
      </c>
      <c r="F182" s="3463">
        <v>5008253</v>
      </c>
      <c r="G182" s="3457">
        <f t="shared" si="7"/>
        <v>17537.127950136564</v>
      </c>
    </row>
    <row r="183" spans="2:7" s="3460" customFormat="1">
      <c r="B183" s="3457">
        <v>74</v>
      </c>
      <c r="C183" s="3458" t="s">
        <v>3560</v>
      </c>
      <c r="D183" s="3458" t="s">
        <v>21</v>
      </c>
      <c r="E183" s="3459">
        <v>322.74</v>
      </c>
      <c r="F183" s="3463">
        <v>5759217</v>
      </c>
      <c r="G183" s="3457">
        <f t="shared" si="7"/>
        <v>17844.757389849416</v>
      </c>
    </row>
    <row r="184" spans="2:7" s="3460" customFormat="1">
      <c r="B184" s="3457">
        <v>75</v>
      </c>
      <c r="C184" s="3458" t="s">
        <v>3561</v>
      </c>
      <c r="D184" s="3458" t="s">
        <v>21</v>
      </c>
      <c r="E184" s="3459">
        <v>288.73</v>
      </c>
      <c r="F184" s="3463">
        <v>5121431</v>
      </c>
      <c r="G184" s="3457">
        <f t="shared" si="7"/>
        <v>17737.786167007238</v>
      </c>
    </row>
    <row r="185" spans="2:7" s="3460" customFormat="1">
      <c r="B185" s="3457">
        <v>76</v>
      </c>
      <c r="C185" s="3464" t="s">
        <v>3562</v>
      </c>
      <c r="D185" s="3458" t="s">
        <v>21</v>
      </c>
      <c r="E185" s="3459">
        <v>288.73</v>
      </c>
      <c r="F185" s="3463">
        <v>4941453</v>
      </c>
      <c r="G185" s="3457">
        <f t="shared" si="7"/>
        <v>17114.44255879195</v>
      </c>
    </row>
    <row r="186" spans="2:7" s="3470" customFormat="1">
      <c r="B186" s="3467">
        <v>77</v>
      </c>
      <c r="C186" s="3468" t="s">
        <v>3563</v>
      </c>
      <c r="D186" s="3468" t="s">
        <v>3489</v>
      </c>
      <c r="E186" s="3469">
        <v>6.08</v>
      </c>
      <c r="F186" s="3471">
        <v>60359</v>
      </c>
      <c r="G186" s="3467">
        <f t="shared" si="7"/>
        <v>9927.4671052631584</v>
      </c>
    </row>
    <row r="187" spans="2:7" s="3460" customFormat="1">
      <c r="B187" s="3457">
        <v>78</v>
      </c>
      <c r="C187" s="3458" t="s">
        <v>3564</v>
      </c>
      <c r="D187" s="3458" t="s">
        <v>21</v>
      </c>
      <c r="E187" s="3459">
        <v>291.63</v>
      </c>
      <c r="F187" s="3463">
        <v>5350573</v>
      </c>
      <c r="G187" s="3457">
        <f t="shared" si="7"/>
        <v>18347.128210403593</v>
      </c>
    </row>
    <row r="188" spans="2:7" s="3460" customFormat="1">
      <c r="B188" s="3457">
        <v>79</v>
      </c>
      <c r="C188" s="3458" t="s">
        <v>3565</v>
      </c>
      <c r="D188" s="3458" t="s">
        <v>21</v>
      </c>
      <c r="E188" s="3459">
        <v>193.86</v>
      </c>
      <c r="F188" s="3463">
        <v>3677006</v>
      </c>
      <c r="G188" s="3457">
        <f t="shared" si="7"/>
        <v>18967.326936964819</v>
      </c>
    </row>
    <row r="189" spans="2:7" s="3460" customFormat="1">
      <c r="B189" s="3457">
        <v>80</v>
      </c>
      <c r="C189" s="3458" t="s">
        <v>3566</v>
      </c>
      <c r="D189" s="3458" t="s">
        <v>21</v>
      </c>
      <c r="E189" s="3459">
        <v>327.37</v>
      </c>
      <c r="F189" s="3463">
        <v>7213271</v>
      </c>
      <c r="G189" s="3457">
        <f t="shared" si="7"/>
        <v>22034.001282952013</v>
      </c>
    </row>
    <row r="190" spans="2:7" s="3470" customFormat="1">
      <c r="B190" s="3467">
        <v>81</v>
      </c>
      <c r="C190" s="3468" t="s">
        <v>3567</v>
      </c>
      <c r="D190" s="3468" t="s">
        <v>3489</v>
      </c>
      <c r="E190" s="3469">
        <v>5.87</v>
      </c>
      <c r="F190" s="3471">
        <v>69266</v>
      </c>
      <c r="G190" s="3467">
        <f t="shared" si="7"/>
        <v>11800</v>
      </c>
    </row>
    <row r="191" spans="2:7" s="3470" customFormat="1">
      <c r="B191" s="3467">
        <v>82</v>
      </c>
      <c r="C191" s="3468" t="s">
        <v>3568</v>
      </c>
      <c r="D191" s="3468" t="s">
        <v>3489</v>
      </c>
      <c r="E191" s="3469">
        <v>64.2</v>
      </c>
      <c r="F191" s="3471">
        <v>905220</v>
      </c>
      <c r="G191" s="3467">
        <f t="shared" si="7"/>
        <v>14100</v>
      </c>
    </row>
    <row r="192" spans="2:7" s="3460" customFormat="1">
      <c r="B192" s="3457">
        <v>83</v>
      </c>
      <c r="C192" s="3458" t="s">
        <v>3569</v>
      </c>
      <c r="D192" s="3458" t="s">
        <v>21</v>
      </c>
      <c r="E192" s="3459">
        <v>190.78</v>
      </c>
      <c r="F192" s="3463">
        <v>3382529</v>
      </c>
      <c r="G192" s="3457">
        <f t="shared" si="7"/>
        <v>17729.997903344167</v>
      </c>
    </row>
    <row r="193" spans="2:7" s="3460" customFormat="1">
      <c r="B193" s="3457">
        <v>84</v>
      </c>
      <c r="C193" s="3458" t="s">
        <v>3570</v>
      </c>
      <c r="D193" s="3458" t="s">
        <v>21</v>
      </c>
      <c r="E193" s="3459">
        <v>193.86</v>
      </c>
      <c r="F193" s="3463">
        <v>3847152</v>
      </c>
      <c r="G193" s="3457">
        <f t="shared" si="7"/>
        <v>19845.001547508509</v>
      </c>
    </row>
    <row r="194" spans="2:7" s="3460" customFormat="1">
      <c r="B194" s="3457">
        <v>85</v>
      </c>
      <c r="C194" s="3458" t="s">
        <v>3571</v>
      </c>
      <c r="D194" s="3458" t="s">
        <v>21</v>
      </c>
      <c r="E194" s="3459">
        <v>193.86</v>
      </c>
      <c r="F194" s="3463">
        <v>4091415</v>
      </c>
      <c r="G194" s="3457">
        <f t="shared" si="7"/>
        <v>21104.998452491487</v>
      </c>
    </row>
    <row r="195" spans="2:7" s="3460" customFormat="1">
      <c r="B195" s="3457">
        <v>86</v>
      </c>
      <c r="C195" s="3458" t="s">
        <v>3572</v>
      </c>
      <c r="D195" s="3458" t="s">
        <v>21</v>
      </c>
      <c r="E195" s="3459">
        <v>193.86</v>
      </c>
      <c r="F195" s="3463">
        <v>4091415</v>
      </c>
      <c r="G195" s="3457">
        <f t="shared" si="7"/>
        <v>21104.998452491487</v>
      </c>
    </row>
    <row r="196" spans="2:7" s="3470" customFormat="1">
      <c r="B196" s="3467">
        <v>87</v>
      </c>
      <c r="C196" s="3468" t="s">
        <v>3573</v>
      </c>
      <c r="D196" s="3468" t="s">
        <v>3489</v>
      </c>
      <c r="E196" s="3469">
        <v>5.79</v>
      </c>
      <c r="F196" s="3471">
        <v>60506</v>
      </c>
      <c r="G196" s="3467">
        <f t="shared" si="7"/>
        <v>10450.086355785837</v>
      </c>
    </row>
    <row r="197" spans="2:7" s="3460" customFormat="1">
      <c r="B197" s="3457">
        <v>88</v>
      </c>
      <c r="C197" s="3458" t="s">
        <v>3574</v>
      </c>
      <c r="D197" s="3458" t="s">
        <v>21</v>
      </c>
      <c r="E197" s="3459">
        <v>291.63</v>
      </c>
      <c r="F197" s="3463">
        <v>5589818</v>
      </c>
      <c r="G197" s="3457">
        <f t="shared" si="7"/>
        <v>19167.499914274937</v>
      </c>
    </row>
    <row r="198" spans="2:7" s="3460" customFormat="1">
      <c r="B198" s="3457">
        <v>89</v>
      </c>
      <c r="C198" s="3458" t="s">
        <v>3575</v>
      </c>
      <c r="D198" s="3458" t="s">
        <v>21</v>
      </c>
      <c r="E198" s="3459">
        <v>322.74</v>
      </c>
      <c r="F198" s="3463">
        <v>5647950</v>
      </c>
      <c r="G198" s="3457">
        <f t="shared" si="7"/>
        <v>17500</v>
      </c>
    </row>
    <row r="199" spans="2:7" s="3460" customFormat="1">
      <c r="B199" s="3457">
        <v>90</v>
      </c>
      <c r="C199" s="3458" t="s">
        <v>3576</v>
      </c>
      <c r="D199" s="3458" t="s">
        <v>21</v>
      </c>
      <c r="E199" s="3459">
        <v>327.37</v>
      </c>
      <c r="F199" s="3457">
        <v>6141461</v>
      </c>
      <c r="G199" s="3457">
        <f t="shared" si="7"/>
        <v>18759.999389070472</v>
      </c>
    </row>
    <row r="200" spans="2:7" s="3460" customFormat="1">
      <c r="B200" s="3457">
        <v>91</v>
      </c>
      <c r="C200" s="3458" t="s">
        <v>3577</v>
      </c>
      <c r="D200" s="3458" t="s">
        <v>21</v>
      </c>
      <c r="E200" s="3459">
        <v>193.86</v>
      </c>
      <c r="F200" s="3457">
        <v>3582533</v>
      </c>
      <c r="G200" s="3457">
        <f t="shared" si="7"/>
        <v>18480.001031672338</v>
      </c>
    </row>
    <row r="201" spans="2:7" s="3460" customFormat="1">
      <c r="B201" s="3457">
        <v>92</v>
      </c>
      <c r="C201" s="3458" t="s">
        <v>3578</v>
      </c>
      <c r="D201" s="3458" t="s">
        <v>21</v>
      </c>
      <c r="E201" s="3459">
        <v>291</v>
      </c>
      <c r="F201" s="3457">
        <v>5377680</v>
      </c>
      <c r="G201" s="3457">
        <f t="shared" si="7"/>
        <v>18480</v>
      </c>
    </row>
    <row r="202" spans="2:7" s="3460" customFormat="1">
      <c r="B202" s="3457">
        <v>93</v>
      </c>
      <c r="C202" s="3458" t="s">
        <v>3579</v>
      </c>
      <c r="D202" s="3458" t="s">
        <v>21</v>
      </c>
      <c r="E202" s="3459">
        <v>327.37</v>
      </c>
      <c r="F202" s="3457">
        <v>6141461</v>
      </c>
      <c r="G202" s="3457">
        <f t="shared" si="7"/>
        <v>18759.999389070472</v>
      </c>
    </row>
    <row r="203" spans="2:7" s="3460" customFormat="1">
      <c r="B203" s="3457">
        <v>94</v>
      </c>
      <c r="C203" s="3458" t="s">
        <v>3580</v>
      </c>
      <c r="D203" s="3458" t="s">
        <v>21</v>
      </c>
      <c r="E203" s="3459">
        <v>295.81</v>
      </c>
      <c r="F203" s="3457">
        <v>5549396</v>
      </c>
      <c r="G203" s="3457">
        <f t="shared" si="7"/>
        <v>18760.001352219329</v>
      </c>
    </row>
    <row r="204" spans="2:7" s="3470" customFormat="1">
      <c r="B204" s="3467">
        <v>95</v>
      </c>
      <c r="C204" s="3468" t="s">
        <v>3581</v>
      </c>
      <c r="D204" s="3468" t="s">
        <v>3489</v>
      </c>
      <c r="E204" s="3469">
        <v>5.87</v>
      </c>
      <c r="F204" s="3467">
        <v>65803</v>
      </c>
      <c r="G204" s="3467">
        <f t="shared" si="7"/>
        <v>11210.051107325384</v>
      </c>
    </row>
    <row r="205" spans="2:7" s="3470" customFormat="1">
      <c r="B205" s="3467">
        <v>96</v>
      </c>
      <c r="C205" s="3468" t="s">
        <v>3582</v>
      </c>
      <c r="D205" s="3468" t="s">
        <v>3489</v>
      </c>
      <c r="E205" s="3469">
        <v>64.2</v>
      </c>
      <c r="F205" s="3467">
        <v>859959</v>
      </c>
      <c r="G205" s="3467">
        <f t="shared" si="7"/>
        <v>13395</v>
      </c>
    </row>
    <row r="206" spans="2:7" s="3460" customFormat="1">
      <c r="B206" s="3457">
        <v>97</v>
      </c>
      <c r="C206" s="3458" t="s">
        <v>3583</v>
      </c>
      <c r="D206" s="3458" t="s">
        <v>21</v>
      </c>
      <c r="E206" s="3459">
        <v>322.74</v>
      </c>
      <c r="F206" s="3457">
        <v>5648507</v>
      </c>
      <c r="G206" s="3457">
        <f t="shared" si="7"/>
        <v>17501.725847431368</v>
      </c>
    </row>
    <row r="207" spans="2:7" s="3470" customFormat="1">
      <c r="B207" s="3467">
        <v>98</v>
      </c>
      <c r="C207" s="3468" t="s">
        <v>3584</v>
      </c>
      <c r="D207" s="3468" t="s">
        <v>3489</v>
      </c>
      <c r="E207" s="3469">
        <v>8.84</v>
      </c>
      <c r="F207" s="3467">
        <v>91538</v>
      </c>
      <c r="G207" s="3467">
        <f t="shared" si="7"/>
        <v>10354.977375565612</v>
      </c>
    </row>
    <row r="208" spans="2:7" s="3470" customFormat="1">
      <c r="B208" s="3467">
        <v>99</v>
      </c>
      <c r="C208" s="3468" t="s">
        <v>3585</v>
      </c>
      <c r="D208" s="3468" t="s">
        <v>3489</v>
      </c>
      <c r="E208" s="3469">
        <v>5.79</v>
      </c>
      <c r="F208" s="3467">
        <v>59955</v>
      </c>
      <c r="G208" s="3467">
        <f t="shared" si="7"/>
        <v>10354.922279792747</v>
      </c>
    </row>
    <row r="209" spans="2:7" s="3460" customFormat="1">
      <c r="B209" s="3457">
        <v>100</v>
      </c>
      <c r="C209" s="3458" t="s">
        <v>3586</v>
      </c>
      <c r="D209" s="3458" t="s">
        <v>21</v>
      </c>
      <c r="E209" s="3459">
        <v>191.12</v>
      </c>
      <c r="F209" s="3457">
        <v>3401936</v>
      </c>
      <c r="G209" s="3457">
        <f t="shared" si="7"/>
        <v>17800</v>
      </c>
    </row>
    <row r="210" spans="2:7" s="3460" customFormat="1">
      <c r="B210" s="3457">
        <v>101</v>
      </c>
      <c r="C210" s="3458" t="s">
        <v>3587</v>
      </c>
      <c r="D210" s="3458" t="s">
        <v>21</v>
      </c>
      <c r="E210" s="3459">
        <v>286.88</v>
      </c>
      <c r="F210" s="3457">
        <v>5106464</v>
      </c>
      <c r="G210" s="3457">
        <f t="shared" si="7"/>
        <v>17800</v>
      </c>
    </row>
    <row r="211" spans="2:7" s="3470" customFormat="1">
      <c r="B211" s="3467">
        <v>102</v>
      </c>
      <c r="C211" s="3468" t="s">
        <v>3588</v>
      </c>
      <c r="D211" s="3468" t="s">
        <v>3489</v>
      </c>
      <c r="E211" s="3469">
        <v>8.84</v>
      </c>
      <c r="F211" s="3467">
        <v>92378</v>
      </c>
      <c r="G211" s="3467">
        <f t="shared" si="7"/>
        <v>10450</v>
      </c>
    </row>
    <row r="212" spans="2:7" s="3460" customFormat="1">
      <c r="B212" s="3457">
        <v>103</v>
      </c>
      <c r="C212" s="3458" t="s">
        <v>3589</v>
      </c>
      <c r="D212" s="3458" t="s">
        <v>21</v>
      </c>
      <c r="E212" s="3459">
        <v>322.74</v>
      </c>
      <c r="F212" s="3457">
        <v>5345046</v>
      </c>
      <c r="G212" s="3457">
        <f t="shared" si="7"/>
        <v>16561.461238148353</v>
      </c>
    </row>
    <row r="213" spans="2:7" s="3460" customFormat="1">
      <c r="B213" s="3457">
        <v>104</v>
      </c>
      <c r="C213" s="3458" t="s">
        <v>3590</v>
      </c>
      <c r="D213" s="3458" t="s">
        <v>21</v>
      </c>
      <c r="E213" s="3459">
        <v>327.37</v>
      </c>
      <c r="F213" s="3457">
        <v>7108512</v>
      </c>
      <c r="G213" s="3457">
        <f t="shared" si="7"/>
        <v>21713.999450163425</v>
      </c>
    </row>
    <row r="214" spans="2:7" s="3460" customFormat="1">
      <c r="B214" s="3457">
        <v>105</v>
      </c>
      <c r="C214" s="3458" t="s">
        <v>3591</v>
      </c>
      <c r="D214" s="3458" t="s">
        <v>21</v>
      </c>
      <c r="E214" s="3459">
        <v>295.81</v>
      </c>
      <c r="F214" s="3457">
        <v>6423218</v>
      </c>
      <c r="G214" s="3457">
        <f t="shared" si="7"/>
        <v>21713.998850613571</v>
      </c>
    </row>
    <row r="215" spans="2:7" s="3470" customFormat="1">
      <c r="B215" s="3467">
        <v>106</v>
      </c>
      <c r="C215" s="3468" t="s">
        <v>3592</v>
      </c>
      <c r="D215" s="3468" t="s">
        <v>3489</v>
      </c>
      <c r="E215" s="3469">
        <v>5.87</v>
      </c>
      <c r="F215" s="3467">
        <v>64297</v>
      </c>
      <c r="G215" s="3467">
        <f t="shared" si="7"/>
        <v>10953.492333901193</v>
      </c>
    </row>
    <row r="216" spans="2:7" s="3460" customFormat="1">
      <c r="B216" s="3457">
        <v>107</v>
      </c>
      <c r="C216" s="3458" t="s">
        <v>3593</v>
      </c>
      <c r="D216" s="3458" t="s">
        <v>21</v>
      </c>
      <c r="E216" s="3459">
        <v>286.88</v>
      </c>
      <c r="F216" s="3457">
        <v>4863764</v>
      </c>
      <c r="G216" s="3457">
        <f t="shared" si="7"/>
        <v>16954.001673173454</v>
      </c>
    </row>
    <row r="217" spans="2:7" s="3460" customFormat="1">
      <c r="B217" s="3457">
        <v>108</v>
      </c>
      <c r="C217" s="3458" t="s">
        <v>3594</v>
      </c>
      <c r="D217" s="3458" t="s">
        <v>21</v>
      </c>
      <c r="E217" s="3459">
        <v>319.54000000000002</v>
      </c>
      <c r="F217" s="3457">
        <v>4810000</v>
      </c>
      <c r="G217" s="3457">
        <f t="shared" si="7"/>
        <v>15052.888527257932</v>
      </c>
    </row>
    <row r="218" spans="2:7" s="3470" customFormat="1">
      <c r="B218" s="3467">
        <v>109</v>
      </c>
      <c r="C218" s="3468" t="s">
        <v>3595</v>
      </c>
      <c r="D218" s="3468" t="s">
        <v>3489</v>
      </c>
      <c r="E218" s="3469">
        <v>6.08</v>
      </c>
      <c r="F218" s="3467">
        <v>57760</v>
      </c>
      <c r="G218" s="3467">
        <f t="shared" si="7"/>
        <v>9500</v>
      </c>
    </row>
    <row r="219" spans="2:7" s="3460" customFormat="1">
      <c r="B219" s="3457">
        <v>110</v>
      </c>
      <c r="C219" s="3458" t="s">
        <v>3596</v>
      </c>
      <c r="D219" s="3458" t="s">
        <v>21</v>
      </c>
      <c r="E219" s="3459">
        <v>191.12</v>
      </c>
      <c r="F219" s="3457">
        <v>3330000</v>
      </c>
      <c r="G219" s="3457">
        <f t="shared" si="7"/>
        <v>17423.608204269567</v>
      </c>
    </row>
    <row r="220" spans="2:7" s="3460" customFormat="1">
      <c r="B220" s="3457">
        <v>111</v>
      </c>
      <c r="C220" s="3458" t="s">
        <v>3597</v>
      </c>
      <c r="D220" s="3458" t="s">
        <v>21</v>
      </c>
      <c r="E220" s="3459">
        <v>327.37</v>
      </c>
      <c r="F220" s="3457">
        <v>5289823</v>
      </c>
      <c r="G220" s="3457">
        <f t="shared" si="7"/>
        <v>16158.545376790787</v>
      </c>
    </row>
    <row r="221" spans="2:7" s="3460" customFormat="1">
      <c r="B221" s="3457">
        <v>112</v>
      </c>
      <c r="C221" s="3458" t="s">
        <v>3598</v>
      </c>
      <c r="D221" s="3458" t="s">
        <v>21</v>
      </c>
      <c r="E221" s="3459">
        <v>327.37</v>
      </c>
      <c r="F221" s="3457">
        <v>5866470</v>
      </c>
      <c r="G221" s="3457">
        <f t="shared" si="7"/>
        <v>17919.99877814094</v>
      </c>
    </row>
    <row r="222" spans="2:7" s="3460" customFormat="1">
      <c r="B222" s="3457">
        <v>113</v>
      </c>
      <c r="C222" s="3458" t="s">
        <v>3599</v>
      </c>
      <c r="D222" s="3458" t="s">
        <v>21</v>
      </c>
      <c r="E222" s="3459">
        <v>295.81</v>
      </c>
      <c r="F222" s="3457">
        <v>5027562</v>
      </c>
      <c r="G222" s="3457">
        <f t="shared" si="7"/>
        <v>16995.916297623473</v>
      </c>
    </row>
    <row r="223" spans="2:7" s="3460" customFormat="1">
      <c r="B223" s="3457">
        <v>114</v>
      </c>
      <c r="C223" s="3458" t="s">
        <v>3600</v>
      </c>
      <c r="D223" s="3458" t="s">
        <v>21</v>
      </c>
      <c r="E223" s="3459">
        <v>327.37</v>
      </c>
      <c r="F223" s="3457">
        <v>6899651</v>
      </c>
      <c r="G223" s="3457">
        <f t="shared" si="7"/>
        <v>21076.002688089928</v>
      </c>
    </row>
    <row r="224" spans="2:7" s="3470" customFormat="1">
      <c r="B224" s="3467">
        <v>115</v>
      </c>
      <c r="C224" s="3468" t="s">
        <v>3601</v>
      </c>
      <c r="D224" s="3468" t="s">
        <v>3527</v>
      </c>
      <c r="E224" s="3469">
        <v>59.44</v>
      </c>
      <c r="F224" s="3467">
        <v>796199</v>
      </c>
      <c r="G224" s="3467">
        <f t="shared" si="7"/>
        <v>13395.003364737551</v>
      </c>
    </row>
    <row r="225" spans="2:7" s="3460" customFormat="1">
      <c r="B225" s="3457">
        <v>116</v>
      </c>
      <c r="C225" s="3458" t="s">
        <v>3602</v>
      </c>
      <c r="D225" s="3458" t="s">
        <v>21</v>
      </c>
      <c r="E225" s="3459">
        <v>430.19</v>
      </c>
      <c r="F225" s="3457">
        <v>10688880</v>
      </c>
      <c r="G225" s="3457">
        <f t="shared" si="7"/>
        <v>24846.881610451197</v>
      </c>
    </row>
    <row r="226" spans="2:7" s="3460" customFormat="1">
      <c r="B226" s="3457">
        <v>117</v>
      </c>
      <c r="C226" s="3458" t="s">
        <v>3603</v>
      </c>
      <c r="D226" s="3458" t="s">
        <v>21</v>
      </c>
      <c r="E226" s="3459">
        <v>301.49</v>
      </c>
      <c r="F226" s="3457">
        <v>7404257</v>
      </c>
      <c r="G226" s="3457">
        <f t="shared" si="7"/>
        <v>24558.880891571858</v>
      </c>
    </row>
    <row r="227" spans="2:7" s="3460" customFormat="1">
      <c r="B227" s="3457">
        <v>118</v>
      </c>
      <c r="C227" s="3458" t="s">
        <v>3604</v>
      </c>
      <c r="D227" s="3458" t="s">
        <v>21</v>
      </c>
      <c r="E227" s="3459">
        <v>430.19</v>
      </c>
      <c r="F227" s="3457">
        <v>10771476</v>
      </c>
      <c r="G227" s="3457">
        <f t="shared" si="7"/>
        <v>25038.880494665147</v>
      </c>
    </row>
    <row r="228" spans="2:7" s="3460" customFormat="1">
      <c r="B228" s="3457">
        <v>119</v>
      </c>
      <c r="C228" s="3458" t="s">
        <v>3605</v>
      </c>
      <c r="D228" s="3458" t="s">
        <v>21</v>
      </c>
      <c r="E228" s="3459">
        <v>305.82</v>
      </c>
      <c r="F228" s="3457">
        <v>7657390</v>
      </c>
      <c r="G228" s="3457">
        <f t="shared" si="7"/>
        <v>25038.879079196915</v>
      </c>
    </row>
    <row r="229" spans="2:7" s="3460" customFormat="1">
      <c r="B229" s="3457">
        <v>120</v>
      </c>
      <c r="C229" s="3458" t="s">
        <v>3606</v>
      </c>
      <c r="D229" s="3458" t="s">
        <v>21</v>
      </c>
      <c r="E229" s="3459">
        <v>430.19</v>
      </c>
      <c r="F229" s="3457">
        <v>10771476</v>
      </c>
      <c r="G229" s="3457">
        <f t="shared" si="7"/>
        <v>25038.880494665147</v>
      </c>
    </row>
    <row r="230" spans="2:7" s="3460" customFormat="1">
      <c r="B230" s="3457">
        <v>121</v>
      </c>
      <c r="C230" s="3458" t="s">
        <v>3607</v>
      </c>
      <c r="D230" s="3458" t="s">
        <v>21</v>
      </c>
      <c r="E230" s="3459">
        <v>301.49</v>
      </c>
      <c r="F230" s="3457">
        <v>7404257</v>
      </c>
      <c r="G230" s="3457">
        <f t="shared" si="7"/>
        <v>24558.880891571858</v>
      </c>
    </row>
    <row r="231" spans="2:7" s="3460" customFormat="1">
      <c r="B231" s="3457">
        <v>122</v>
      </c>
      <c r="C231" s="3458" t="s">
        <v>3608</v>
      </c>
      <c r="D231" s="3458" t="s">
        <v>21</v>
      </c>
      <c r="E231" s="3459">
        <v>430.19</v>
      </c>
      <c r="F231" s="3457">
        <v>10688880</v>
      </c>
      <c r="G231" s="3457">
        <f t="shared" si="7"/>
        <v>24846.881610451197</v>
      </c>
    </row>
    <row r="232" spans="2:7" s="3460" customFormat="1">
      <c r="B232" s="3457">
        <v>123</v>
      </c>
      <c r="C232" s="3458" t="s">
        <v>3609</v>
      </c>
      <c r="D232" s="3458" t="s">
        <v>21</v>
      </c>
      <c r="E232" s="3459">
        <v>305.82</v>
      </c>
      <c r="F232" s="3457">
        <v>7598673</v>
      </c>
      <c r="G232" s="3457">
        <f t="shared" si="7"/>
        <v>24846.880517951737</v>
      </c>
    </row>
    <row r="233" spans="2:7" s="3470" customFormat="1">
      <c r="B233" s="3467">
        <v>124</v>
      </c>
      <c r="C233" s="3468" t="s">
        <v>3610</v>
      </c>
      <c r="D233" s="3468" t="s">
        <v>3489</v>
      </c>
      <c r="E233" s="3469">
        <v>4.34</v>
      </c>
      <c r="F233" s="3467">
        <v>53955</v>
      </c>
      <c r="G233" s="3467">
        <f t="shared" si="7"/>
        <v>12432.027649769585</v>
      </c>
    </row>
    <row r="234" spans="2:7" s="3470" customFormat="1">
      <c r="B234" s="3467">
        <v>125</v>
      </c>
      <c r="C234" s="3468" t="s">
        <v>3611</v>
      </c>
      <c r="D234" s="3468" t="s">
        <v>3527</v>
      </c>
      <c r="E234" s="3469">
        <v>166.56</v>
      </c>
      <c r="F234" s="3467">
        <v>2484809</v>
      </c>
      <c r="G234" s="3467">
        <f t="shared" si="7"/>
        <v>14918.401777137367</v>
      </c>
    </row>
    <row r="235" spans="2:7" s="3470" customFormat="1">
      <c r="B235" s="3467">
        <v>126</v>
      </c>
      <c r="C235" s="3468" t="s">
        <v>3612</v>
      </c>
      <c r="D235" s="3468" t="s">
        <v>3489</v>
      </c>
      <c r="E235" s="3469">
        <v>4.34</v>
      </c>
      <c r="F235" s="3467">
        <v>53955</v>
      </c>
      <c r="G235" s="3467">
        <f t="shared" si="7"/>
        <v>12432.027649769585</v>
      </c>
    </row>
    <row r="236" spans="2:7" s="3470" customFormat="1">
      <c r="B236" s="3467">
        <v>127</v>
      </c>
      <c r="C236" s="3468" t="s">
        <v>3613</v>
      </c>
      <c r="D236" s="3468" t="s">
        <v>3489</v>
      </c>
      <c r="E236" s="3469">
        <v>3.74</v>
      </c>
      <c r="F236" s="3467">
        <v>46496</v>
      </c>
      <c r="G236" s="3467">
        <f t="shared" si="7"/>
        <v>12432.085561497326</v>
      </c>
    </row>
    <row r="237" spans="2:7" s="3470" customFormat="1">
      <c r="B237" s="3467">
        <v>128</v>
      </c>
      <c r="C237" s="3468" t="s">
        <v>3614</v>
      </c>
      <c r="D237" s="3468" t="s">
        <v>3489</v>
      </c>
      <c r="E237" s="3469">
        <v>15.79</v>
      </c>
      <c r="F237" s="3467">
        <v>196301</v>
      </c>
      <c r="G237" s="3467">
        <f t="shared" si="7"/>
        <v>12431.982267257759</v>
      </c>
    </row>
    <row r="238" spans="2:7" s="3470" customFormat="1">
      <c r="B238" s="3467">
        <v>129</v>
      </c>
      <c r="C238" s="3468" t="s">
        <v>3615</v>
      </c>
      <c r="D238" s="3468" t="s">
        <v>3489</v>
      </c>
      <c r="E238" s="3469">
        <v>13.93</v>
      </c>
      <c r="F238" s="3467">
        <v>173178</v>
      </c>
      <c r="G238" s="3467">
        <f t="shared" si="7"/>
        <v>12432.017229002155</v>
      </c>
    </row>
    <row r="239" spans="2:7" s="3470" customFormat="1">
      <c r="B239" s="3467">
        <v>130</v>
      </c>
      <c r="C239" s="3468" t="s">
        <v>3616</v>
      </c>
      <c r="D239" s="3468" t="s">
        <v>3489</v>
      </c>
      <c r="E239" s="3469">
        <v>13.93</v>
      </c>
      <c r="F239" s="3467">
        <v>173178</v>
      </c>
      <c r="G239" s="3467">
        <f t="shared" ref="G239:G302" si="8">F239/E239</f>
        <v>12432.017229002155</v>
      </c>
    </row>
    <row r="240" spans="2:7" s="3470" customFormat="1">
      <c r="B240" s="3467">
        <v>131</v>
      </c>
      <c r="C240" s="3468" t="s">
        <v>3617</v>
      </c>
      <c r="D240" s="3468" t="s">
        <v>3489</v>
      </c>
      <c r="E240" s="3469">
        <v>13.93</v>
      </c>
      <c r="F240" s="3467">
        <v>173178</v>
      </c>
      <c r="G240" s="3467">
        <f t="shared" si="8"/>
        <v>12432.017229002155</v>
      </c>
    </row>
    <row r="241" spans="2:7" s="3470" customFormat="1">
      <c r="B241" s="3467">
        <v>132</v>
      </c>
      <c r="C241" s="3468" t="s">
        <v>3618</v>
      </c>
      <c r="D241" s="3468" t="s">
        <v>3489</v>
      </c>
      <c r="E241" s="3469">
        <v>64.069999999999993</v>
      </c>
      <c r="F241" s="3467">
        <v>955822</v>
      </c>
      <c r="G241" s="3467">
        <f t="shared" si="8"/>
        <v>14918.40174808803</v>
      </c>
    </row>
    <row r="242" spans="2:7" s="3470" customFormat="1">
      <c r="B242" s="3467">
        <v>133</v>
      </c>
      <c r="C242" s="3468" t="s">
        <v>3619</v>
      </c>
      <c r="D242" s="3468" t="s">
        <v>3489</v>
      </c>
      <c r="E242" s="3469">
        <v>64.069999999999993</v>
      </c>
      <c r="F242" s="3467">
        <v>955822</v>
      </c>
      <c r="G242" s="3467">
        <f t="shared" si="8"/>
        <v>14918.40174808803</v>
      </c>
    </row>
    <row r="243" spans="2:7" s="3460" customFormat="1">
      <c r="B243" s="3457">
        <v>134</v>
      </c>
      <c r="C243" s="3458" t="s">
        <v>3620</v>
      </c>
      <c r="D243" s="3458" t="s">
        <v>21</v>
      </c>
      <c r="E243" s="3459">
        <v>319.54000000000002</v>
      </c>
      <c r="F243" s="3457">
        <v>5012410</v>
      </c>
      <c r="G243" s="3457">
        <f t="shared" si="8"/>
        <v>15686.330349877948</v>
      </c>
    </row>
    <row r="244" spans="2:7" s="3470" customFormat="1">
      <c r="B244" s="3467">
        <v>135</v>
      </c>
      <c r="C244" s="3468" t="s">
        <v>3621</v>
      </c>
      <c r="D244" s="3468" t="s">
        <v>3489</v>
      </c>
      <c r="E244" s="3469">
        <v>6.08</v>
      </c>
      <c r="F244" s="3467">
        <v>58338</v>
      </c>
      <c r="G244" s="3467">
        <f t="shared" si="8"/>
        <v>9595.0657894736833</v>
      </c>
    </row>
    <row r="245" spans="2:7" s="3477" customFormat="1">
      <c r="B245" s="3474">
        <v>136</v>
      </c>
      <c r="C245" s="3475" t="s">
        <v>3622</v>
      </c>
      <c r="D245" s="3475" t="s">
        <v>673</v>
      </c>
      <c r="E245" s="3476">
        <v>1876.37</v>
      </c>
      <c r="F245" s="3474">
        <v>38216716</v>
      </c>
      <c r="G245" s="3474">
        <f t="shared" si="8"/>
        <v>20367.366777341358</v>
      </c>
    </row>
    <row r="246" spans="2:7" s="3477" customFormat="1">
      <c r="B246" s="3474">
        <v>137</v>
      </c>
      <c r="C246" s="3475" t="s">
        <v>3623</v>
      </c>
      <c r="D246" s="3475" t="s">
        <v>673</v>
      </c>
      <c r="E246" s="3476">
        <v>1285.02</v>
      </c>
      <c r="F246" s="3474">
        <v>26172474</v>
      </c>
      <c r="G246" s="3474">
        <f t="shared" si="8"/>
        <v>20367.367044870898</v>
      </c>
    </row>
    <row r="247" spans="2:7">
      <c r="B247" s="3453">
        <v>138</v>
      </c>
      <c r="C247" s="3454" t="s">
        <v>3624</v>
      </c>
      <c r="D247" s="3454" t="s">
        <v>3625</v>
      </c>
      <c r="E247" s="3455">
        <v>41.69</v>
      </c>
      <c r="F247" s="3453">
        <v>200000</v>
      </c>
      <c r="G247" s="3453">
        <f t="shared" si="8"/>
        <v>4797.3135044375149</v>
      </c>
    </row>
    <row r="248" spans="2:7">
      <c r="B248" s="3453">
        <v>139</v>
      </c>
      <c r="C248" s="3454" t="s">
        <v>3626</v>
      </c>
      <c r="D248" s="3454" t="s">
        <v>3625</v>
      </c>
      <c r="E248" s="3455">
        <v>41.69</v>
      </c>
      <c r="F248" s="3453">
        <v>200000</v>
      </c>
      <c r="G248" s="3453">
        <f t="shared" si="8"/>
        <v>4797.3135044375149</v>
      </c>
    </row>
    <row r="249" spans="2:7">
      <c r="B249" s="3453">
        <v>140</v>
      </c>
      <c r="C249" s="3454" t="s">
        <v>3627</v>
      </c>
      <c r="D249" s="3454" t="s">
        <v>3625</v>
      </c>
      <c r="E249" s="3455">
        <v>41.69</v>
      </c>
      <c r="F249" s="3453">
        <v>200000</v>
      </c>
      <c r="G249" s="3453">
        <f t="shared" si="8"/>
        <v>4797.3135044375149</v>
      </c>
    </row>
    <row r="250" spans="2:7">
      <c r="B250" s="3453">
        <v>141</v>
      </c>
      <c r="C250" s="3454" t="s">
        <v>3628</v>
      </c>
      <c r="D250" s="3454" t="s">
        <v>3625</v>
      </c>
      <c r="E250" s="3455">
        <v>41.69</v>
      </c>
      <c r="F250" s="3453">
        <v>200000</v>
      </c>
      <c r="G250" s="3453">
        <f t="shared" si="8"/>
        <v>4797.3135044375149</v>
      </c>
    </row>
    <row r="251" spans="2:7">
      <c r="B251" s="3453">
        <v>142</v>
      </c>
      <c r="C251" s="3454" t="s">
        <v>3629</v>
      </c>
      <c r="D251" s="3454" t="s">
        <v>3625</v>
      </c>
      <c r="E251" s="3455">
        <v>41.69</v>
      </c>
      <c r="F251" s="3453">
        <v>200000</v>
      </c>
      <c r="G251" s="3453">
        <f t="shared" si="8"/>
        <v>4797.3135044375149</v>
      </c>
    </row>
    <row r="252" spans="2:7">
      <c r="B252" s="3453">
        <v>143</v>
      </c>
      <c r="C252" s="3454" t="s">
        <v>3630</v>
      </c>
      <c r="D252" s="3454" t="s">
        <v>3625</v>
      </c>
      <c r="E252" s="3455">
        <v>41.69</v>
      </c>
      <c r="F252" s="3453">
        <v>200000</v>
      </c>
      <c r="G252" s="3453">
        <f t="shared" si="8"/>
        <v>4797.3135044375149</v>
      </c>
    </row>
    <row r="253" spans="2:7">
      <c r="B253" s="3453">
        <v>144</v>
      </c>
      <c r="C253" s="3454" t="s">
        <v>3631</v>
      </c>
      <c r="D253" s="3454" t="s">
        <v>3625</v>
      </c>
      <c r="E253" s="3455">
        <v>41.69</v>
      </c>
      <c r="F253" s="3453">
        <v>200000</v>
      </c>
      <c r="G253" s="3453">
        <f t="shared" si="8"/>
        <v>4797.3135044375149</v>
      </c>
    </row>
    <row r="254" spans="2:7">
      <c r="B254" s="3453">
        <v>145</v>
      </c>
      <c r="C254" s="3454" t="s">
        <v>3632</v>
      </c>
      <c r="D254" s="3454" t="s">
        <v>3625</v>
      </c>
      <c r="E254" s="3455">
        <v>41.69</v>
      </c>
      <c r="F254" s="3453">
        <v>200000</v>
      </c>
      <c r="G254" s="3453">
        <f t="shared" si="8"/>
        <v>4797.3135044375149</v>
      </c>
    </row>
    <row r="255" spans="2:7">
      <c r="B255" s="3453">
        <v>146</v>
      </c>
      <c r="C255" s="3454" t="s">
        <v>3633</v>
      </c>
      <c r="D255" s="3454" t="s">
        <v>3625</v>
      </c>
      <c r="E255" s="3455">
        <v>41.69</v>
      </c>
      <c r="F255" s="3453">
        <v>200000</v>
      </c>
      <c r="G255" s="3453">
        <f t="shared" si="8"/>
        <v>4797.3135044375149</v>
      </c>
    </row>
    <row r="256" spans="2:7">
      <c r="B256" s="3453">
        <v>147</v>
      </c>
      <c r="C256" s="3454" t="s">
        <v>3634</v>
      </c>
      <c r="D256" s="3454" t="s">
        <v>3625</v>
      </c>
      <c r="E256" s="3455">
        <v>41.69</v>
      </c>
      <c r="F256" s="3453">
        <v>200000</v>
      </c>
      <c r="G256" s="3453">
        <f t="shared" si="8"/>
        <v>4797.3135044375149</v>
      </c>
    </row>
    <row r="257" spans="2:7" s="3460" customFormat="1">
      <c r="B257" s="3457">
        <v>148</v>
      </c>
      <c r="C257" s="3458" t="s">
        <v>3635</v>
      </c>
      <c r="D257" s="3458" t="s">
        <v>21</v>
      </c>
      <c r="E257" s="3459">
        <v>285.58</v>
      </c>
      <c r="F257" s="3457">
        <v>4671374</v>
      </c>
      <c r="G257" s="3457">
        <f t="shared" si="8"/>
        <v>16357.497023601094</v>
      </c>
    </row>
    <row r="258" spans="2:7" s="3460" customFormat="1">
      <c r="B258" s="3457">
        <v>149</v>
      </c>
      <c r="C258" s="3458" t="s">
        <v>3636</v>
      </c>
      <c r="D258" s="3458" t="s">
        <v>21</v>
      </c>
      <c r="E258" s="3459">
        <v>319.54000000000002</v>
      </c>
      <c r="F258" s="3457">
        <v>4975169</v>
      </c>
      <c r="G258" s="3457">
        <f t="shared" si="8"/>
        <v>15569.784690492583</v>
      </c>
    </row>
    <row r="259" spans="2:7" s="3470" customFormat="1">
      <c r="B259" s="3467">
        <v>150</v>
      </c>
      <c r="C259" s="3468" t="s">
        <v>3637</v>
      </c>
      <c r="D259" s="3468" t="s">
        <v>3489</v>
      </c>
      <c r="E259" s="3469">
        <v>63.29</v>
      </c>
      <c r="F259" s="3467">
        <v>683532</v>
      </c>
      <c r="G259" s="3467">
        <f t="shared" si="8"/>
        <v>10800</v>
      </c>
    </row>
    <row r="260" spans="2:7" s="3460" customFormat="1">
      <c r="B260" s="3457">
        <v>151</v>
      </c>
      <c r="C260" s="3458" t="s">
        <v>3638</v>
      </c>
      <c r="D260" s="3458" t="s">
        <v>21</v>
      </c>
      <c r="E260" s="3459">
        <v>741.35</v>
      </c>
      <c r="F260" s="3457">
        <v>13929913</v>
      </c>
      <c r="G260" s="3457">
        <f t="shared" si="8"/>
        <v>18789.92783435624</v>
      </c>
    </row>
    <row r="261" spans="2:7" s="3460" customFormat="1">
      <c r="B261" s="3457">
        <v>152</v>
      </c>
      <c r="C261" s="3458" t="s">
        <v>3639</v>
      </c>
      <c r="D261" s="3458" t="s">
        <v>21</v>
      </c>
      <c r="E261" s="3459">
        <v>748.74</v>
      </c>
      <c r="F261" s="3457">
        <v>14172657</v>
      </c>
      <c r="G261" s="3457">
        <f t="shared" si="8"/>
        <v>18928.676175975637</v>
      </c>
    </row>
    <row r="262" spans="2:7" s="3460" customFormat="1">
      <c r="B262" s="3457">
        <v>153</v>
      </c>
      <c r="C262" s="3458" t="s">
        <v>3640</v>
      </c>
      <c r="D262" s="3458" t="s">
        <v>21</v>
      </c>
      <c r="E262" s="3459">
        <v>741.35</v>
      </c>
      <c r="F262" s="3457">
        <v>13929913</v>
      </c>
      <c r="G262" s="3457">
        <f t="shared" si="8"/>
        <v>18789.92783435624</v>
      </c>
    </row>
    <row r="263" spans="2:7" s="3460" customFormat="1">
      <c r="B263" s="3457">
        <v>154</v>
      </c>
      <c r="C263" s="3458" t="s">
        <v>3641</v>
      </c>
      <c r="D263" s="3458" t="s">
        <v>21</v>
      </c>
      <c r="E263" s="3459">
        <v>748.74</v>
      </c>
      <c r="F263" s="3457">
        <v>14120714</v>
      </c>
      <c r="G263" s="3457">
        <f t="shared" si="8"/>
        <v>18859.302294521462</v>
      </c>
    </row>
    <row r="264" spans="2:7" s="3470" customFormat="1">
      <c r="B264" s="3467">
        <v>155</v>
      </c>
      <c r="C264" s="3468" t="s">
        <v>3642</v>
      </c>
      <c r="D264" s="3468" t="s">
        <v>3489</v>
      </c>
      <c r="E264" s="3469">
        <v>4.7300000000000004</v>
      </c>
      <c r="F264" s="3467">
        <v>44588</v>
      </c>
      <c r="G264" s="3467">
        <f t="shared" si="8"/>
        <v>9426.6384778012671</v>
      </c>
    </row>
    <row r="265" spans="2:7" s="3470" customFormat="1">
      <c r="B265" s="3467">
        <v>156</v>
      </c>
      <c r="C265" s="3468" t="s">
        <v>3643</v>
      </c>
      <c r="D265" s="3468" t="s">
        <v>3527</v>
      </c>
      <c r="E265" s="3469">
        <v>66.55</v>
      </c>
      <c r="F265" s="3467">
        <v>752815</v>
      </c>
      <c r="G265" s="3467">
        <f t="shared" si="8"/>
        <v>11312.021036814425</v>
      </c>
    </row>
    <row r="266" spans="2:7" s="3470" customFormat="1">
      <c r="B266" s="3467">
        <v>157</v>
      </c>
      <c r="C266" s="3468" t="s">
        <v>3644</v>
      </c>
      <c r="D266" s="3468" t="s">
        <v>3489</v>
      </c>
      <c r="E266" s="3469">
        <v>4.7300000000000004</v>
      </c>
      <c r="F266" s="3467">
        <v>44588</v>
      </c>
      <c r="G266" s="3467">
        <f t="shared" si="8"/>
        <v>9426.6384778012671</v>
      </c>
    </row>
    <row r="267" spans="2:7" s="3470" customFormat="1">
      <c r="B267" s="3467">
        <v>158</v>
      </c>
      <c r="C267" s="3468" t="s">
        <v>3645</v>
      </c>
      <c r="D267" s="3468" t="s">
        <v>3489</v>
      </c>
      <c r="E267" s="3469">
        <v>16.68</v>
      </c>
      <c r="F267" s="3467">
        <v>157238</v>
      </c>
      <c r="G267" s="3467">
        <f t="shared" si="8"/>
        <v>9426.73860911271</v>
      </c>
    </row>
    <row r="268" spans="2:7" s="3460" customFormat="1">
      <c r="B268" s="3457">
        <v>159</v>
      </c>
      <c r="C268" s="3458" t="s">
        <v>3646</v>
      </c>
      <c r="D268" s="3458" t="s">
        <v>21</v>
      </c>
      <c r="E268" s="3459">
        <v>322.74</v>
      </c>
      <c r="F268" s="3457">
        <v>5723015</v>
      </c>
      <c r="G268" s="3457">
        <f t="shared" si="8"/>
        <v>17732.586602218504</v>
      </c>
    </row>
    <row r="269" spans="2:7" s="3460" customFormat="1">
      <c r="B269" s="3457">
        <v>160</v>
      </c>
      <c r="C269" s="3458" t="s">
        <v>3647</v>
      </c>
      <c r="D269" s="3458" t="s">
        <v>21</v>
      </c>
      <c r="E269" s="3459">
        <v>285.58</v>
      </c>
      <c r="F269" s="3457">
        <v>4854860</v>
      </c>
      <c r="G269" s="3457">
        <f t="shared" si="8"/>
        <v>17000</v>
      </c>
    </row>
    <row r="270" spans="2:7" s="3460" customFormat="1">
      <c r="B270" s="3457">
        <v>161</v>
      </c>
      <c r="C270" s="3458" t="s">
        <v>3648</v>
      </c>
      <c r="D270" s="3458" t="s">
        <v>21</v>
      </c>
      <c r="E270" s="3459">
        <v>330.63</v>
      </c>
      <c r="F270" s="3457">
        <v>6381556</v>
      </c>
      <c r="G270" s="3457">
        <f t="shared" si="8"/>
        <v>19301.200737985058</v>
      </c>
    </row>
    <row r="271" spans="2:7" s="3460" customFormat="1">
      <c r="B271" s="3457">
        <v>162</v>
      </c>
      <c r="C271" s="3458" t="s">
        <v>3649</v>
      </c>
      <c r="D271" s="3458" t="s">
        <v>21</v>
      </c>
      <c r="E271" s="3459">
        <v>194.19</v>
      </c>
      <c r="F271" s="3457">
        <v>3599590</v>
      </c>
      <c r="G271" s="3457">
        <f t="shared" si="8"/>
        <v>18536.433389978887</v>
      </c>
    </row>
    <row r="272" spans="2:7" s="3460" customFormat="1">
      <c r="B272" s="3457">
        <v>163</v>
      </c>
      <c r="C272" s="3458" t="s">
        <v>3650</v>
      </c>
      <c r="D272" s="3458" t="s">
        <v>21</v>
      </c>
      <c r="E272" s="3459">
        <v>292.3</v>
      </c>
      <c r="F272" s="3457">
        <v>5764402</v>
      </c>
      <c r="G272" s="3457">
        <f t="shared" si="8"/>
        <v>19720.841601094766</v>
      </c>
    </row>
    <row r="273" spans="2:7" s="3460" customFormat="1">
      <c r="B273" s="3457">
        <v>164</v>
      </c>
      <c r="C273" s="3458" t="s">
        <v>3651</v>
      </c>
      <c r="D273" s="3458" t="s">
        <v>21</v>
      </c>
      <c r="E273" s="3459">
        <v>330.63</v>
      </c>
      <c r="F273" s="3457">
        <v>6672392</v>
      </c>
      <c r="G273" s="3457">
        <f t="shared" si="8"/>
        <v>20180.842633759792</v>
      </c>
    </row>
    <row r="274" spans="2:7" s="3460" customFormat="1">
      <c r="B274" s="3457">
        <v>165</v>
      </c>
      <c r="C274" s="3458" t="s">
        <v>3652</v>
      </c>
      <c r="D274" s="3458" t="s">
        <v>21</v>
      </c>
      <c r="E274" s="3459">
        <v>298.74</v>
      </c>
      <c r="F274" s="3457">
        <v>6028825</v>
      </c>
      <c r="G274" s="3457">
        <f t="shared" si="8"/>
        <v>20180.84287340162</v>
      </c>
    </row>
    <row r="275" spans="2:7" s="3460" customFormat="1">
      <c r="B275" s="3457">
        <v>166</v>
      </c>
      <c r="C275" s="3458" t="s">
        <v>3653</v>
      </c>
      <c r="D275" s="3458" t="s">
        <v>21</v>
      </c>
      <c r="E275" s="3459">
        <v>330.63</v>
      </c>
      <c r="F275" s="3457">
        <v>6672392</v>
      </c>
      <c r="G275" s="3457">
        <f t="shared" si="8"/>
        <v>20180.842633759792</v>
      </c>
    </row>
    <row r="276" spans="2:7" s="3460" customFormat="1">
      <c r="B276" s="3457">
        <v>167</v>
      </c>
      <c r="C276" s="3458" t="s">
        <v>3654</v>
      </c>
      <c r="D276" s="3458" t="s">
        <v>21</v>
      </c>
      <c r="E276" s="3459">
        <v>194.19</v>
      </c>
      <c r="F276" s="3457">
        <v>3829590</v>
      </c>
      <c r="G276" s="3457">
        <f t="shared" si="8"/>
        <v>19720.840414027498</v>
      </c>
    </row>
    <row r="277" spans="2:7" s="3460" customFormat="1">
      <c r="B277" s="3457">
        <v>168</v>
      </c>
      <c r="C277" s="3458" t="s">
        <v>3655</v>
      </c>
      <c r="D277" s="3458" t="s">
        <v>21</v>
      </c>
      <c r="E277" s="3459">
        <v>292.3</v>
      </c>
      <c r="F277" s="3457">
        <v>5764402</v>
      </c>
      <c r="G277" s="3457">
        <f t="shared" si="8"/>
        <v>19720.841601094766</v>
      </c>
    </row>
    <row r="278" spans="2:7" s="3460" customFormat="1">
      <c r="B278" s="3457">
        <v>169</v>
      </c>
      <c r="C278" s="3458" t="s">
        <v>3656</v>
      </c>
      <c r="D278" s="3458" t="s">
        <v>21</v>
      </c>
      <c r="E278" s="3459">
        <v>330.63</v>
      </c>
      <c r="F278" s="3457">
        <v>6611556</v>
      </c>
      <c r="G278" s="3457">
        <f t="shared" si="8"/>
        <v>19996.842391797476</v>
      </c>
    </row>
    <row r="279" spans="2:7" s="3460" customFormat="1">
      <c r="B279" s="3457">
        <v>170</v>
      </c>
      <c r="C279" s="3458" t="s">
        <v>3657</v>
      </c>
      <c r="D279" s="3458" t="s">
        <v>21</v>
      </c>
      <c r="E279" s="3459">
        <v>298.74</v>
      </c>
      <c r="F279" s="3457">
        <v>5973857</v>
      </c>
      <c r="G279" s="3457">
        <f t="shared" si="8"/>
        <v>19996.843408984401</v>
      </c>
    </row>
    <row r="280" spans="2:7" s="3470" customFormat="1">
      <c r="B280" s="3467">
        <v>171</v>
      </c>
      <c r="C280" s="3468" t="s">
        <v>3658</v>
      </c>
      <c r="D280" s="3468" t="s">
        <v>3489</v>
      </c>
      <c r="E280" s="3469">
        <v>5.58</v>
      </c>
      <c r="F280" s="3467">
        <v>57516</v>
      </c>
      <c r="G280" s="3467">
        <f t="shared" si="8"/>
        <v>10307.526881720431</v>
      </c>
    </row>
    <row r="281" spans="2:7" s="3470" customFormat="1">
      <c r="B281" s="3467">
        <v>172</v>
      </c>
      <c r="C281" s="3468" t="s">
        <v>3659</v>
      </c>
      <c r="D281" s="3468" t="s">
        <v>3489</v>
      </c>
      <c r="E281" s="3469">
        <v>8.61</v>
      </c>
      <c r="F281" s="3467">
        <v>88748</v>
      </c>
      <c r="G281" s="3467">
        <f t="shared" si="8"/>
        <v>10307.549361207899</v>
      </c>
    </row>
    <row r="282" spans="2:7" s="3470" customFormat="1">
      <c r="B282" s="3467">
        <v>173</v>
      </c>
      <c r="C282" s="3468" t="s">
        <v>3660</v>
      </c>
      <c r="D282" s="3468" t="s">
        <v>3489</v>
      </c>
      <c r="E282" s="3469">
        <v>5.58</v>
      </c>
      <c r="F282" s="3467">
        <v>57516</v>
      </c>
      <c r="G282" s="3467">
        <f t="shared" si="8"/>
        <v>10307.526881720431</v>
      </c>
    </row>
    <row r="283" spans="2:7" s="3470" customFormat="1">
      <c r="B283" s="3467">
        <v>174</v>
      </c>
      <c r="C283" s="3468" t="s">
        <v>3661</v>
      </c>
      <c r="D283" s="3468" t="s">
        <v>3527</v>
      </c>
      <c r="E283" s="3469">
        <v>16.52</v>
      </c>
      <c r="F283" s="3467">
        <v>204336</v>
      </c>
      <c r="G283" s="3467">
        <f t="shared" si="8"/>
        <v>12369.007263922518</v>
      </c>
    </row>
    <row r="284" spans="2:7" s="3470" customFormat="1">
      <c r="B284" s="3467">
        <v>175</v>
      </c>
      <c r="C284" s="3468" t="s">
        <v>3662</v>
      </c>
      <c r="D284" s="3468" t="s">
        <v>3527</v>
      </c>
      <c r="E284" s="3469">
        <v>72.260000000000005</v>
      </c>
      <c r="F284" s="3467">
        <v>893784</v>
      </c>
      <c r="G284" s="3467">
        <f t="shared" si="8"/>
        <v>12369.0008303349</v>
      </c>
    </row>
    <row r="285" spans="2:7" s="3460" customFormat="1">
      <c r="B285" s="3457">
        <v>176</v>
      </c>
      <c r="C285" s="3458" t="s">
        <v>3663</v>
      </c>
      <c r="D285" s="3458" t="s">
        <v>21</v>
      </c>
      <c r="E285" s="3459">
        <v>285.58</v>
      </c>
      <c r="F285" s="3457">
        <v>5046807</v>
      </c>
      <c r="G285" s="3457">
        <f t="shared" si="8"/>
        <v>17672.130401288607</v>
      </c>
    </row>
    <row r="286" spans="2:7">
      <c r="B286" s="3453">
        <v>177</v>
      </c>
      <c r="C286" s="3454" t="s">
        <v>3664</v>
      </c>
      <c r="D286" s="3454" t="s">
        <v>3625</v>
      </c>
      <c r="E286" s="3455">
        <v>41.69</v>
      </c>
      <c r="F286" s="3453">
        <v>230000</v>
      </c>
      <c r="G286" s="3453">
        <f t="shared" si="8"/>
        <v>5516.9105301031423</v>
      </c>
    </row>
    <row r="287" spans="2:7">
      <c r="B287" s="3453">
        <v>178</v>
      </c>
      <c r="C287" s="3454" t="s">
        <v>3665</v>
      </c>
      <c r="D287" s="3454" t="s">
        <v>3625</v>
      </c>
      <c r="E287" s="3455">
        <v>41.69</v>
      </c>
      <c r="F287" s="3453">
        <v>230000</v>
      </c>
      <c r="G287" s="3453">
        <f t="shared" si="8"/>
        <v>5516.9105301031423</v>
      </c>
    </row>
    <row r="288" spans="2:7">
      <c r="B288" s="3453">
        <v>179</v>
      </c>
      <c r="C288" s="3454" t="s">
        <v>3666</v>
      </c>
      <c r="D288" s="3454" t="s">
        <v>3625</v>
      </c>
      <c r="E288" s="3455">
        <v>41.69</v>
      </c>
      <c r="F288" s="3453">
        <v>230000</v>
      </c>
      <c r="G288" s="3453">
        <f t="shared" si="8"/>
        <v>5516.9105301031423</v>
      </c>
    </row>
    <row r="289" spans="2:7">
      <c r="B289" s="3453">
        <v>180</v>
      </c>
      <c r="C289" s="3454" t="s">
        <v>3667</v>
      </c>
      <c r="D289" s="3454" t="s">
        <v>3625</v>
      </c>
      <c r="E289" s="3455">
        <v>41.69</v>
      </c>
      <c r="F289" s="3453">
        <v>230000</v>
      </c>
      <c r="G289" s="3453">
        <f t="shared" si="8"/>
        <v>5516.9105301031423</v>
      </c>
    </row>
    <row r="290" spans="2:7">
      <c r="B290" s="3453">
        <v>181</v>
      </c>
      <c r="C290" s="3454" t="s">
        <v>3668</v>
      </c>
      <c r="D290" s="3454" t="s">
        <v>3625</v>
      </c>
      <c r="E290" s="3455">
        <v>41.69</v>
      </c>
      <c r="F290" s="3453">
        <v>230000</v>
      </c>
      <c r="G290" s="3453">
        <f t="shared" si="8"/>
        <v>5516.9105301031423</v>
      </c>
    </row>
    <row r="291" spans="2:7">
      <c r="B291" s="3453">
        <v>182</v>
      </c>
      <c r="C291" s="3454" t="s">
        <v>3669</v>
      </c>
      <c r="D291" s="3454" t="s">
        <v>3625</v>
      </c>
      <c r="E291" s="3455">
        <v>41.69</v>
      </c>
      <c r="F291" s="3453">
        <v>230000</v>
      </c>
      <c r="G291" s="3453">
        <f t="shared" si="8"/>
        <v>5516.9105301031423</v>
      </c>
    </row>
    <row r="292" spans="2:7">
      <c r="B292" s="3453">
        <v>183</v>
      </c>
      <c r="C292" s="3454" t="s">
        <v>3670</v>
      </c>
      <c r="D292" s="3454" t="s">
        <v>3625</v>
      </c>
      <c r="E292" s="3455">
        <v>41.69</v>
      </c>
      <c r="F292" s="3453">
        <v>230000</v>
      </c>
      <c r="G292" s="3453">
        <f t="shared" si="8"/>
        <v>5516.9105301031423</v>
      </c>
    </row>
    <row r="293" spans="2:7">
      <c r="B293" s="3453">
        <v>184</v>
      </c>
      <c r="C293" s="3454" t="s">
        <v>3671</v>
      </c>
      <c r="D293" s="3454" t="s">
        <v>3625</v>
      </c>
      <c r="E293" s="3455">
        <v>41.69</v>
      </c>
      <c r="F293" s="3453">
        <v>230000</v>
      </c>
      <c r="G293" s="3453">
        <f t="shared" si="8"/>
        <v>5516.9105301031423</v>
      </c>
    </row>
    <row r="294" spans="2:7">
      <c r="B294" s="3453">
        <v>185</v>
      </c>
      <c r="C294" s="3454" t="s">
        <v>3672</v>
      </c>
      <c r="D294" s="3454" t="s">
        <v>3625</v>
      </c>
      <c r="E294" s="3455">
        <v>41.69</v>
      </c>
      <c r="F294" s="3453">
        <v>230000</v>
      </c>
      <c r="G294" s="3453">
        <f t="shared" si="8"/>
        <v>5516.9105301031423</v>
      </c>
    </row>
    <row r="295" spans="2:7">
      <c r="B295" s="3453">
        <v>186</v>
      </c>
      <c r="C295" s="3454" t="s">
        <v>3673</v>
      </c>
      <c r="D295" s="3454" t="s">
        <v>3625</v>
      </c>
      <c r="E295" s="3455">
        <v>41.69</v>
      </c>
      <c r="F295" s="3453">
        <v>230000</v>
      </c>
      <c r="G295" s="3453">
        <f t="shared" si="8"/>
        <v>5516.9105301031423</v>
      </c>
    </row>
    <row r="296" spans="2:7">
      <c r="B296" s="3453">
        <v>187</v>
      </c>
      <c r="C296" s="3454" t="s">
        <v>3674</v>
      </c>
      <c r="D296" s="3454" t="s">
        <v>3625</v>
      </c>
      <c r="E296" s="3455">
        <v>41.69</v>
      </c>
      <c r="F296" s="3453">
        <v>230000</v>
      </c>
      <c r="G296" s="3453">
        <f t="shared" si="8"/>
        <v>5516.9105301031423</v>
      </c>
    </row>
    <row r="297" spans="2:7">
      <c r="B297" s="3453">
        <v>188</v>
      </c>
      <c r="C297" s="3454" t="s">
        <v>3675</v>
      </c>
      <c r="D297" s="3454" t="s">
        <v>3625</v>
      </c>
      <c r="E297" s="3455">
        <v>41.69</v>
      </c>
      <c r="F297" s="3453">
        <v>230000</v>
      </c>
      <c r="G297" s="3453">
        <f t="shared" si="8"/>
        <v>5516.9105301031423</v>
      </c>
    </row>
    <row r="298" spans="2:7">
      <c r="B298" s="3453">
        <v>189</v>
      </c>
      <c r="C298" s="3454" t="s">
        <v>3676</v>
      </c>
      <c r="D298" s="3454" t="s">
        <v>3625</v>
      </c>
      <c r="E298" s="3455">
        <v>41.69</v>
      </c>
      <c r="F298" s="3453">
        <v>230000</v>
      </c>
      <c r="G298" s="3453">
        <f t="shared" si="8"/>
        <v>5516.9105301031423</v>
      </c>
    </row>
    <row r="299" spans="2:7">
      <c r="B299" s="3453">
        <v>190</v>
      </c>
      <c r="C299" s="3454" t="s">
        <v>3677</v>
      </c>
      <c r="D299" s="3454" t="s">
        <v>3625</v>
      </c>
      <c r="E299" s="3455">
        <v>41.69</v>
      </c>
      <c r="F299" s="3453">
        <v>230000</v>
      </c>
      <c r="G299" s="3453">
        <f t="shared" si="8"/>
        <v>5516.9105301031423</v>
      </c>
    </row>
    <row r="300" spans="2:7">
      <c r="B300" s="3453">
        <v>191</v>
      </c>
      <c r="C300" s="3454" t="s">
        <v>3678</v>
      </c>
      <c r="D300" s="3454" t="s">
        <v>3625</v>
      </c>
      <c r="E300" s="3455">
        <v>41.69</v>
      </c>
      <c r="F300" s="3453">
        <v>230000</v>
      </c>
      <c r="G300" s="3453">
        <f t="shared" si="8"/>
        <v>5516.9105301031423</v>
      </c>
    </row>
    <row r="301" spans="2:7">
      <c r="B301" s="3453">
        <v>192</v>
      </c>
      <c r="C301" s="3454" t="s">
        <v>3679</v>
      </c>
      <c r="D301" s="3454" t="s">
        <v>3625</v>
      </c>
      <c r="E301" s="3455">
        <v>41.69</v>
      </c>
      <c r="F301" s="3453">
        <v>230000</v>
      </c>
      <c r="G301" s="3453">
        <f t="shared" si="8"/>
        <v>5516.9105301031423</v>
      </c>
    </row>
    <row r="302" spans="2:7">
      <c r="B302" s="3453">
        <v>193</v>
      </c>
      <c r="C302" s="3454" t="s">
        <v>3680</v>
      </c>
      <c r="D302" s="3454" t="s">
        <v>3625</v>
      </c>
      <c r="E302" s="3455">
        <v>41.69</v>
      </c>
      <c r="F302" s="3453">
        <v>230000</v>
      </c>
      <c r="G302" s="3453">
        <f t="shared" si="8"/>
        <v>5516.9105301031423</v>
      </c>
    </row>
    <row r="303" spans="2:7">
      <c r="B303" s="3453">
        <v>194</v>
      </c>
      <c r="C303" s="3454" t="s">
        <v>3681</v>
      </c>
      <c r="D303" s="3454" t="s">
        <v>3625</v>
      </c>
      <c r="E303" s="3455">
        <v>41.69</v>
      </c>
      <c r="F303" s="3453">
        <v>230000</v>
      </c>
      <c r="G303" s="3453">
        <f t="shared" ref="G303:G366" si="9">F303/E303</f>
        <v>5516.9105301031423</v>
      </c>
    </row>
    <row r="304" spans="2:7">
      <c r="B304" s="3453">
        <v>195</v>
      </c>
      <c r="C304" s="3454" t="s">
        <v>3682</v>
      </c>
      <c r="D304" s="3454" t="s">
        <v>3625</v>
      </c>
      <c r="E304" s="3455">
        <v>41.69</v>
      </c>
      <c r="F304" s="3453">
        <v>230000</v>
      </c>
      <c r="G304" s="3453">
        <f t="shared" si="9"/>
        <v>5516.9105301031423</v>
      </c>
    </row>
    <row r="305" spans="2:7">
      <c r="B305" s="3453">
        <v>196</v>
      </c>
      <c r="C305" s="3454" t="s">
        <v>3683</v>
      </c>
      <c r="D305" s="3454" t="s">
        <v>3625</v>
      </c>
      <c r="E305" s="3455">
        <v>41.69</v>
      </c>
      <c r="F305" s="3453">
        <v>230000</v>
      </c>
      <c r="G305" s="3453">
        <f t="shared" si="9"/>
        <v>5516.9105301031423</v>
      </c>
    </row>
    <row r="306" spans="2:7">
      <c r="B306" s="3453">
        <v>197</v>
      </c>
      <c r="C306" s="3454" t="s">
        <v>3684</v>
      </c>
      <c r="D306" s="3454" t="s">
        <v>3625</v>
      </c>
      <c r="E306" s="3455">
        <v>41.69</v>
      </c>
      <c r="F306" s="3453">
        <v>230000</v>
      </c>
      <c r="G306" s="3453">
        <f t="shared" si="9"/>
        <v>5516.9105301031423</v>
      </c>
    </row>
    <row r="307" spans="2:7">
      <c r="B307" s="3453">
        <v>198</v>
      </c>
      <c r="C307" s="3454" t="s">
        <v>3685</v>
      </c>
      <c r="D307" s="3454" t="s">
        <v>3625</v>
      </c>
      <c r="E307" s="3455">
        <v>41.69</v>
      </c>
      <c r="F307" s="3453">
        <v>240000</v>
      </c>
      <c r="G307" s="3453">
        <f t="shared" si="9"/>
        <v>5756.7762053250181</v>
      </c>
    </row>
    <row r="308" spans="2:7">
      <c r="B308" s="3453">
        <v>199</v>
      </c>
      <c r="C308" s="3454" t="s">
        <v>3686</v>
      </c>
      <c r="D308" s="3454" t="s">
        <v>3625</v>
      </c>
      <c r="E308" s="3455">
        <v>41.69</v>
      </c>
      <c r="F308" s="3453">
        <v>230000</v>
      </c>
      <c r="G308" s="3453">
        <f t="shared" si="9"/>
        <v>5516.9105301031423</v>
      </c>
    </row>
    <row r="309" spans="2:7">
      <c r="B309" s="3453">
        <v>200</v>
      </c>
      <c r="C309" s="3454" t="s">
        <v>3687</v>
      </c>
      <c r="D309" s="3454" t="s">
        <v>3625</v>
      </c>
      <c r="E309" s="3455">
        <v>41.69</v>
      </c>
      <c r="F309" s="3453">
        <v>230000</v>
      </c>
      <c r="G309" s="3453">
        <f t="shared" si="9"/>
        <v>5516.9105301031423</v>
      </c>
    </row>
    <row r="310" spans="2:7">
      <c r="B310" s="3453">
        <v>201</v>
      </c>
      <c r="C310" s="3454" t="s">
        <v>3688</v>
      </c>
      <c r="D310" s="3454" t="s">
        <v>3625</v>
      </c>
      <c r="E310" s="3455">
        <v>41.69</v>
      </c>
      <c r="F310" s="3453">
        <v>230000</v>
      </c>
      <c r="G310" s="3453">
        <f t="shared" si="9"/>
        <v>5516.9105301031423</v>
      </c>
    </row>
    <row r="311" spans="2:7">
      <c r="B311" s="3453">
        <v>202</v>
      </c>
      <c r="C311" s="3454" t="s">
        <v>3689</v>
      </c>
      <c r="D311" s="3454" t="s">
        <v>3625</v>
      </c>
      <c r="E311" s="3455">
        <v>41.69</v>
      </c>
      <c r="F311" s="3453">
        <v>230000</v>
      </c>
      <c r="G311" s="3453">
        <f t="shared" si="9"/>
        <v>5516.9105301031423</v>
      </c>
    </row>
    <row r="312" spans="2:7">
      <c r="B312" s="3453">
        <v>203</v>
      </c>
      <c r="C312" s="3454" t="s">
        <v>3690</v>
      </c>
      <c r="D312" s="3454" t="s">
        <v>3625</v>
      </c>
      <c r="E312" s="3455">
        <v>41.69</v>
      </c>
      <c r="F312" s="3453">
        <v>230000</v>
      </c>
      <c r="G312" s="3453">
        <f t="shared" si="9"/>
        <v>5516.9105301031423</v>
      </c>
    </row>
    <row r="313" spans="2:7">
      <c r="B313" s="3453">
        <v>204</v>
      </c>
      <c r="C313" s="3454" t="s">
        <v>3691</v>
      </c>
      <c r="D313" s="3454" t="s">
        <v>3625</v>
      </c>
      <c r="E313" s="3455">
        <v>41.69</v>
      </c>
      <c r="F313" s="3453">
        <v>230000</v>
      </c>
      <c r="G313" s="3453">
        <f t="shared" si="9"/>
        <v>5516.9105301031423</v>
      </c>
    </row>
    <row r="314" spans="2:7">
      <c r="B314" s="3453">
        <v>205</v>
      </c>
      <c r="C314" s="3454" t="s">
        <v>3692</v>
      </c>
      <c r="D314" s="3454" t="s">
        <v>3625</v>
      </c>
      <c r="E314" s="3455">
        <v>41.69</v>
      </c>
      <c r="F314" s="3453">
        <v>230000</v>
      </c>
      <c r="G314" s="3453">
        <f t="shared" si="9"/>
        <v>5516.9105301031423</v>
      </c>
    </row>
    <row r="315" spans="2:7">
      <c r="B315" s="3453">
        <v>206</v>
      </c>
      <c r="C315" s="3454" t="s">
        <v>3693</v>
      </c>
      <c r="D315" s="3454" t="s">
        <v>3625</v>
      </c>
      <c r="E315" s="3455">
        <v>41.69</v>
      </c>
      <c r="F315" s="3453">
        <v>230000</v>
      </c>
      <c r="G315" s="3453">
        <f t="shared" si="9"/>
        <v>5516.9105301031423</v>
      </c>
    </row>
    <row r="316" spans="2:7">
      <c r="B316" s="3453">
        <v>207</v>
      </c>
      <c r="C316" s="3454" t="s">
        <v>3694</v>
      </c>
      <c r="D316" s="3454" t="s">
        <v>3625</v>
      </c>
      <c r="E316" s="3455">
        <v>41.69</v>
      </c>
      <c r="F316" s="3453">
        <v>230000</v>
      </c>
      <c r="G316" s="3453">
        <f t="shared" si="9"/>
        <v>5516.9105301031423</v>
      </c>
    </row>
    <row r="317" spans="2:7">
      <c r="B317" s="3453">
        <v>208</v>
      </c>
      <c r="C317" s="3454" t="s">
        <v>3695</v>
      </c>
      <c r="D317" s="3454" t="s">
        <v>3625</v>
      </c>
      <c r="E317" s="3455">
        <v>41.69</v>
      </c>
      <c r="F317" s="3453">
        <v>220000</v>
      </c>
      <c r="G317" s="3453">
        <f t="shared" si="9"/>
        <v>5277.0448548812665</v>
      </c>
    </row>
    <row r="318" spans="2:7">
      <c r="B318" s="3453">
        <v>209</v>
      </c>
      <c r="C318" s="3454" t="s">
        <v>3696</v>
      </c>
      <c r="D318" s="3454" t="s">
        <v>3625</v>
      </c>
      <c r="E318" s="3455">
        <v>41.69</v>
      </c>
      <c r="F318" s="3453">
        <v>220000</v>
      </c>
      <c r="G318" s="3453">
        <f t="shared" si="9"/>
        <v>5277.0448548812665</v>
      </c>
    </row>
    <row r="319" spans="2:7">
      <c r="B319" s="3453">
        <v>210</v>
      </c>
      <c r="C319" s="3454" t="s">
        <v>3697</v>
      </c>
      <c r="D319" s="3454" t="s">
        <v>3625</v>
      </c>
      <c r="E319" s="3455">
        <v>41.69</v>
      </c>
      <c r="F319" s="3453">
        <v>230000</v>
      </c>
      <c r="G319" s="3453">
        <f t="shared" si="9"/>
        <v>5516.9105301031423</v>
      </c>
    </row>
    <row r="320" spans="2:7">
      <c r="B320" s="3453">
        <v>211</v>
      </c>
      <c r="C320" s="3454" t="s">
        <v>3698</v>
      </c>
      <c r="D320" s="3454" t="s">
        <v>3625</v>
      </c>
      <c r="E320" s="3455">
        <v>41.69</v>
      </c>
      <c r="F320" s="3453">
        <v>220000</v>
      </c>
      <c r="G320" s="3453">
        <f t="shared" si="9"/>
        <v>5277.0448548812665</v>
      </c>
    </row>
    <row r="321" spans="2:7">
      <c r="B321" s="3453">
        <v>212</v>
      </c>
      <c r="C321" s="3454" t="s">
        <v>3699</v>
      </c>
      <c r="D321" s="3454" t="s">
        <v>3625</v>
      </c>
      <c r="E321" s="3455">
        <v>41.69</v>
      </c>
      <c r="F321" s="3453">
        <v>220000</v>
      </c>
      <c r="G321" s="3453">
        <f t="shared" si="9"/>
        <v>5277.0448548812665</v>
      </c>
    </row>
    <row r="322" spans="2:7">
      <c r="B322" s="3453">
        <v>213</v>
      </c>
      <c r="C322" s="3454" t="s">
        <v>3700</v>
      </c>
      <c r="D322" s="3454" t="s">
        <v>3625</v>
      </c>
      <c r="E322" s="3455">
        <v>41.69</v>
      </c>
      <c r="F322" s="3453">
        <v>230000</v>
      </c>
      <c r="G322" s="3453">
        <f t="shared" si="9"/>
        <v>5516.9105301031423</v>
      </c>
    </row>
    <row r="323" spans="2:7">
      <c r="B323" s="3453">
        <v>214</v>
      </c>
      <c r="C323" s="3454" t="s">
        <v>3701</v>
      </c>
      <c r="D323" s="3454" t="s">
        <v>3625</v>
      </c>
      <c r="E323" s="3455">
        <v>41.69</v>
      </c>
      <c r="F323" s="3453">
        <v>230000</v>
      </c>
      <c r="G323" s="3453">
        <f t="shared" si="9"/>
        <v>5516.9105301031423</v>
      </c>
    </row>
    <row r="324" spans="2:7">
      <c r="B324" s="3453">
        <v>215</v>
      </c>
      <c r="C324" s="3454" t="s">
        <v>3702</v>
      </c>
      <c r="D324" s="3454" t="s">
        <v>3625</v>
      </c>
      <c r="E324" s="3455">
        <v>41.69</v>
      </c>
      <c r="F324" s="3453">
        <v>230000</v>
      </c>
      <c r="G324" s="3453">
        <f t="shared" si="9"/>
        <v>5516.9105301031423</v>
      </c>
    </row>
    <row r="325" spans="2:7">
      <c r="B325" s="3453">
        <v>216</v>
      </c>
      <c r="C325" s="3454" t="s">
        <v>3703</v>
      </c>
      <c r="D325" s="3454" t="s">
        <v>3625</v>
      </c>
      <c r="E325" s="3455">
        <v>41.69</v>
      </c>
      <c r="F325" s="3453">
        <v>230000</v>
      </c>
      <c r="G325" s="3453">
        <f t="shared" si="9"/>
        <v>5516.9105301031423</v>
      </c>
    </row>
    <row r="326" spans="2:7">
      <c r="B326" s="3453">
        <v>217</v>
      </c>
      <c r="C326" s="3454" t="s">
        <v>3704</v>
      </c>
      <c r="D326" s="3454" t="s">
        <v>3625</v>
      </c>
      <c r="E326" s="3455">
        <v>41.69</v>
      </c>
      <c r="F326" s="3453">
        <v>230000</v>
      </c>
      <c r="G326" s="3453">
        <f t="shared" si="9"/>
        <v>5516.9105301031423</v>
      </c>
    </row>
    <row r="327" spans="2:7">
      <c r="B327" s="3453">
        <v>218</v>
      </c>
      <c r="C327" s="3454" t="s">
        <v>3705</v>
      </c>
      <c r="D327" s="3454" t="s">
        <v>3625</v>
      </c>
      <c r="E327" s="3455">
        <v>41.69</v>
      </c>
      <c r="F327" s="3453">
        <v>230000</v>
      </c>
      <c r="G327" s="3453">
        <f t="shared" si="9"/>
        <v>5516.9105301031423</v>
      </c>
    </row>
    <row r="328" spans="2:7">
      <c r="B328" s="3453">
        <v>219</v>
      </c>
      <c r="C328" s="3454" t="s">
        <v>3706</v>
      </c>
      <c r="D328" s="3454" t="s">
        <v>3625</v>
      </c>
      <c r="E328" s="3455">
        <v>41.69</v>
      </c>
      <c r="F328" s="3453">
        <v>230000</v>
      </c>
      <c r="G328" s="3453">
        <f t="shared" si="9"/>
        <v>5516.9105301031423</v>
      </c>
    </row>
    <row r="329" spans="2:7" s="3460" customFormat="1">
      <c r="B329" s="3457">
        <v>220</v>
      </c>
      <c r="C329" s="3458" t="s">
        <v>3707</v>
      </c>
      <c r="D329" s="3458" t="s">
        <v>21</v>
      </c>
      <c r="E329" s="3459">
        <v>291</v>
      </c>
      <c r="F329" s="3457">
        <v>5698607</v>
      </c>
      <c r="G329" s="3457">
        <f t="shared" si="9"/>
        <v>19582.841924398625</v>
      </c>
    </row>
    <row r="330" spans="2:7" s="3470" customFormat="1">
      <c r="B330" s="3467">
        <v>221</v>
      </c>
      <c r="C330" s="3468" t="s">
        <v>3708</v>
      </c>
      <c r="D330" s="3468" t="s">
        <v>3489</v>
      </c>
      <c r="E330" s="3469">
        <v>8.9700000000000006</v>
      </c>
      <c r="F330" s="3467">
        <v>91819</v>
      </c>
      <c r="G330" s="3467">
        <f t="shared" si="9"/>
        <v>10236.23188405797</v>
      </c>
    </row>
    <row r="331" spans="2:7">
      <c r="B331" s="3453">
        <v>222</v>
      </c>
      <c r="C331" s="3454" t="s">
        <v>3709</v>
      </c>
      <c r="D331" s="3454" t="s">
        <v>3625</v>
      </c>
      <c r="E331" s="3455">
        <v>41.69</v>
      </c>
      <c r="F331" s="3453">
        <v>240000</v>
      </c>
      <c r="G331" s="3453">
        <f t="shared" si="9"/>
        <v>5756.7762053250181</v>
      </c>
    </row>
    <row r="332" spans="2:7">
      <c r="B332" s="3453">
        <v>223</v>
      </c>
      <c r="C332" s="3454" t="s">
        <v>3710</v>
      </c>
      <c r="D332" s="3454" t="s">
        <v>3625</v>
      </c>
      <c r="E332" s="3455">
        <v>41.69</v>
      </c>
      <c r="F332" s="3453">
        <v>240000</v>
      </c>
      <c r="G332" s="3453">
        <f t="shared" si="9"/>
        <v>5756.7762053250181</v>
      </c>
    </row>
    <row r="333" spans="2:7" s="3470" customFormat="1">
      <c r="B333" s="3467">
        <v>224</v>
      </c>
      <c r="C333" s="3468" t="s">
        <v>3711</v>
      </c>
      <c r="D333" s="3468" t="s">
        <v>3489</v>
      </c>
      <c r="E333" s="3469">
        <v>64.2</v>
      </c>
      <c r="F333" s="3467">
        <v>788601</v>
      </c>
      <c r="G333" s="3467">
        <f t="shared" si="9"/>
        <v>12283.504672897196</v>
      </c>
    </row>
    <row r="334" spans="2:7" s="3460" customFormat="1">
      <c r="B334" s="3457">
        <v>225</v>
      </c>
      <c r="C334" s="3458" t="s">
        <v>3712</v>
      </c>
      <c r="D334" s="3458" t="s">
        <v>21</v>
      </c>
      <c r="E334" s="3459">
        <v>327.37</v>
      </c>
      <c r="F334" s="3457">
        <v>6416452</v>
      </c>
      <c r="G334" s="3457">
        <f t="shared" si="9"/>
        <v>19600</v>
      </c>
    </row>
    <row r="335" spans="2:7" s="3460" customFormat="1">
      <c r="B335" s="3457">
        <v>226</v>
      </c>
      <c r="C335" s="3458" t="s">
        <v>3713</v>
      </c>
      <c r="D335" s="3458" t="s">
        <v>21</v>
      </c>
      <c r="E335" s="3459">
        <v>193.86</v>
      </c>
      <c r="F335" s="3457">
        <v>3505183</v>
      </c>
      <c r="G335" s="3457">
        <f t="shared" si="9"/>
        <v>18081.001753842978</v>
      </c>
    </row>
    <row r="336" spans="2:7" s="3470" customFormat="1">
      <c r="B336" s="3467">
        <v>227</v>
      </c>
      <c r="C336" s="3468" t="s">
        <v>3714</v>
      </c>
      <c r="D336" s="3468" t="s">
        <v>3527</v>
      </c>
      <c r="E336" s="3469">
        <v>59.44</v>
      </c>
      <c r="F336" s="3467">
        <v>782082</v>
      </c>
      <c r="G336" s="3467">
        <f t="shared" si="9"/>
        <v>13157.503364737551</v>
      </c>
    </row>
    <row r="337" spans="2:7" s="3460" customFormat="1">
      <c r="B337" s="3457">
        <v>228</v>
      </c>
      <c r="C337" s="3458" t="s">
        <v>3715</v>
      </c>
      <c r="D337" s="3458" t="s">
        <v>21</v>
      </c>
      <c r="E337" s="3459">
        <v>327.37</v>
      </c>
      <c r="F337" s="3457">
        <v>7032562</v>
      </c>
      <c r="G337" s="3457">
        <f t="shared" si="9"/>
        <v>21481.998961419798</v>
      </c>
    </row>
    <row r="338" spans="2:7" s="3460" customFormat="1">
      <c r="B338" s="3457">
        <v>229</v>
      </c>
      <c r="C338" s="3458" t="s">
        <v>3716</v>
      </c>
      <c r="D338" s="3458" t="s">
        <v>21</v>
      </c>
      <c r="E338" s="3459">
        <v>193.86</v>
      </c>
      <c r="F338" s="3457">
        <v>4145696</v>
      </c>
      <c r="G338" s="3457">
        <f t="shared" si="9"/>
        <v>21384.999484163829</v>
      </c>
    </row>
    <row r="339" spans="2:7">
      <c r="B339" s="3453">
        <v>230</v>
      </c>
      <c r="C339" s="3454" t="s">
        <v>3717</v>
      </c>
      <c r="D339" s="3454" t="s">
        <v>3625</v>
      </c>
      <c r="E339" s="3455">
        <v>41.69</v>
      </c>
      <c r="F339" s="3453">
        <v>230000</v>
      </c>
      <c r="G339" s="3453">
        <f t="shared" si="9"/>
        <v>5516.9105301031423</v>
      </c>
    </row>
    <row r="340" spans="2:7">
      <c r="B340" s="3453">
        <v>231</v>
      </c>
      <c r="C340" s="3454" t="s">
        <v>3718</v>
      </c>
      <c r="D340" s="3454" t="s">
        <v>3625</v>
      </c>
      <c r="E340" s="3455">
        <v>41.69</v>
      </c>
      <c r="F340" s="3453">
        <v>230000</v>
      </c>
      <c r="G340" s="3453">
        <f t="shared" si="9"/>
        <v>5516.9105301031423</v>
      </c>
    </row>
    <row r="341" spans="2:7">
      <c r="B341" s="3453">
        <v>232</v>
      </c>
      <c r="C341" s="3454" t="s">
        <v>3719</v>
      </c>
      <c r="D341" s="3454" t="s">
        <v>3625</v>
      </c>
      <c r="E341" s="3455">
        <v>41.69</v>
      </c>
      <c r="F341" s="3453">
        <v>230000</v>
      </c>
      <c r="G341" s="3453">
        <f t="shared" si="9"/>
        <v>5516.9105301031423</v>
      </c>
    </row>
    <row r="342" spans="2:7">
      <c r="B342" s="3453">
        <v>233</v>
      </c>
      <c r="C342" s="3454" t="s">
        <v>3720</v>
      </c>
      <c r="D342" s="3454" t="s">
        <v>3625</v>
      </c>
      <c r="E342" s="3455">
        <v>41.69</v>
      </c>
      <c r="F342" s="3453">
        <v>230000</v>
      </c>
      <c r="G342" s="3453">
        <f t="shared" si="9"/>
        <v>5516.9105301031423</v>
      </c>
    </row>
    <row r="343" spans="2:7">
      <c r="B343" s="3453">
        <v>234</v>
      </c>
      <c r="C343" s="3454" t="s">
        <v>3721</v>
      </c>
      <c r="D343" s="3454" t="s">
        <v>3625</v>
      </c>
      <c r="E343" s="3455">
        <v>41.69</v>
      </c>
      <c r="F343" s="3453">
        <v>230000</v>
      </c>
      <c r="G343" s="3453">
        <f t="shared" si="9"/>
        <v>5516.9105301031423</v>
      </c>
    </row>
    <row r="344" spans="2:7">
      <c r="B344" s="3453">
        <v>235</v>
      </c>
      <c r="C344" s="3454" t="s">
        <v>3722</v>
      </c>
      <c r="D344" s="3454" t="s">
        <v>3625</v>
      </c>
      <c r="E344" s="3455">
        <v>41.69</v>
      </c>
      <c r="F344" s="3453">
        <v>230000</v>
      </c>
      <c r="G344" s="3453">
        <f t="shared" si="9"/>
        <v>5516.9105301031423</v>
      </c>
    </row>
    <row r="345" spans="2:7">
      <c r="B345" s="3453">
        <v>236</v>
      </c>
      <c r="C345" s="3454" t="s">
        <v>3723</v>
      </c>
      <c r="D345" s="3454" t="s">
        <v>3625</v>
      </c>
      <c r="E345" s="3455">
        <v>41.69</v>
      </c>
      <c r="F345" s="3453">
        <v>230000</v>
      </c>
      <c r="G345" s="3453">
        <f t="shared" si="9"/>
        <v>5516.9105301031423</v>
      </c>
    </row>
    <row r="346" spans="2:7">
      <c r="B346" s="3453">
        <v>237</v>
      </c>
      <c r="C346" s="3454" t="s">
        <v>3724</v>
      </c>
      <c r="D346" s="3454" t="s">
        <v>3625</v>
      </c>
      <c r="E346" s="3455">
        <v>41.69</v>
      </c>
      <c r="F346" s="3453">
        <v>230000</v>
      </c>
      <c r="G346" s="3453">
        <f t="shared" si="9"/>
        <v>5516.9105301031423</v>
      </c>
    </row>
    <row r="347" spans="2:7" s="3460" customFormat="1">
      <c r="B347" s="3457">
        <v>238</v>
      </c>
      <c r="C347" s="3458" t="s">
        <v>3725</v>
      </c>
      <c r="D347" s="3458" t="s">
        <v>21</v>
      </c>
      <c r="E347" s="3459">
        <v>295.81</v>
      </c>
      <c r="F347" s="3457">
        <v>6673000</v>
      </c>
      <c r="G347" s="3457">
        <f t="shared" si="9"/>
        <v>22558.398972313309</v>
      </c>
    </row>
    <row r="348" spans="2:7">
      <c r="B348" s="3453">
        <v>239</v>
      </c>
      <c r="C348" s="3454" t="s">
        <v>3726</v>
      </c>
      <c r="D348" s="3454" t="s">
        <v>3625</v>
      </c>
      <c r="E348" s="3455">
        <v>41.69</v>
      </c>
      <c r="F348" s="3453">
        <v>230000</v>
      </c>
      <c r="G348" s="3453">
        <f t="shared" si="9"/>
        <v>5516.9105301031423</v>
      </c>
    </row>
    <row r="349" spans="2:7">
      <c r="B349" s="3453">
        <v>240</v>
      </c>
      <c r="C349" s="3454" t="s">
        <v>3727</v>
      </c>
      <c r="D349" s="3454" t="s">
        <v>3625</v>
      </c>
      <c r="E349" s="3455">
        <v>41.69</v>
      </c>
      <c r="F349" s="3453">
        <v>230000</v>
      </c>
      <c r="G349" s="3453">
        <f t="shared" si="9"/>
        <v>5516.9105301031423</v>
      </c>
    </row>
    <row r="350" spans="2:7" s="3460" customFormat="1">
      <c r="B350" s="3457">
        <v>241</v>
      </c>
      <c r="C350" s="3458" t="s">
        <v>3728</v>
      </c>
      <c r="D350" s="3458" t="s">
        <v>21</v>
      </c>
      <c r="E350" s="3459">
        <v>291</v>
      </c>
      <c r="F350" s="3457">
        <v>5529000</v>
      </c>
      <c r="G350" s="3457">
        <f t="shared" si="9"/>
        <v>19000</v>
      </c>
    </row>
    <row r="351" spans="2:7" s="3460" customFormat="1">
      <c r="B351" s="3457">
        <v>242</v>
      </c>
      <c r="C351" s="3458" t="s">
        <v>3729</v>
      </c>
      <c r="D351" s="3458" t="s">
        <v>21</v>
      </c>
      <c r="E351" s="3459">
        <v>327.37</v>
      </c>
      <c r="F351" s="3457">
        <v>6637518</v>
      </c>
      <c r="G351" s="3457">
        <f t="shared" si="9"/>
        <v>20275.278736597735</v>
      </c>
    </row>
    <row r="352" spans="2:7" s="3460" customFormat="1">
      <c r="B352" s="3457">
        <v>243</v>
      </c>
      <c r="C352" s="3458" t="s">
        <v>3730</v>
      </c>
      <c r="D352" s="3458" t="s">
        <v>21</v>
      </c>
      <c r="E352" s="3459">
        <v>295.81</v>
      </c>
      <c r="F352" s="3457">
        <v>5997632</v>
      </c>
      <c r="G352" s="3457">
        <f t="shared" si="9"/>
        <v>20275.284811196376</v>
      </c>
    </row>
    <row r="353" spans="2:7" s="3470" customFormat="1">
      <c r="B353" s="3467">
        <v>244</v>
      </c>
      <c r="C353" s="3468" t="s">
        <v>3731</v>
      </c>
      <c r="D353" s="3468" t="s">
        <v>3489</v>
      </c>
      <c r="E353" s="3469">
        <v>5.87</v>
      </c>
      <c r="F353" s="3467">
        <v>64265</v>
      </c>
      <c r="G353" s="3467">
        <f t="shared" si="9"/>
        <v>10948.040885860306</v>
      </c>
    </row>
    <row r="354" spans="2:7">
      <c r="B354" s="3453">
        <v>245</v>
      </c>
      <c r="C354" s="3454" t="s">
        <v>3732</v>
      </c>
      <c r="D354" s="3454" t="s">
        <v>3625</v>
      </c>
      <c r="E354" s="3455">
        <v>41.69</v>
      </c>
      <c r="F354" s="3453">
        <v>230000</v>
      </c>
      <c r="G354" s="3453">
        <f t="shared" si="9"/>
        <v>5516.9105301031423</v>
      </c>
    </row>
    <row r="355" spans="2:7">
      <c r="B355" s="3453">
        <v>246</v>
      </c>
      <c r="C355" s="3454" t="s">
        <v>3733</v>
      </c>
      <c r="D355" s="3454" t="s">
        <v>3625</v>
      </c>
      <c r="E355" s="3455">
        <v>41.69</v>
      </c>
      <c r="F355" s="3453">
        <v>230000</v>
      </c>
      <c r="G355" s="3453">
        <f t="shared" si="9"/>
        <v>5516.9105301031423</v>
      </c>
    </row>
    <row r="356" spans="2:7">
      <c r="B356" s="3453">
        <v>247</v>
      </c>
      <c r="C356" s="3454" t="s">
        <v>3734</v>
      </c>
      <c r="D356" s="3454" t="s">
        <v>3625</v>
      </c>
      <c r="E356" s="3455">
        <v>41.69</v>
      </c>
      <c r="F356" s="3453">
        <v>230000</v>
      </c>
      <c r="G356" s="3453">
        <f t="shared" si="9"/>
        <v>5516.9105301031423</v>
      </c>
    </row>
    <row r="357" spans="2:7" s="3470" customFormat="1">
      <c r="B357" s="3467">
        <v>248</v>
      </c>
      <c r="C357" s="3468" t="s">
        <v>3735</v>
      </c>
      <c r="D357" s="3468" t="s">
        <v>3489</v>
      </c>
      <c r="E357" s="3469">
        <v>8.9700000000000006</v>
      </c>
      <c r="F357" s="3467">
        <v>71000</v>
      </c>
      <c r="G357" s="3467">
        <f t="shared" si="9"/>
        <v>7915.2731326644362</v>
      </c>
    </row>
    <row r="358" spans="2:7" s="3460" customFormat="1">
      <c r="B358" s="3457">
        <v>249</v>
      </c>
      <c r="C358" s="3458" t="s">
        <v>3736</v>
      </c>
      <c r="D358" s="3458" t="s">
        <v>21</v>
      </c>
      <c r="E358" s="3459">
        <v>191.12</v>
      </c>
      <c r="F358" s="3457">
        <v>3582353</v>
      </c>
      <c r="G358" s="3457">
        <f t="shared" si="9"/>
        <v>18743.998534951861</v>
      </c>
    </row>
    <row r="359" spans="2:7" s="3460" customFormat="1">
      <c r="B359" s="3457">
        <v>250</v>
      </c>
      <c r="C359" s="3458" t="s">
        <v>3737</v>
      </c>
      <c r="D359" s="3458" t="s">
        <v>21</v>
      </c>
      <c r="E359" s="3459">
        <v>191.12</v>
      </c>
      <c r="F359" s="3457">
        <v>3330228</v>
      </c>
      <c r="G359" s="3457">
        <f t="shared" si="9"/>
        <v>17424.801172038511</v>
      </c>
    </row>
    <row r="360" spans="2:7">
      <c r="B360" s="3453">
        <v>251</v>
      </c>
      <c r="C360" s="3454" t="s">
        <v>3738</v>
      </c>
      <c r="D360" s="3454" t="s">
        <v>3625</v>
      </c>
      <c r="E360" s="3455">
        <v>41.69</v>
      </c>
      <c r="F360" s="3453">
        <v>50000</v>
      </c>
      <c r="G360" s="3453">
        <f t="shared" si="9"/>
        <v>1199.3283761093787</v>
      </c>
    </row>
    <row r="361" spans="2:7" s="3460" customFormat="1">
      <c r="B361" s="3457">
        <v>252</v>
      </c>
      <c r="C361" s="3458" t="s">
        <v>3739</v>
      </c>
      <c r="D361" s="3458" t="s">
        <v>21</v>
      </c>
      <c r="E361" s="3459">
        <v>327.37</v>
      </c>
      <c r="F361" s="3457">
        <v>6879681</v>
      </c>
      <c r="G361" s="3457">
        <f t="shared" si="9"/>
        <v>21015.00137459144</v>
      </c>
    </row>
    <row r="362" spans="2:7" s="3470" customFormat="1">
      <c r="B362" s="3467">
        <v>253</v>
      </c>
      <c r="C362" s="3468" t="s">
        <v>3740</v>
      </c>
      <c r="D362" s="3468" t="s">
        <v>3527</v>
      </c>
      <c r="E362" s="3469">
        <v>59.44</v>
      </c>
      <c r="F362" s="3467">
        <v>740920</v>
      </c>
      <c r="G362" s="3467">
        <f t="shared" si="9"/>
        <v>12465.006729475101</v>
      </c>
    </row>
    <row r="363" spans="2:7" s="3460" customFormat="1">
      <c r="B363" s="3457">
        <v>254</v>
      </c>
      <c r="C363" s="3458" t="s">
        <v>3741</v>
      </c>
      <c r="D363" s="3458" t="s">
        <v>21</v>
      </c>
      <c r="E363" s="3459">
        <v>295.81</v>
      </c>
      <c r="F363" s="3457">
        <v>6216448</v>
      </c>
      <c r="G363" s="3457">
        <f t="shared" si="9"/>
        <v>21015.002873466077</v>
      </c>
    </row>
    <row r="364" spans="2:7" s="3470" customFormat="1">
      <c r="B364" s="3467">
        <v>255</v>
      </c>
      <c r="C364" s="3468" t="s">
        <v>3742</v>
      </c>
      <c r="D364" s="3468" t="s">
        <v>3489</v>
      </c>
      <c r="E364" s="3469">
        <v>5.87</v>
      </c>
      <c r="F364" s="3467">
        <v>60913</v>
      </c>
      <c r="G364" s="3467">
        <f t="shared" si="9"/>
        <v>10377.001703577513</v>
      </c>
    </row>
    <row r="365" spans="2:7" s="3460" customFormat="1">
      <c r="B365" s="3457">
        <v>256</v>
      </c>
      <c r="C365" s="3458" t="s">
        <v>3743</v>
      </c>
      <c r="D365" s="3458" t="s">
        <v>21</v>
      </c>
      <c r="E365" s="3459">
        <v>193.86</v>
      </c>
      <c r="F365" s="3457">
        <v>3836974</v>
      </c>
      <c r="G365" s="3457">
        <f t="shared" si="9"/>
        <v>19792.499742081913</v>
      </c>
    </row>
    <row r="366" spans="2:7" s="3460" customFormat="1">
      <c r="B366" s="3457">
        <v>257</v>
      </c>
      <c r="C366" s="3458" t="s">
        <v>3744</v>
      </c>
      <c r="D366" s="3458" t="s">
        <v>21</v>
      </c>
      <c r="E366" s="3459">
        <v>327.37</v>
      </c>
      <c r="F366" s="3457">
        <v>6153616</v>
      </c>
      <c r="G366" s="3457">
        <f t="shared" si="9"/>
        <v>18797.128631212388</v>
      </c>
    </row>
    <row r="367" spans="2:7">
      <c r="B367" s="3453">
        <v>258</v>
      </c>
      <c r="C367" s="3454" t="s">
        <v>3745</v>
      </c>
      <c r="D367" s="3454" t="s">
        <v>3625</v>
      </c>
      <c r="E367" s="3455">
        <v>41.69</v>
      </c>
      <c r="F367" s="3453">
        <v>230000</v>
      </c>
      <c r="G367" s="3453">
        <f t="shared" ref="G367:G401" si="10">F367/E367</f>
        <v>5516.9105301031423</v>
      </c>
    </row>
    <row r="368" spans="2:7">
      <c r="B368" s="3453">
        <v>259</v>
      </c>
      <c r="C368" s="3454" t="s">
        <v>3746</v>
      </c>
      <c r="D368" s="3454" t="s">
        <v>3625</v>
      </c>
      <c r="E368" s="3455">
        <v>41.69</v>
      </c>
      <c r="F368" s="3453">
        <v>130000</v>
      </c>
      <c r="G368" s="3453">
        <f t="shared" si="10"/>
        <v>3118.2537778843848</v>
      </c>
    </row>
    <row r="369" spans="2:7">
      <c r="B369" s="3453">
        <v>260</v>
      </c>
      <c r="C369" s="3454" t="s">
        <v>3747</v>
      </c>
      <c r="D369" s="3454" t="s">
        <v>3625</v>
      </c>
      <c r="E369" s="3455">
        <v>41.69</v>
      </c>
      <c r="F369" s="3453">
        <v>130000</v>
      </c>
      <c r="G369" s="3453">
        <f t="shared" si="10"/>
        <v>3118.2537778843848</v>
      </c>
    </row>
    <row r="370" spans="2:7">
      <c r="B370" s="3453">
        <v>261</v>
      </c>
      <c r="C370" s="3454" t="s">
        <v>3748</v>
      </c>
      <c r="D370" s="3454" t="s">
        <v>3625</v>
      </c>
      <c r="E370" s="3455">
        <v>41.69</v>
      </c>
      <c r="F370" s="3453">
        <v>210000</v>
      </c>
      <c r="G370" s="3453">
        <f t="shared" si="10"/>
        <v>5037.1791796593907</v>
      </c>
    </row>
    <row r="371" spans="2:7">
      <c r="B371" s="3453">
        <v>262</v>
      </c>
      <c r="C371" s="3454" t="s">
        <v>3749</v>
      </c>
      <c r="D371" s="3454" t="s">
        <v>3625</v>
      </c>
      <c r="E371" s="3455">
        <v>41.69</v>
      </c>
      <c r="F371" s="3453">
        <v>210000</v>
      </c>
      <c r="G371" s="3453">
        <f t="shared" si="10"/>
        <v>5037.1791796593907</v>
      </c>
    </row>
    <row r="372" spans="2:7">
      <c r="B372" s="3453">
        <v>263</v>
      </c>
      <c r="C372" s="3454" t="s">
        <v>3750</v>
      </c>
      <c r="D372" s="3454" t="s">
        <v>3625</v>
      </c>
      <c r="E372" s="3455">
        <v>41.69</v>
      </c>
      <c r="F372" s="3453">
        <v>210000</v>
      </c>
      <c r="G372" s="3453">
        <f t="shared" si="10"/>
        <v>5037.1791796593907</v>
      </c>
    </row>
    <row r="373" spans="2:7" s="3470" customFormat="1">
      <c r="B373" s="3467">
        <v>264</v>
      </c>
      <c r="C373" s="3468" t="s">
        <v>3751</v>
      </c>
      <c r="D373" s="3468" t="s">
        <v>3489</v>
      </c>
      <c r="E373" s="3469">
        <v>5.79</v>
      </c>
      <c r="F373" s="3467">
        <v>40935</v>
      </c>
      <c r="G373" s="3467">
        <f t="shared" si="10"/>
        <v>7069.948186528497</v>
      </c>
    </row>
    <row r="374" spans="2:7" s="3460" customFormat="1">
      <c r="B374" s="3457">
        <v>265</v>
      </c>
      <c r="C374" s="3458" t="s">
        <v>3752</v>
      </c>
      <c r="D374" s="3458" t="s">
        <v>21</v>
      </c>
      <c r="E374" s="3459">
        <v>322.74</v>
      </c>
      <c r="F374" s="3457">
        <v>5812474</v>
      </c>
      <c r="G374" s="3457">
        <f t="shared" si="10"/>
        <v>18009.772572349259</v>
      </c>
    </row>
    <row r="375" spans="2:7" s="3460" customFormat="1">
      <c r="B375" s="3457">
        <v>266</v>
      </c>
      <c r="C375" s="3458" t="s">
        <v>3753</v>
      </c>
      <c r="D375" s="3458" t="s">
        <v>21</v>
      </c>
      <c r="E375" s="3459">
        <v>291.63</v>
      </c>
      <c r="F375" s="3457">
        <v>5252190</v>
      </c>
      <c r="G375" s="3457">
        <f t="shared" si="10"/>
        <v>18009.772657134039</v>
      </c>
    </row>
    <row r="376" spans="2:7" s="3460" customFormat="1">
      <c r="B376" s="3457">
        <v>267</v>
      </c>
      <c r="C376" s="3458" t="s">
        <v>3754</v>
      </c>
      <c r="D376" s="3458" t="s">
        <v>21</v>
      </c>
      <c r="E376" s="3459">
        <v>291.63</v>
      </c>
      <c r="F376" s="3457">
        <v>5482639</v>
      </c>
      <c r="G376" s="3457">
        <f t="shared" si="10"/>
        <v>18799.982854987484</v>
      </c>
    </row>
    <row r="377" spans="2:7" s="3477" customFormat="1">
      <c r="B377" s="3474">
        <v>268</v>
      </c>
      <c r="C377" s="3475" t="s">
        <v>3755</v>
      </c>
      <c r="D377" s="3475" t="s">
        <v>673</v>
      </c>
      <c r="E377" s="3476">
        <v>85.26</v>
      </c>
      <c r="F377" s="3474">
        <v>3836700</v>
      </c>
      <c r="G377" s="3474">
        <f t="shared" si="10"/>
        <v>45000</v>
      </c>
    </row>
    <row r="378" spans="2:7" s="3477" customFormat="1">
      <c r="B378" s="3474">
        <v>269</v>
      </c>
      <c r="C378" s="3475" t="s">
        <v>3756</v>
      </c>
      <c r="D378" s="3475" t="s">
        <v>673</v>
      </c>
      <c r="E378" s="3476">
        <v>168.09</v>
      </c>
      <c r="F378" s="3474">
        <v>7564050</v>
      </c>
      <c r="G378" s="3474">
        <f t="shared" si="10"/>
        <v>45000</v>
      </c>
    </row>
    <row r="379" spans="2:7" s="3477" customFormat="1">
      <c r="B379" s="3474">
        <v>270</v>
      </c>
      <c r="C379" s="3475" t="s">
        <v>3757</v>
      </c>
      <c r="D379" s="3475" t="s">
        <v>673</v>
      </c>
      <c r="E379" s="3476">
        <v>311.07</v>
      </c>
      <c r="F379" s="3474">
        <v>13998150</v>
      </c>
      <c r="G379" s="3474">
        <f t="shared" si="10"/>
        <v>45000</v>
      </c>
    </row>
    <row r="380" spans="2:7" s="3477" customFormat="1">
      <c r="B380" s="3474">
        <v>271</v>
      </c>
      <c r="C380" s="3475" t="s">
        <v>3758</v>
      </c>
      <c r="D380" s="3475" t="s">
        <v>673</v>
      </c>
      <c r="E380" s="3476">
        <v>124.93</v>
      </c>
      <c r="F380" s="3474">
        <v>5621850</v>
      </c>
      <c r="G380" s="3474">
        <f t="shared" si="10"/>
        <v>45000</v>
      </c>
    </row>
    <row r="381" spans="2:7" s="3477" customFormat="1">
      <c r="B381" s="3474">
        <v>272</v>
      </c>
      <c r="C381" s="3475" t="s">
        <v>3759</v>
      </c>
      <c r="D381" s="3475" t="s">
        <v>673</v>
      </c>
      <c r="E381" s="3476">
        <v>1246.57</v>
      </c>
      <c r="F381" s="3474">
        <v>33158762</v>
      </c>
      <c r="G381" s="3474">
        <f t="shared" si="10"/>
        <v>26600</v>
      </c>
    </row>
    <row r="382" spans="2:7">
      <c r="B382" s="3453">
        <v>273</v>
      </c>
      <c r="C382" s="3456" t="s">
        <v>3760</v>
      </c>
      <c r="D382" s="3454" t="s">
        <v>3625</v>
      </c>
      <c r="E382" s="3455">
        <v>41.69</v>
      </c>
      <c r="F382" s="3453">
        <v>230000</v>
      </c>
      <c r="G382" s="3453">
        <f t="shared" si="10"/>
        <v>5516.9105301031423</v>
      </c>
    </row>
    <row r="383" spans="2:7">
      <c r="B383" s="3453">
        <v>274</v>
      </c>
      <c r="C383" s="3456" t="s">
        <v>3761</v>
      </c>
      <c r="D383" s="3454" t="s">
        <v>3625</v>
      </c>
      <c r="E383" s="3455">
        <v>41.69</v>
      </c>
      <c r="F383" s="3453">
        <v>230000</v>
      </c>
      <c r="G383" s="3453">
        <f t="shared" si="10"/>
        <v>5516.9105301031423</v>
      </c>
    </row>
    <row r="384" spans="2:7" s="3460" customFormat="1">
      <c r="B384" s="3457">
        <v>275</v>
      </c>
      <c r="C384" s="3465" t="s">
        <v>3762</v>
      </c>
      <c r="D384" s="3458" t="s">
        <v>21</v>
      </c>
      <c r="E384" s="3459">
        <v>327.37</v>
      </c>
      <c r="F384" s="3457">
        <v>7159582</v>
      </c>
      <c r="G384" s="3457">
        <f t="shared" si="10"/>
        <v>21870.000305464764</v>
      </c>
    </row>
    <row r="385" spans="2:7" s="3470" customFormat="1">
      <c r="B385" s="3467">
        <v>276</v>
      </c>
      <c r="C385" s="3472" t="s">
        <v>3763</v>
      </c>
      <c r="D385" s="3468" t="s">
        <v>3489</v>
      </c>
      <c r="E385" s="3469">
        <v>5.87</v>
      </c>
      <c r="F385" s="3467">
        <v>65000</v>
      </c>
      <c r="G385" s="3467">
        <f t="shared" si="10"/>
        <v>11073.253833049404</v>
      </c>
    </row>
    <row r="386" spans="2:7" s="3470" customFormat="1">
      <c r="B386" s="3467">
        <v>277</v>
      </c>
      <c r="C386" s="3472" t="s">
        <v>3764</v>
      </c>
      <c r="D386" s="3468" t="s">
        <v>3765</v>
      </c>
      <c r="E386" s="3469">
        <v>24.01</v>
      </c>
      <c r="F386" s="3467">
        <v>156065</v>
      </c>
      <c r="G386" s="3467">
        <f t="shared" si="10"/>
        <v>6500</v>
      </c>
    </row>
    <row r="387" spans="2:7" s="3470" customFormat="1">
      <c r="B387" s="3467">
        <v>278</v>
      </c>
      <c r="C387" s="3472" t="s">
        <v>3766</v>
      </c>
      <c r="D387" s="3468" t="s">
        <v>3765</v>
      </c>
      <c r="E387" s="3469">
        <v>198.59</v>
      </c>
      <c r="F387" s="3467">
        <v>1290835</v>
      </c>
      <c r="G387" s="3467">
        <f t="shared" si="10"/>
        <v>6500</v>
      </c>
    </row>
    <row r="388" spans="2:7" s="3460" customFormat="1">
      <c r="B388" s="3457">
        <v>279</v>
      </c>
      <c r="C388" s="3465" t="s">
        <v>3767</v>
      </c>
      <c r="D388" s="3458" t="s">
        <v>21</v>
      </c>
      <c r="E388" s="3459">
        <v>295.81</v>
      </c>
      <c r="F388" s="3457">
        <v>5000000</v>
      </c>
      <c r="G388" s="3457">
        <f t="shared" si="10"/>
        <v>16902.741624691524</v>
      </c>
    </row>
    <row r="389" spans="2:7" s="3460" customFormat="1">
      <c r="B389" s="3457">
        <v>280</v>
      </c>
      <c r="C389" s="3466" t="s">
        <v>3768</v>
      </c>
      <c r="D389" s="3458" t="s">
        <v>21</v>
      </c>
      <c r="E389" s="3459">
        <v>295.81</v>
      </c>
      <c r="F389" s="3457">
        <v>5502066</v>
      </c>
      <c r="G389" s="3457">
        <f t="shared" si="10"/>
        <v>18600</v>
      </c>
    </row>
    <row r="390" spans="2:7" s="3460" customFormat="1">
      <c r="B390" s="3457">
        <v>281</v>
      </c>
      <c r="C390" s="3466" t="s">
        <v>3769</v>
      </c>
      <c r="D390" s="3458" t="s">
        <v>21</v>
      </c>
      <c r="E390" s="3459">
        <v>327.37</v>
      </c>
      <c r="F390" s="3457">
        <v>6089082</v>
      </c>
      <c r="G390" s="3457">
        <f t="shared" si="10"/>
        <v>18600</v>
      </c>
    </row>
    <row r="391" spans="2:7" s="3477" customFormat="1">
      <c r="B391" s="3474">
        <v>282</v>
      </c>
      <c r="C391" s="3478" t="s">
        <v>3770</v>
      </c>
      <c r="D391" s="3475" t="s">
        <v>673</v>
      </c>
      <c r="E391" s="3476">
        <v>557</v>
      </c>
      <c r="F391" s="3474">
        <v>10026000</v>
      </c>
      <c r="G391" s="3474">
        <f t="shared" si="10"/>
        <v>18000</v>
      </c>
    </row>
    <row r="392" spans="2:7" s="3477" customFormat="1">
      <c r="B392" s="3474">
        <v>283</v>
      </c>
      <c r="C392" s="3478" t="s">
        <v>3771</v>
      </c>
      <c r="D392" s="3475" t="s">
        <v>673</v>
      </c>
      <c r="E392" s="3476">
        <v>63.36</v>
      </c>
      <c r="F392" s="3474">
        <v>1140480</v>
      </c>
      <c r="G392" s="3474">
        <f t="shared" si="10"/>
        <v>18000</v>
      </c>
    </row>
    <row r="393" spans="2:7" s="3477" customFormat="1">
      <c r="B393" s="3474">
        <v>284</v>
      </c>
      <c r="C393" s="3478" t="s">
        <v>3772</v>
      </c>
      <c r="D393" s="3475" t="s">
        <v>673</v>
      </c>
      <c r="E393" s="3476">
        <v>738.77</v>
      </c>
      <c r="F393" s="3474">
        <v>13297860</v>
      </c>
      <c r="G393" s="3474">
        <f t="shared" si="10"/>
        <v>18000</v>
      </c>
    </row>
    <row r="394" spans="2:7" s="3477" customFormat="1">
      <c r="B394" s="3474">
        <v>285</v>
      </c>
      <c r="C394" s="3478" t="s">
        <v>3773</v>
      </c>
      <c r="D394" s="3475" t="s">
        <v>673</v>
      </c>
      <c r="E394" s="3476">
        <v>106.62</v>
      </c>
      <c r="F394" s="3474">
        <v>1919160</v>
      </c>
      <c r="G394" s="3474">
        <f t="shared" si="10"/>
        <v>18000</v>
      </c>
    </row>
    <row r="395" spans="2:7" s="3477" customFormat="1">
      <c r="B395" s="3474">
        <v>286</v>
      </c>
      <c r="C395" s="3478" t="s">
        <v>3774</v>
      </c>
      <c r="D395" s="3475" t="s">
        <v>673</v>
      </c>
      <c r="E395" s="3476">
        <v>136.08000000000001</v>
      </c>
      <c r="F395" s="3474">
        <v>2449440</v>
      </c>
      <c r="G395" s="3474">
        <f t="shared" si="10"/>
        <v>18000</v>
      </c>
    </row>
    <row r="396" spans="2:7" s="3460" customFormat="1">
      <c r="B396" s="3457">
        <v>287</v>
      </c>
      <c r="C396" s="3466" t="s">
        <v>3775</v>
      </c>
      <c r="D396" s="3458" t="s">
        <v>21</v>
      </c>
      <c r="E396" s="3459">
        <v>295.81</v>
      </c>
      <c r="F396" s="3457">
        <v>5959093</v>
      </c>
      <c r="G396" s="3457">
        <f t="shared" si="10"/>
        <v>20145.001859301577</v>
      </c>
    </row>
    <row r="397" spans="2:7" s="3460" customFormat="1">
      <c r="B397" s="3457">
        <v>288</v>
      </c>
      <c r="C397" s="3466" t="s">
        <v>3776</v>
      </c>
      <c r="D397" s="3458" t="s">
        <v>21</v>
      </c>
      <c r="E397" s="3459">
        <v>327.37</v>
      </c>
      <c r="F397" s="3457">
        <v>6121819</v>
      </c>
      <c r="G397" s="3457">
        <f t="shared" si="10"/>
        <v>18700</v>
      </c>
    </row>
    <row r="398" spans="2:7" s="3470" customFormat="1">
      <c r="B398" s="3467">
        <v>289</v>
      </c>
      <c r="C398" s="3473" t="s">
        <v>3777</v>
      </c>
      <c r="D398" s="3468" t="s">
        <v>3489</v>
      </c>
      <c r="E398" s="3469">
        <v>5.87</v>
      </c>
      <c r="F398" s="3467">
        <v>64981</v>
      </c>
      <c r="G398" s="3467">
        <f t="shared" si="10"/>
        <v>11070.017035775127</v>
      </c>
    </row>
    <row r="399" spans="2:7" s="3460" customFormat="1">
      <c r="B399" s="3457">
        <v>290</v>
      </c>
      <c r="C399" s="3466" t="s">
        <v>3778</v>
      </c>
      <c r="D399" s="3458" t="s">
        <v>21</v>
      </c>
      <c r="E399" s="3459">
        <v>327.37</v>
      </c>
      <c r="F399" s="3457">
        <v>6246000</v>
      </c>
      <c r="G399" s="3457">
        <f t="shared" si="10"/>
        <v>19079.329199376851</v>
      </c>
    </row>
    <row r="400" spans="2:7" s="3460" customFormat="1">
      <c r="B400" s="3457">
        <v>291</v>
      </c>
      <c r="C400" s="3466" t="s">
        <v>3779</v>
      </c>
      <c r="D400" s="3458" t="s">
        <v>21</v>
      </c>
      <c r="E400" s="3459">
        <v>193.86</v>
      </c>
      <c r="F400" s="3457">
        <v>3604000</v>
      </c>
      <c r="G400" s="3457">
        <f t="shared" si="10"/>
        <v>18590.735582379035</v>
      </c>
    </row>
    <row r="401" spans="2:7" s="3460" customFormat="1">
      <c r="B401" s="3457">
        <v>292</v>
      </c>
      <c r="C401" s="3466" t="s">
        <v>3780</v>
      </c>
      <c r="D401" s="3458" t="s">
        <v>21</v>
      </c>
      <c r="E401" s="3459">
        <v>193.86</v>
      </c>
      <c r="F401" s="3457">
        <v>3500000</v>
      </c>
      <c r="G401" s="3457">
        <f t="shared" si="10"/>
        <v>18054.265965129474</v>
      </c>
    </row>
    <row r="402" spans="2:7">
      <c r="E402" s="3479">
        <f>SUM(E110:E401)</f>
        <v>53267.920000000195</v>
      </c>
    </row>
    <row r="403" spans="2:7">
      <c r="E403" s="3446">
        <f>'数据-基础表'!AT13</f>
        <v>4064.82</v>
      </c>
    </row>
    <row r="404" spans="2:7">
      <c r="E404" s="3446">
        <f>'数据-汇总表'!E31</f>
        <v>226846.22999999992</v>
      </c>
    </row>
    <row r="406" spans="2:7">
      <c r="E406" s="3446">
        <v>289978.21000000002</v>
      </c>
    </row>
    <row r="407" spans="2:7">
      <c r="E407" s="3479">
        <f>E406-E404-E403-E402</f>
        <v>5799.2399999999034</v>
      </c>
    </row>
    <row r="409" spans="2:7">
      <c r="C409" s="3446">
        <f>139+12+64+77</f>
        <v>292</v>
      </c>
    </row>
  </sheetData>
  <autoFilter ref="B109:L404"/>
  <mergeCells count="6">
    <mergeCell ref="F108:F109"/>
    <mergeCell ref="G108:G109"/>
    <mergeCell ref="B108:B109"/>
    <mergeCell ref="C108:C109"/>
    <mergeCell ref="D108:D109"/>
    <mergeCell ref="E108:E109"/>
  </mergeCells>
  <phoneticPr fontId="135" type="noConversion"/>
  <conditionalFormatting sqref="C185">
    <cfRule type="duplicateValues" dxfId="761" priority="582"/>
  </conditionalFormatting>
  <conditionalFormatting sqref="C215">
    <cfRule type="duplicateValues" dxfId="760" priority="375"/>
    <cfRule type="duplicateValues" dxfId="759" priority="377"/>
    <cfRule type="duplicateValues" dxfId="758" priority="379"/>
    <cfRule type="duplicateValues" dxfId="757" priority="381"/>
    <cfRule type="duplicateValues" dxfId="756" priority="383"/>
    <cfRule type="duplicateValues" dxfId="755" priority="385"/>
    <cfRule type="duplicateValues" dxfId="754" priority="387"/>
    <cfRule type="duplicateValues" dxfId="753" priority="389"/>
    <cfRule type="duplicateValues" dxfId="752" priority="391"/>
  </conditionalFormatting>
  <conditionalFormatting sqref="C216">
    <cfRule type="duplicateValues" dxfId="751" priority="374"/>
    <cfRule type="duplicateValues" dxfId="750" priority="376"/>
    <cfRule type="duplicateValues" dxfId="749" priority="378"/>
    <cfRule type="duplicateValues" dxfId="748" priority="380"/>
    <cfRule type="duplicateValues" dxfId="747" priority="382"/>
    <cfRule type="duplicateValues" dxfId="746" priority="384"/>
    <cfRule type="duplicateValues" dxfId="745" priority="386"/>
    <cfRule type="duplicateValues" dxfId="744" priority="388"/>
    <cfRule type="duplicateValues" dxfId="743" priority="390"/>
  </conditionalFormatting>
  <conditionalFormatting sqref="C217">
    <cfRule type="duplicateValues" dxfId="742" priority="260"/>
    <cfRule type="duplicateValues" dxfId="741" priority="261"/>
    <cfRule type="duplicateValues" dxfId="740" priority="262"/>
    <cfRule type="duplicateValues" dxfId="739" priority="263"/>
    <cfRule type="duplicateValues" dxfId="738" priority="264"/>
    <cfRule type="duplicateValues" dxfId="737" priority="265"/>
    <cfRule type="duplicateValues" dxfId="736" priority="266"/>
    <cfRule type="duplicateValues" dxfId="735" priority="267"/>
    <cfRule type="duplicateValues" dxfId="734" priority="268"/>
    <cfRule type="duplicateValues" dxfId="733" priority="269"/>
    <cfRule type="duplicateValues" dxfId="732" priority="270"/>
  </conditionalFormatting>
  <conditionalFormatting sqref="C322">
    <cfRule type="duplicateValues" dxfId="731" priority="576"/>
    <cfRule type="duplicateValues" dxfId="730" priority="577"/>
    <cfRule type="duplicateValues" dxfId="729" priority="578"/>
  </conditionalFormatting>
  <conditionalFormatting sqref="C323">
    <cfRule type="duplicateValues" dxfId="728" priority="573"/>
    <cfRule type="duplicateValues" dxfId="727" priority="574"/>
    <cfRule type="duplicateValues" dxfId="726" priority="575"/>
  </conditionalFormatting>
  <conditionalFormatting sqref="C324">
    <cfRule type="duplicateValues" dxfId="725" priority="570"/>
    <cfRule type="duplicateValues" dxfId="724" priority="571"/>
    <cfRule type="duplicateValues" dxfId="723" priority="572"/>
  </conditionalFormatting>
  <conditionalFormatting sqref="C325">
    <cfRule type="duplicateValues" dxfId="722" priority="567"/>
    <cfRule type="duplicateValues" dxfId="721" priority="568"/>
    <cfRule type="duplicateValues" dxfId="720" priority="569"/>
  </conditionalFormatting>
  <conditionalFormatting sqref="C326">
    <cfRule type="duplicateValues" dxfId="719" priority="564"/>
    <cfRule type="duplicateValues" dxfId="718" priority="565"/>
    <cfRule type="duplicateValues" dxfId="717" priority="566"/>
  </conditionalFormatting>
  <conditionalFormatting sqref="C327">
    <cfRule type="duplicateValues" dxfId="716" priority="561"/>
    <cfRule type="duplicateValues" dxfId="715" priority="562"/>
    <cfRule type="duplicateValues" dxfId="714" priority="563"/>
  </conditionalFormatting>
  <conditionalFormatting sqref="C328">
    <cfRule type="duplicateValues" dxfId="713" priority="558"/>
    <cfRule type="duplicateValues" dxfId="712" priority="559"/>
    <cfRule type="duplicateValues" dxfId="711" priority="560"/>
  </conditionalFormatting>
  <conditionalFormatting sqref="C329">
    <cfRule type="duplicateValues" dxfId="710" priority="555"/>
    <cfRule type="duplicateValues" dxfId="709" priority="556"/>
    <cfRule type="duplicateValues" dxfId="708" priority="557"/>
  </conditionalFormatting>
  <conditionalFormatting sqref="C330">
    <cfRule type="duplicateValues" dxfId="707" priority="552"/>
    <cfRule type="duplicateValues" dxfId="706" priority="553"/>
    <cfRule type="duplicateValues" dxfId="705" priority="554"/>
  </conditionalFormatting>
  <conditionalFormatting sqref="C331">
    <cfRule type="duplicateValues" dxfId="704" priority="549"/>
    <cfRule type="duplicateValues" dxfId="703" priority="550"/>
    <cfRule type="duplicateValues" dxfId="702" priority="551"/>
  </conditionalFormatting>
  <conditionalFormatting sqref="C332">
    <cfRule type="duplicateValues" dxfId="701" priority="546"/>
    <cfRule type="duplicateValues" dxfId="700" priority="547"/>
    <cfRule type="duplicateValues" dxfId="699" priority="548"/>
  </conditionalFormatting>
  <conditionalFormatting sqref="C333">
    <cfRule type="duplicateValues" dxfId="698" priority="543"/>
    <cfRule type="duplicateValues" dxfId="697" priority="544"/>
    <cfRule type="duplicateValues" dxfId="696" priority="545"/>
  </conditionalFormatting>
  <conditionalFormatting sqref="C334">
    <cfRule type="duplicateValues" dxfId="695" priority="540"/>
    <cfRule type="duplicateValues" dxfId="694" priority="541"/>
    <cfRule type="duplicateValues" dxfId="693" priority="542"/>
  </conditionalFormatting>
  <conditionalFormatting sqref="C335">
    <cfRule type="duplicateValues" dxfId="692" priority="537"/>
    <cfRule type="duplicateValues" dxfId="691" priority="538"/>
    <cfRule type="duplicateValues" dxfId="690" priority="539"/>
  </conditionalFormatting>
  <conditionalFormatting sqref="C336">
    <cfRule type="duplicateValues" dxfId="689" priority="534"/>
    <cfRule type="duplicateValues" dxfId="688" priority="535"/>
    <cfRule type="duplicateValues" dxfId="687" priority="536"/>
  </conditionalFormatting>
  <conditionalFormatting sqref="C337">
    <cfRule type="duplicateValues" dxfId="686" priority="531"/>
    <cfRule type="duplicateValues" dxfId="685" priority="532"/>
    <cfRule type="duplicateValues" dxfId="684" priority="533"/>
  </conditionalFormatting>
  <conditionalFormatting sqref="C338">
    <cfRule type="duplicateValues" dxfId="683" priority="528"/>
    <cfRule type="duplicateValues" dxfId="682" priority="529"/>
    <cfRule type="duplicateValues" dxfId="681" priority="530"/>
  </conditionalFormatting>
  <conditionalFormatting sqref="C339">
    <cfRule type="duplicateValues" dxfId="680" priority="525"/>
    <cfRule type="duplicateValues" dxfId="679" priority="526"/>
    <cfRule type="duplicateValues" dxfId="678" priority="527"/>
  </conditionalFormatting>
  <conditionalFormatting sqref="C340">
    <cfRule type="duplicateValues" dxfId="677" priority="522"/>
    <cfRule type="duplicateValues" dxfId="676" priority="523"/>
    <cfRule type="duplicateValues" dxfId="675" priority="524"/>
  </conditionalFormatting>
  <conditionalFormatting sqref="C341">
    <cfRule type="duplicateValues" dxfId="674" priority="519"/>
    <cfRule type="duplicateValues" dxfId="673" priority="520"/>
    <cfRule type="duplicateValues" dxfId="672" priority="521"/>
  </conditionalFormatting>
  <conditionalFormatting sqref="C342">
    <cfRule type="duplicateValues" dxfId="671" priority="516"/>
    <cfRule type="duplicateValues" dxfId="670" priority="517"/>
    <cfRule type="duplicateValues" dxfId="669" priority="518"/>
  </conditionalFormatting>
  <conditionalFormatting sqref="C343">
    <cfRule type="duplicateValues" dxfId="668" priority="513"/>
    <cfRule type="duplicateValues" dxfId="667" priority="514"/>
    <cfRule type="duplicateValues" dxfId="666" priority="515"/>
  </conditionalFormatting>
  <conditionalFormatting sqref="C344">
    <cfRule type="duplicateValues" dxfId="665" priority="510"/>
    <cfRule type="duplicateValues" dxfId="664" priority="511"/>
    <cfRule type="duplicateValues" dxfId="663" priority="512"/>
  </conditionalFormatting>
  <conditionalFormatting sqref="C345">
    <cfRule type="duplicateValues" dxfId="662" priority="507"/>
    <cfRule type="duplicateValues" dxfId="661" priority="508"/>
    <cfRule type="duplicateValues" dxfId="660" priority="509"/>
  </conditionalFormatting>
  <conditionalFormatting sqref="C346">
    <cfRule type="duplicateValues" dxfId="659" priority="504"/>
    <cfRule type="duplicateValues" dxfId="658" priority="505"/>
    <cfRule type="duplicateValues" dxfId="657" priority="506"/>
  </conditionalFormatting>
  <conditionalFormatting sqref="C347">
    <cfRule type="duplicateValues" dxfId="656" priority="579"/>
    <cfRule type="duplicateValues" dxfId="655" priority="580"/>
    <cfRule type="duplicateValues" dxfId="654" priority="581"/>
  </conditionalFormatting>
  <conditionalFormatting sqref="C348">
    <cfRule type="duplicateValues" dxfId="653" priority="490"/>
    <cfRule type="duplicateValues" dxfId="652" priority="492"/>
    <cfRule type="duplicateValues" dxfId="651" priority="494"/>
    <cfRule type="duplicateValues" dxfId="650" priority="496"/>
    <cfRule type="duplicateValues" dxfId="649" priority="498"/>
    <cfRule type="duplicateValues" dxfId="648" priority="500"/>
  </conditionalFormatting>
  <conditionalFormatting sqref="C349">
    <cfRule type="duplicateValues" dxfId="647" priority="489"/>
    <cfRule type="duplicateValues" dxfId="646" priority="491"/>
    <cfRule type="duplicateValues" dxfId="645" priority="493"/>
    <cfRule type="duplicateValues" dxfId="644" priority="495"/>
    <cfRule type="duplicateValues" dxfId="643" priority="497"/>
    <cfRule type="duplicateValues" dxfId="642" priority="499"/>
  </conditionalFormatting>
  <conditionalFormatting sqref="C358">
    <cfRule type="duplicateValues" dxfId="641" priority="475"/>
    <cfRule type="duplicateValues" dxfId="640" priority="476"/>
    <cfRule type="duplicateValues" dxfId="639" priority="477"/>
    <cfRule type="duplicateValues" dxfId="638" priority="478"/>
    <cfRule type="duplicateValues" dxfId="637" priority="479"/>
    <cfRule type="duplicateValues" dxfId="636" priority="480"/>
    <cfRule type="duplicateValues" dxfId="635" priority="481"/>
  </conditionalFormatting>
  <conditionalFormatting sqref="C359">
    <cfRule type="duplicateValues" dxfId="634" priority="468"/>
    <cfRule type="duplicateValues" dxfId="633" priority="469"/>
    <cfRule type="duplicateValues" dxfId="632" priority="470"/>
    <cfRule type="duplicateValues" dxfId="631" priority="471"/>
    <cfRule type="duplicateValues" dxfId="630" priority="472"/>
    <cfRule type="duplicateValues" dxfId="629" priority="473"/>
    <cfRule type="duplicateValues" dxfId="628" priority="474"/>
  </conditionalFormatting>
  <conditionalFormatting sqref="C360">
    <cfRule type="duplicateValues" dxfId="627" priority="461"/>
    <cfRule type="duplicateValues" dxfId="626" priority="462"/>
    <cfRule type="duplicateValues" dxfId="625" priority="463"/>
    <cfRule type="duplicateValues" dxfId="624" priority="464"/>
    <cfRule type="duplicateValues" dxfId="623" priority="465"/>
    <cfRule type="duplicateValues" dxfId="622" priority="466"/>
    <cfRule type="duplicateValues" dxfId="621" priority="467"/>
  </conditionalFormatting>
  <conditionalFormatting sqref="C361">
    <cfRule type="duplicateValues" dxfId="620" priority="445"/>
    <cfRule type="duplicateValues" dxfId="619" priority="447"/>
    <cfRule type="duplicateValues" dxfId="618" priority="449"/>
    <cfRule type="duplicateValues" dxfId="617" priority="451"/>
    <cfRule type="duplicateValues" dxfId="616" priority="453"/>
    <cfRule type="duplicateValues" dxfId="615" priority="455"/>
    <cfRule type="duplicateValues" dxfId="614" priority="457"/>
    <cfRule type="duplicateValues" dxfId="613" priority="459"/>
  </conditionalFormatting>
  <conditionalFormatting sqref="C362">
    <cfRule type="duplicateValues" dxfId="612" priority="444"/>
    <cfRule type="duplicateValues" dxfId="611" priority="446"/>
    <cfRule type="duplicateValues" dxfId="610" priority="448"/>
    <cfRule type="duplicateValues" dxfId="609" priority="450"/>
    <cfRule type="duplicateValues" dxfId="608" priority="452"/>
    <cfRule type="duplicateValues" dxfId="607" priority="454"/>
    <cfRule type="duplicateValues" dxfId="606" priority="456"/>
    <cfRule type="duplicateValues" dxfId="605" priority="458"/>
  </conditionalFormatting>
  <conditionalFormatting sqref="C363">
    <cfRule type="duplicateValues" dxfId="604" priority="418"/>
    <cfRule type="duplicateValues" dxfId="603" priority="421"/>
    <cfRule type="duplicateValues" dxfId="602" priority="424"/>
    <cfRule type="duplicateValues" dxfId="601" priority="427"/>
    <cfRule type="duplicateValues" dxfId="600" priority="430"/>
    <cfRule type="duplicateValues" dxfId="599" priority="433"/>
    <cfRule type="duplicateValues" dxfId="598" priority="436"/>
    <cfRule type="duplicateValues" dxfId="597" priority="439"/>
    <cfRule type="duplicateValues" dxfId="596" priority="442"/>
  </conditionalFormatting>
  <conditionalFormatting sqref="C364">
    <cfRule type="duplicateValues" dxfId="595" priority="417"/>
    <cfRule type="duplicateValues" dxfId="594" priority="420"/>
    <cfRule type="duplicateValues" dxfId="593" priority="423"/>
    <cfRule type="duplicateValues" dxfId="592" priority="426"/>
    <cfRule type="duplicateValues" dxfId="591" priority="429"/>
    <cfRule type="duplicateValues" dxfId="590" priority="432"/>
    <cfRule type="duplicateValues" dxfId="589" priority="435"/>
    <cfRule type="duplicateValues" dxfId="588" priority="438"/>
    <cfRule type="duplicateValues" dxfId="587" priority="441"/>
  </conditionalFormatting>
  <conditionalFormatting sqref="C365">
    <cfRule type="duplicateValues" dxfId="586" priority="416"/>
    <cfRule type="duplicateValues" dxfId="585" priority="419"/>
    <cfRule type="duplicateValues" dxfId="584" priority="422"/>
    <cfRule type="duplicateValues" dxfId="583" priority="425"/>
    <cfRule type="duplicateValues" dxfId="582" priority="428"/>
    <cfRule type="duplicateValues" dxfId="581" priority="431"/>
    <cfRule type="duplicateValues" dxfId="580" priority="434"/>
    <cfRule type="duplicateValues" dxfId="579" priority="437"/>
    <cfRule type="duplicateValues" dxfId="578" priority="440"/>
  </conditionalFormatting>
  <conditionalFormatting sqref="C366">
    <cfRule type="duplicateValues" dxfId="577" priority="405"/>
    <cfRule type="duplicateValues" dxfId="576" priority="406"/>
    <cfRule type="duplicateValues" dxfId="575" priority="407"/>
    <cfRule type="duplicateValues" dxfId="574" priority="408"/>
    <cfRule type="duplicateValues" dxfId="573" priority="409"/>
    <cfRule type="duplicateValues" dxfId="572" priority="410"/>
    <cfRule type="duplicateValues" dxfId="571" priority="411"/>
    <cfRule type="duplicateValues" dxfId="570" priority="412"/>
    <cfRule type="duplicateValues" dxfId="569" priority="413"/>
    <cfRule type="duplicateValues" dxfId="568" priority="414"/>
  </conditionalFormatting>
  <conditionalFormatting sqref="C367">
    <cfRule type="duplicateValues" dxfId="567" priority="393"/>
    <cfRule type="duplicateValues" dxfId="566" priority="394"/>
    <cfRule type="duplicateValues" dxfId="565" priority="395"/>
    <cfRule type="duplicateValues" dxfId="564" priority="396"/>
    <cfRule type="duplicateValues" dxfId="563" priority="397"/>
    <cfRule type="duplicateValues" dxfId="562" priority="398"/>
    <cfRule type="duplicateValues" dxfId="561" priority="399"/>
    <cfRule type="duplicateValues" dxfId="560" priority="400"/>
    <cfRule type="duplicateValues" dxfId="559" priority="401"/>
    <cfRule type="duplicateValues" dxfId="558" priority="402"/>
    <cfRule type="duplicateValues" dxfId="557" priority="403"/>
  </conditionalFormatting>
  <conditionalFormatting sqref="C373">
    <cfRule type="duplicateValues" dxfId="556" priority="350"/>
    <cfRule type="duplicateValues" dxfId="555" priority="352"/>
    <cfRule type="duplicateValues" dxfId="554" priority="354"/>
    <cfRule type="duplicateValues" dxfId="553" priority="356"/>
    <cfRule type="duplicateValues" dxfId="552" priority="358"/>
    <cfRule type="duplicateValues" dxfId="551" priority="360"/>
    <cfRule type="duplicateValues" dxfId="550" priority="362"/>
    <cfRule type="duplicateValues" dxfId="549" priority="364"/>
    <cfRule type="duplicateValues" dxfId="548" priority="366"/>
    <cfRule type="duplicateValues" dxfId="547" priority="368"/>
    <cfRule type="duplicateValues" dxfId="546" priority="370"/>
    <cfRule type="duplicateValues" dxfId="545" priority="372"/>
  </conditionalFormatting>
  <conditionalFormatting sqref="C374">
    <cfRule type="duplicateValues" dxfId="544" priority="327"/>
    <cfRule type="duplicateValues" dxfId="543" priority="329"/>
    <cfRule type="duplicateValues" dxfId="542" priority="331"/>
    <cfRule type="duplicateValues" dxfId="541" priority="333"/>
    <cfRule type="duplicateValues" dxfId="540" priority="335"/>
    <cfRule type="duplicateValues" dxfId="539" priority="337"/>
    <cfRule type="duplicateValues" dxfId="538" priority="339"/>
    <cfRule type="duplicateValues" dxfId="537" priority="341"/>
    <cfRule type="duplicateValues" dxfId="536" priority="343"/>
    <cfRule type="duplicateValues" dxfId="535" priority="345"/>
    <cfRule type="duplicateValues" dxfId="534" priority="347"/>
    <cfRule type="duplicateValues" dxfId="533" priority="349"/>
  </conditionalFormatting>
  <conditionalFormatting sqref="C375">
    <cfRule type="duplicateValues" dxfId="532" priority="326"/>
    <cfRule type="duplicateValues" dxfId="531" priority="328"/>
    <cfRule type="duplicateValues" dxfId="530" priority="330"/>
    <cfRule type="duplicateValues" dxfId="529" priority="332"/>
    <cfRule type="duplicateValues" dxfId="528" priority="334"/>
    <cfRule type="duplicateValues" dxfId="527" priority="336"/>
    <cfRule type="duplicateValues" dxfId="526" priority="338"/>
    <cfRule type="duplicateValues" dxfId="525" priority="340"/>
    <cfRule type="duplicateValues" dxfId="524" priority="342"/>
    <cfRule type="duplicateValues" dxfId="523" priority="344"/>
    <cfRule type="duplicateValues" dxfId="522" priority="346"/>
    <cfRule type="duplicateValues" dxfId="521" priority="348"/>
  </conditionalFormatting>
  <conditionalFormatting sqref="C376">
    <cfRule type="duplicateValues" dxfId="520" priority="314"/>
    <cfRule type="duplicateValues" dxfId="519" priority="315"/>
    <cfRule type="duplicateValues" dxfId="518" priority="316"/>
    <cfRule type="duplicateValues" dxfId="517" priority="317"/>
    <cfRule type="duplicateValues" dxfId="516" priority="318"/>
    <cfRule type="duplicateValues" dxfId="515" priority="319"/>
    <cfRule type="duplicateValues" dxfId="514" priority="320"/>
    <cfRule type="duplicateValues" dxfId="513" priority="321"/>
    <cfRule type="duplicateValues" dxfId="512" priority="322"/>
    <cfRule type="duplicateValues" dxfId="511" priority="323"/>
    <cfRule type="duplicateValues" dxfId="510" priority="324"/>
    <cfRule type="duplicateValues" dxfId="509" priority="325"/>
  </conditionalFormatting>
  <conditionalFormatting sqref="C384">
    <cfRule type="duplicateValues" dxfId="508" priority="285"/>
    <cfRule type="duplicateValues" dxfId="507" priority="286"/>
    <cfRule type="duplicateValues" dxfId="506" priority="287"/>
    <cfRule type="duplicateValues" dxfId="505" priority="288"/>
    <cfRule type="duplicateValues" dxfId="504" priority="289"/>
    <cfRule type="duplicateValues" dxfId="503" priority="290"/>
    <cfRule type="duplicateValues" dxfId="502" priority="291"/>
    <cfRule type="duplicateValues" dxfId="501" priority="292"/>
    <cfRule type="duplicateValues" dxfId="500" priority="293"/>
    <cfRule type="duplicateValues" dxfId="499" priority="294"/>
    <cfRule type="duplicateValues" dxfId="498" priority="295"/>
    <cfRule type="duplicateValues" dxfId="497" priority="296"/>
    <cfRule type="duplicateValues" dxfId="496" priority="297"/>
    <cfRule type="duplicateValues" dxfId="495" priority="298"/>
  </conditionalFormatting>
  <conditionalFormatting sqref="C385">
    <cfRule type="duplicateValues" dxfId="494" priority="271"/>
    <cfRule type="duplicateValues" dxfId="493" priority="272"/>
    <cfRule type="duplicateValues" dxfId="492" priority="273"/>
    <cfRule type="duplicateValues" dxfId="491" priority="274"/>
    <cfRule type="duplicateValues" dxfId="490" priority="275"/>
    <cfRule type="duplicateValues" dxfId="489" priority="276"/>
    <cfRule type="duplicateValues" dxfId="488" priority="277"/>
    <cfRule type="duplicateValues" dxfId="487" priority="278"/>
    <cfRule type="duplicateValues" dxfId="486" priority="279"/>
    <cfRule type="duplicateValues" dxfId="485" priority="280"/>
    <cfRule type="duplicateValues" dxfId="484" priority="281"/>
    <cfRule type="duplicateValues" dxfId="483" priority="282"/>
    <cfRule type="duplicateValues" dxfId="482" priority="283"/>
    <cfRule type="duplicateValues" dxfId="481" priority="284"/>
  </conditionalFormatting>
  <conditionalFormatting sqref="C388">
    <cfRule type="duplicateValues" dxfId="480" priority="212"/>
    <cfRule type="duplicateValues" dxfId="479" priority="213"/>
    <cfRule type="duplicateValues" dxfId="478" priority="214"/>
    <cfRule type="duplicateValues" dxfId="477" priority="215"/>
    <cfRule type="duplicateValues" dxfId="476" priority="216"/>
    <cfRule type="duplicateValues" dxfId="475" priority="217"/>
    <cfRule type="duplicateValues" dxfId="474" priority="218"/>
    <cfRule type="duplicateValues" dxfId="473" priority="219"/>
    <cfRule type="duplicateValues" dxfId="472" priority="220"/>
    <cfRule type="duplicateValues" dxfId="471" priority="221"/>
    <cfRule type="duplicateValues" dxfId="470" priority="222"/>
    <cfRule type="duplicateValues" dxfId="469" priority="223"/>
    <cfRule type="duplicateValues" dxfId="468" priority="224"/>
    <cfRule type="duplicateValues" dxfId="467" priority="225"/>
  </conditionalFormatting>
  <conditionalFormatting sqref="C391">
    <cfRule type="duplicateValues" dxfId="466" priority="146"/>
    <cfRule type="duplicateValues" dxfId="465" priority="149"/>
    <cfRule type="duplicateValues" dxfId="464" priority="152"/>
    <cfRule type="duplicateValues" dxfId="463" priority="155"/>
    <cfRule type="duplicateValues" dxfId="462" priority="158"/>
    <cfRule type="duplicateValues" dxfId="461" priority="161"/>
    <cfRule type="duplicateValues" dxfId="460" priority="164"/>
    <cfRule type="duplicateValues" dxfId="459" priority="167"/>
    <cfRule type="duplicateValues" dxfId="458" priority="170"/>
    <cfRule type="duplicateValues" dxfId="457" priority="173"/>
    <cfRule type="duplicateValues" dxfId="456" priority="176"/>
    <cfRule type="duplicateValues" dxfId="455" priority="179"/>
    <cfRule type="duplicateValues" dxfId="454" priority="182"/>
    <cfRule type="duplicateValues" dxfId="453" priority="185"/>
    <cfRule type="duplicateValues" dxfId="452" priority="188"/>
    <cfRule type="duplicateValues" dxfId="451" priority="191"/>
    <cfRule type="duplicateValues" dxfId="450" priority="194"/>
    <cfRule type="duplicateValues" dxfId="449" priority="197"/>
    <cfRule type="duplicateValues" dxfId="448" priority="200"/>
    <cfRule type="duplicateValues" dxfId="447" priority="203"/>
    <cfRule type="duplicateValues" dxfId="446" priority="206"/>
    <cfRule type="duplicateValues" dxfId="445" priority="209"/>
  </conditionalFormatting>
  <conditionalFormatting sqref="C396">
    <cfRule type="duplicateValues" dxfId="444" priority="120"/>
    <cfRule type="duplicateValues" dxfId="443" priority="121"/>
    <cfRule type="duplicateValues" dxfId="442" priority="122"/>
    <cfRule type="duplicateValues" dxfId="441" priority="123"/>
    <cfRule type="duplicateValues" dxfId="440" priority="124"/>
    <cfRule type="duplicateValues" dxfId="439" priority="125"/>
    <cfRule type="duplicateValues" dxfId="438" priority="126"/>
    <cfRule type="duplicateValues" dxfId="437" priority="127"/>
    <cfRule type="duplicateValues" dxfId="436" priority="128"/>
    <cfRule type="duplicateValues" dxfId="435" priority="129"/>
    <cfRule type="duplicateValues" dxfId="434" priority="130"/>
    <cfRule type="duplicateValues" dxfId="433" priority="131"/>
    <cfRule type="duplicateValues" dxfId="432" priority="132"/>
    <cfRule type="duplicateValues" dxfId="431" priority="133"/>
    <cfRule type="duplicateValues" dxfId="430" priority="134"/>
    <cfRule type="duplicateValues" dxfId="429" priority="135"/>
    <cfRule type="duplicateValues" dxfId="428" priority="136"/>
    <cfRule type="duplicateValues" dxfId="427" priority="137"/>
    <cfRule type="duplicateValues" dxfId="426" priority="138"/>
    <cfRule type="duplicateValues" dxfId="425" priority="139"/>
    <cfRule type="duplicateValues" dxfId="424" priority="140"/>
    <cfRule type="duplicateValues" dxfId="423" priority="141"/>
    <cfRule type="duplicateValues" dxfId="422" priority="142"/>
  </conditionalFormatting>
  <conditionalFormatting sqref="C397">
    <cfRule type="duplicateValues" dxfId="421" priority="53"/>
    <cfRule type="duplicateValues" dxfId="420" priority="56"/>
    <cfRule type="duplicateValues" dxfId="419" priority="59"/>
    <cfRule type="duplicateValues" dxfId="418" priority="62"/>
    <cfRule type="duplicateValues" dxfId="417" priority="65"/>
    <cfRule type="duplicateValues" dxfId="416" priority="68"/>
    <cfRule type="duplicateValues" dxfId="415" priority="71"/>
    <cfRule type="duplicateValues" dxfId="414" priority="74"/>
    <cfRule type="duplicateValues" dxfId="413" priority="77"/>
    <cfRule type="duplicateValues" dxfId="412" priority="80"/>
    <cfRule type="duplicateValues" dxfId="411" priority="83"/>
    <cfRule type="duplicateValues" dxfId="410" priority="86"/>
    <cfRule type="duplicateValues" dxfId="409" priority="89"/>
    <cfRule type="duplicateValues" dxfId="408" priority="92"/>
    <cfRule type="duplicateValues" dxfId="407" priority="95"/>
    <cfRule type="duplicateValues" dxfId="406" priority="98"/>
    <cfRule type="duplicateValues" dxfId="405" priority="101"/>
    <cfRule type="duplicateValues" dxfId="404" priority="104"/>
    <cfRule type="duplicateValues" dxfId="403" priority="107"/>
    <cfRule type="duplicateValues" dxfId="402" priority="110"/>
    <cfRule type="duplicateValues" dxfId="401" priority="113"/>
    <cfRule type="duplicateValues" dxfId="400" priority="116"/>
    <cfRule type="duplicateValues" dxfId="399" priority="119"/>
  </conditionalFormatting>
  <conditionalFormatting sqref="C398">
    <cfRule type="duplicateValues" dxfId="398" priority="26"/>
    <cfRule type="duplicateValues" dxfId="397" priority="27"/>
    <cfRule type="duplicateValues" dxfId="396" priority="28"/>
    <cfRule type="duplicateValues" dxfId="395" priority="29"/>
    <cfRule type="duplicateValues" dxfId="394" priority="30"/>
    <cfRule type="duplicateValues" dxfId="393" priority="31"/>
    <cfRule type="duplicateValues" dxfId="392" priority="32"/>
    <cfRule type="duplicateValues" dxfId="391" priority="33"/>
    <cfRule type="duplicateValues" dxfId="390" priority="34"/>
    <cfRule type="duplicateValues" dxfId="389" priority="35"/>
    <cfRule type="duplicateValues" dxfId="388" priority="36"/>
    <cfRule type="duplicateValues" dxfId="387" priority="37"/>
    <cfRule type="duplicateValues" dxfId="386" priority="38"/>
    <cfRule type="duplicateValues" dxfId="385" priority="39"/>
    <cfRule type="duplicateValues" dxfId="384" priority="40"/>
    <cfRule type="duplicateValues" dxfId="383" priority="41"/>
    <cfRule type="duplicateValues" dxfId="382" priority="42"/>
    <cfRule type="duplicateValues" dxfId="381" priority="43"/>
    <cfRule type="duplicateValues" dxfId="380" priority="44"/>
    <cfRule type="duplicateValues" dxfId="379" priority="45"/>
    <cfRule type="duplicateValues" dxfId="378" priority="46"/>
    <cfRule type="duplicateValues" dxfId="377" priority="47"/>
    <cfRule type="duplicateValues" dxfId="376" priority="48"/>
    <cfRule type="duplicateValues" dxfId="375" priority="49"/>
  </conditionalFormatting>
  <conditionalFormatting sqref="C399">
    <cfRule type="duplicateValues" dxfId="374" priority="52"/>
    <cfRule type="duplicateValues" dxfId="373" priority="55"/>
    <cfRule type="duplicateValues" dxfId="372" priority="58"/>
    <cfRule type="duplicateValues" dxfId="371" priority="61"/>
    <cfRule type="duplicateValues" dxfId="370" priority="64"/>
    <cfRule type="duplicateValues" dxfId="369" priority="67"/>
    <cfRule type="duplicateValues" dxfId="368" priority="70"/>
    <cfRule type="duplicateValues" dxfId="367" priority="73"/>
    <cfRule type="duplicateValues" dxfId="366" priority="76"/>
    <cfRule type="duplicateValues" dxfId="365" priority="79"/>
    <cfRule type="duplicateValues" dxfId="364" priority="82"/>
    <cfRule type="duplicateValues" dxfId="363" priority="85"/>
    <cfRule type="duplicateValues" dxfId="362" priority="88"/>
    <cfRule type="duplicateValues" dxfId="361" priority="91"/>
    <cfRule type="duplicateValues" dxfId="360" priority="94"/>
    <cfRule type="duplicateValues" dxfId="359" priority="97"/>
    <cfRule type="duplicateValues" dxfId="358" priority="100"/>
    <cfRule type="duplicateValues" dxfId="357" priority="103"/>
    <cfRule type="duplicateValues" dxfId="356" priority="106"/>
    <cfRule type="duplicateValues" dxfId="355" priority="109"/>
    <cfRule type="duplicateValues" dxfId="354" priority="112"/>
    <cfRule type="duplicateValues" dxfId="353" priority="115"/>
    <cfRule type="duplicateValues" dxfId="352" priority="118"/>
  </conditionalFormatting>
  <conditionalFormatting sqref="C400">
    <cfRule type="duplicateValues" dxfId="351" priority="51"/>
    <cfRule type="duplicateValues" dxfId="350" priority="54"/>
    <cfRule type="duplicateValues" dxfId="349" priority="57"/>
    <cfRule type="duplicateValues" dxfId="348" priority="60"/>
    <cfRule type="duplicateValues" dxfId="347" priority="63"/>
    <cfRule type="duplicateValues" dxfId="346" priority="66"/>
    <cfRule type="duplicateValues" dxfId="345" priority="69"/>
    <cfRule type="duplicateValues" dxfId="344" priority="72"/>
    <cfRule type="duplicateValues" dxfId="343" priority="75"/>
    <cfRule type="duplicateValues" dxfId="342" priority="78"/>
    <cfRule type="duplicateValues" dxfId="341" priority="81"/>
    <cfRule type="duplicateValues" dxfId="340" priority="84"/>
    <cfRule type="duplicateValues" dxfId="339" priority="87"/>
    <cfRule type="duplicateValues" dxfId="338" priority="90"/>
    <cfRule type="duplicateValues" dxfId="337" priority="93"/>
    <cfRule type="duplicateValues" dxfId="336" priority="96"/>
    <cfRule type="duplicateValues" dxfId="335" priority="99"/>
    <cfRule type="duplicateValues" dxfId="334" priority="102"/>
    <cfRule type="duplicateValues" dxfId="333" priority="105"/>
    <cfRule type="duplicateValues" dxfId="332" priority="108"/>
    <cfRule type="duplicateValues" dxfId="331" priority="111"/>
    <cfRule type="duplicateValues" dxfId="330" priority="114"/>
    <cfRule type="duplicateValues" dxfId="329" priority="117"/>
  </conditionalFormatting>
  <conditionalFormatting sqref="C401">
    <cfRule type="duplicateValues" dxfId="328" priority="2"/>
    <cfRule type="duplicateValues" dxfId="327" priority="3"/>
    <cfRule type="duplicateValues" dxfId="326" priority="4"/>
    <cfRule type="duplicateValues" dxfId="325" priority="5"/>
    <cfRule type="duplicateValues" dxfId="324" priority="6"/>
    <cfRule type="duplicateValues" dxfId="323" priority="7"/>
    <cfRule type="duplicateValues" dxfId="322" priority="8"/>
    <cfRule type="duplicateValues" dxfId="321" priority="9"/>
    <cfRule type="duplicateValues" dxfId="320" priority="10"/>
    <cfRule type="duplicateValues" dxfId="319" priority="11"/>
    <cfRule type="duplicateValues" dxfId="318" priority="12"/>
    <cfRule type="duplicateValues" dxfId="317" priority="13"/>
    <cfRule type="duplicateValues" dxfId="316" priority="14"/>
    <cfRule type="duplicateValues" dxfId="315" priority="15"/>
    <cfRule type="duplicateValues" dxfId="314" priority="16"/>
    <cfRule type="duplicateValues" dxfId="313" priority="17"/>
    <cfRule type="duplicateValues" dxfId="312" priority="18"/>
    <cfRule type="duplicateValues" dxfId="311" priority="19"/>
    <cfRule type="duplicateValues" dxfId="310" priority="20"/>
    <cfRule type="duplicateValues" dxfId="309" priority="21"/>
    <cfRule type="duplicateValues" dxfId="308" priority="22"/>
    <cfRule type="duplicateValues" dxfId="307" priority="23"/>
    <cfRule type="duplicateValues" dxfId="306" priority="24"/>
    <cfRule type="duplicateValues" dxfId="305" priority="25"/>
  </conditionalFormatting>
  <conditionalFormatting sqref="C108:C390">
    <cfRule type="duplicateValues" dxfId="304" priority="210"/>
    <cfRule type="duplicateValues" dxfId="303" priority="211"/>
  </conditionalFormatting>
  <conditionalFormatting sqref="C108:C395">
    <cfRule type="duplicateValues" dxfId="302" priority="143"/>
  </conditionalFormatting>
  <conditionalFormatting sqref="C108:C401">
    <cfRule type="duplicateValues" dxfId="301" priority="1"/>
  </conditionalFormatting>
  <conditionalFormatting sqref="C350:C357">
    <cfRule type="duplicateValues" dxfId="300" priority="483"/>
    <cfRule type="duplicateValues" dxfId="299" priority="484"/>
    <cfRule type="duplicateValues" dxfId="298" priority="485"/>
    <cfRule type="duplicateValues" dxfId="297" priority="486"/>
    <cfRule type="duplicateValues" dxfId="296" priority="487"/>
    <cfRule type="duplicateValues" dxfId="295" priority="488"/>
  </conditionalFormatting>
  <conditionalFormatting sqref="C368:C372">
    <cfRule type="duplicateValues" dxfId="294" priority="351"/>
    <cfRule type="duplicateValues" dxfId="293" priority="353"/>
    <cfRule type="duplicateValues" dxfId="292" priority="355"/>
    <cfRule type="duplicateValues" dxfId="291" priority="357"/>
    <cfRule type="duplicateValues" dxfId="290" priority="359"/>
    <cfRule type="duplicateValues" dxfId="289" priority="361"/>
    <cfRule type="duplicateValues" dxfId="288" priority="363"/>
    <cfRule type="duplicateValues" dxfId="287" priority="365"/>
    <cfRule type="duplicateValues" dxfId="286" priority="367"/>
    <cfRule type="duplicateValues" dxfId="285" priority="369"/>
    <cfRule type="duplicateValues" dxfId="284" priority="371"/>
    <cfRule type="duplicateValues" dxfId="283" priority="373"/>
  </conditionalFormatting>
  <conditionalFormatting sqref="C377:C383">
    <cfRule type="duplicateValues" dxfId="282" priority="300"/>
    <cfRule type="duplicateValues" dxfId="281" priority="301"/>
    <cfRule type="duplicateValues" dxfId="280" priority="302"/>
    <cfRule type="duplicateValues" dxfId="279" priority="303"/>
    <cfRule type="duplicateValues" dxfId="278" priority="304"/>
    <cfRule type="duplicateValues" dxfId="277" priority="305"/>
    <cfRule type="duplicateValues" dxfId="276" priority="306"/>
    <cfRule type="duplicateValues" dxfId="275" priority="307"/>
    <cfRule type="duplicateValues" dxfId="274" priority="308"/>
    <cfRule type="duplicateValues" dxfId="273" priority="309"/>
    <cfRule type="duplicateValues" dxfId="272" priority="310"/>
    <cfRule type="duplicateValues" dxfId="271" priority="311"/>
    <cfRule type="duplicateValues" dxfId="270" priority="312"/>
  </conditionalFormatting>
  <conditionalFormatting sqref="C386:C387">
    <cfRule type="duplicateValues" dxfId="269" priority="246"/>
    <cfRule type="duplicateValues" dxfId="268" priority="247"/>
    <cfRule type="duplicateValues" dxfId="267" priority="248"/>
    <cfRule type="duplicateValues" dxfId="266" priority="249"/>
    <cfRule type="duplicateValues" dxfId="265" priority="250"/>
    <cfRule type="duplicateValues" dxfId="264" priority="251"/>
    <cfRule type="duplicateValues" dxfId="263" priority="252"/>
    <cfRule type="duplicateValues" dxfId="262" priority="253"/>
    <cfRule type="duplicateValues" dxfId="261" priority="254"/>
    <cfRule type="duplicateValues" dxfId="260" priority="255"/>
    <cfRule type="duplicateValues" dxfId="259" priority="256"/>
    <cfRule type="duplicateValues" dxfId="258" priority="257"/>
    <cfRule type="duplicateValues" dxfId="257" priority="258"/>
    <cfRule type="duplicateValues" dxfId="256" priority="259"/>
  </conditionalFormatting>
  <conditionalFormatting sqref="C389:C390">
    <cfRule type="duplicateValues" dxfId="255" priority="226"/>
    <cfRule type="duplicateValues" dxfId="254" priority="227"/>
    <cfRule type="duplicateValues" dxfId="253" priority="228"/>
    <cfRule type="duplicateValues" dxfId="252" priority="229"/>
    <cfRule type="duplicateValues" dxfId="251" priority="230"/>
    <cfRule type="duplicateValues" dxfId="250" priority="231"/>
    <cfRule type="duplicateValues" dxfId="249" priority="232"/>
    <cfRule type="duplicateValues" dxfId="248" priority="233"/>
    <cfRule type="duplicateValues" dxfId="247" priority="234"/>
    <cfRule type="duplicateValues" dxfId="246" priority="235"/>
    <cfRule type="duplicateValues" dxfId="245" priority="236"/>
    <cfRule type="duplicateValues" dxfId="244" priority="237"/>
    <cfRule type="duplicateValues" dxfId="243" priority="238"/>
    <cfRule type="duplicateValues" dxfId="242" priority="239"/>
    <cfRule type="duplicateValues" dxfId="241" priority="240"/>
    <cfRule type="duplicateValues" dxfId="240" priority="241"/>
    <cfRule type="duplicateValues" dxfId="239" priority="242"/>
    <cfRule type="duplicateValues" dxfId="238" priority="243"/>
    <cfRule type="duplicateValues" dxfId="237" priority="244"/>
    <cfRule type="duplicateValues" dxfId="236" priority="245"/>
  </conditionalFormatting>
  <conditionalFormatting sqref="C108:C214 C218:C321">
    <cfRule type="duplicateValues" dxfId="235" priority="503"/>
  </conditionalFormatting>
  <conditionalFormatting sqref="C108:C184 C218:C321 C186:C214">
    <cfRule type="duplicateValues" dxfId="234" priority="501"/>
    <cfRule type="duplicateValues" dxfId="233" priority="502"/>
  </conditionalFormatting>
  <conditionalFormatting sqref="C108:C214 C218:C357">
    <cfRule type="duplicateValues" dxfId="232" priority="482"/>
  </conditionalFormatting>
  <conditionalFormatting sqref="C108:C214 C218:C360">
    <cfRule type="duplicateValues" dxfId="231" priority="460"/>
  </conditionalFormatting>
  <conditionalFormatting sqref="C108:C214 C218:C362">
    <cfRule type="duplicateValues" dxfId="230" priority="443"/>
  </conditionalFormatting>
  <conditionalFormatting sqref="C108:C214 C218:C365">
    <cfRule type="duplicateValues" dxfId="229" priority="415"/>
  </conditionalFormatting>
  <conditionalFormatting sqref="C108:C214 C218:C366">
    <cfRule type="duplicateValues" dxfId="228" priority="404"/>
  </conditionalFormatting>
  <conditionalFormatting sqref="C108:C214 C218:C367">
    <cfRule type="duplicateValues" dxfId="227" priority="392"/>
  </conditionalFormatting>
  <conditionalFormatting sqref="C108:C216 C218:C376">
    <cfRule type="duplicateValues" dxfId="226" priority="313"/>
  </conditionalFormatting>
  <conditionalFormatting sqref="C108:C216 C218:C383">
    <cfRule type="duplicateValues" dxfId="225" priority="299"/>
  </conditionalFormatting>
  <conditionalFormatting sqref="C108:C397 C399:C400">
    <cfRule type="duplicateValues" dxfId="224" priority="50"/>
  </conditionalFormatting>
  <conditionalFormatting sqref="C392 C394">
    <cfRule type="duplicateValues" dxfId="223" priority="145"/>
    <cfRule type="duplicateValues" dxfId="222" priority="148"/>
    <cfRule type="duplicateValues" dxfId="221" priority="151"/>
    <cfRule type="duplicateValues" dxfId="220" priority="154"/>
    <cfRule type="duplicateValues" dxfId="219" priority="157"/>
    <cfRule type="duplicateValues" dxfId="218" priority="160"/>
    <cfRule type="duplicateValues" dxfId="217" priority="163"/>
    <cfRule type="duplicateValues" dxfId="216" priority="166"/>
    <cfRule type="duplicateValues" dxfId="215" priority="169"/>
    <cfRule type="duplicateValues" dxfId="214" priority="172"/>
    <cfRule type="duplicateValues" dxfId="213" priority="175"/>
    <cfRule type="duplicateValues" dxfId="212" priority="178"/>
    <cfRule type="duplicateValues" dxfId="211" priority="181"/>
    <cfRule type="duplicateValues" dxfId="210" priority="184"/>
    <cfRule type="duplicateValues" dxfId="209" priority="187"/>
    <cfRule type="duplicateValues" dxfId="208" priority="190"/>
    <cfRule type="duplicateValues" dxfId="207" priority="193"/>
    <cfRule type="duplicateValues" dxfId="206" priority="196"/>
    <cfRule type="duplicateValues" dxfId="205" priority="199"/>
    <cfRule type="duplicateValues" dxfId="204" priority="202"/>
    <cfRule type="duplicateValues" dxfId="203" priority="205"/>
    <cfRule type="duplicateValues" dxfId="202" priority="208"/>
  </conditionalFormatting>
  <conditionalFormatting sqref="C393 C395">
    <cfRule type="duplicateValues" dxfId="201" priority="144"/>
    <cfRule type="duplicateValues" dxfId="200" priority="147"/>
    <cfRule type="duplicateValues" dxfId="199" priority="150"/>
    <cfRule type="duplicateValues" dxfId="198" priority="153"/>
    <cfRule type="duplicateValues" dxfId="197" priority="156"/>
    <cfRule type="duplicateValues" dxfId="196" priority="159"/>
    <cfRule type="duplicateValues" dxfId="195" priority="162"/>
    <cfRule type="duplicateValues" dxfId="194" priority="165"/>
    <cfRule type="duplicateValues" dxfId="193" priority="168"/>
    <cfRule type="duplicateValues" dxfId="192" priority="171"/>
    <cfRule type="duplicateValues" dxfId="191" priority="174"/>
    <cfRule type="duplicateValues" dxfId="190" priority="177"/>
    <cfRule type="duplicateValues" dxfId="189" priority="180"/>
    <cfRule type="duplicateValues" dxfId="188" priority="183"/>
    <cfRule type="duplicateValues" dxfId="187" priority="186"/>
    <cfRule type="duplicateValues" dxfId="186" priority="189"/>
    <cfRule type="duplicateValues" dxfId="185" priority="192"/>
    <cfRule type="duplicateValues" dxfId="184" priority="195"/>
    <cfRule type="duplicateValues" dxfId="183" priority="198"/>
    <cfRule type="duplicateValues" dxfId="182" priority="201"/>
    <cfRule type="duplicateValues" dxfId="181" priority="204"/>
    <cfRule type="duplicateValues" dxfId="180" priority="207"/>
  </conditionalFormatting>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70" zoomScaleNormal="100" zoomScaleSheetLayoutView="70" workbookViewId="0">
      <selection activeCell="K42" sqref="K42"/>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5"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1130</v>
      </c>
      <c r="B1" s="1136"/>
      <c r="C1" s="1136"/>
      <c r="D1" s="1136"/>
      <c r="E1" s="1136"/>
      <c r="F1" s="1136"/>
      <c r="G1" s="1136"/>
      <c r="H1" s="1136"/>
      <c r="I1" s="1136"/>
      <c r="J1" s="1136"/>
      <c r="K1" s="1136"/>
      <c r="L1" s="1136"/>
      <c r="M1" s="1136"/>
      <c r="N1" s="1136"/>
      <c r="O1" s="1136"/>
      <c r="P1" s="1136"/>
    </row>
    <row r="2" spans="1:16" ht="15">
      <c r="A2" s="3596" t="s">
        <v>1131</v>
      </c>
      <c r="B2" s="3596"/>
      <c r="C2" s="3596"/>
      <c r="D2" s="793" t="s">
        <v>1107</v>
      </c>
      <c r="E2" s="1635" t="s">
        <v>1108</v>
      </c>
      <c r="F2" s="2655"/>
      <c r="G2" s="2646"/>
      <c r="H2" s="2647"/>
      <c r="I2" s="2321" t="s">
        <v>1132</v>
      </c>
      <c r="J2" s="2655"/>
      <c r="K2" s="2655"/>
      <c r="L2" s="2655"/>
      <c r="M2" s="2655"/>
      <c r="N2" s="2657"/>
      <c r="O2" s="2655"/>
      <c r="P2" s="2655"/>
    </row>
    <row r="3" spans="1:16" ht="15.75" thickBot="1">
      <c r="A3" s="3597" t="s">
        <v>1105</v>
      </c>
      <c r="B3" s="3597"/>
      <c r="C3" s="3597"/>
      <c r="D3" s="43">
        <f>'数据-基础表'!AY6</f>
        <v>15635.46</v>
      </c>
      <c r="E3" s="43">
        <f>'数据-基础表'!AZ5</f>
        <v>226846.22999999989</v>
      </c>
      <c r="F3" s="2655"/>
      <c r="G3" s="1142"/>
      <c r="H3" s="1023" t="s">
        <v>1106</v>
      </c>
      <c r="I3" s="852">
        <f>ROUND('数据-基础表'!B3/'数据-基础表'!A3,2)</f>
        <v>14.51</v>
      </c>
      <c r="J3" s="2655"/>
      <c r="K3" s="2655"/>
      <c r="L3" s="2655"/>
      <c r="M3" s="2655"/>
      <c r="N3" s="2657"/>
      <c r="O3" s="2655"/>
      <c r="P3" s="2655"/>
    </row>
    <row r="4" spans="1:16" ht="15">
      <c r="A4" s="3598"/>
      <c r="B4" s="3599"/>
      <c r="C4" s="3600"/>
      <c r="D4" s="1637" t="s">
        <v>1107</v>
      </c>
      <c r="E4" s="1638" t="s">
        <v>1108</v>
      </c>
      <c r="F4" s="2655"/>
      <c r="G4" s="2648" t="s">
        <v>1133</v>
      </c>
      <c r="H4" s="1023" t="s">
        <v>1113</v>
      </c>
      <c r="I4" s="852">
        <f>ROUND(SUMIF('数据-基础表'!I9:AS9,"地上",'数据-基础表'!I5:AS5)/'数据-基础表'!A3,2)</f>
        <v>11.58</v>
      </c>
      <c r="J4" s="2655"/>
      <c r="K4" s="2655"/>
      <c r="L4" s="2655"/>
      <c r="M4" s="2655"/>
      <c r="N4" s="2657"/>
      <c r="O4" s="2655"/>
      <c r="P4" s="2655"/>
    </row>
    <row r="5" spans="1:16">
      <c r="A5" s="44" t="s">
        <v>1109</v>
      </c>
      <c r="B5" s="3601" t="s">
        <v>1110</v>
      </c>
      <c r="C5" s="3601"/>
      <c r="D5" s="45">
        <f>ROUND($D$3*E5/$E$3,2)</f>
        <v>0</v>
      </c>
      <c r="E5" s="46">
        <f>SUMIF('数据-基础表'!$11:$11,"住宅",'数据-基础表'!$5:$5)</f>
        <v>0</v>
      </c>
      <c r="F5" s="2655"/>
      <c r="G5" s="1142"/>
      <c r="H5" s="1023" t="s">
        <v>1106</v>
      </c>
      <c r="I5" s="852">
        <f>ROUND(E31/D31,2)</f>
        <v>14.51</v>
      </c>
      <c r="J5" s="2655"/>
      <c r="K5" s="2655"/>
      <c r="L5" s="2655"/>
      <c r="M5" s="2655"/>
      <c r="N5" s="2655"/>
      <c r="O5" s="2655"/>
      <c r="P5" s="2655"/>
    </row>
    <row r="6" spans="1:16" ht="15" thickBot="1">
      <c r="A6" s="1640"/>
      <c r="B6" s="3601" t="s">
        <v>1111</v>
      </c>
      <c r="C6" s="3601"/>
      <c r="D6" s="45">
        <f>ROUND($D$3*E6/$E$3,2)</f>
        <v>15635.46</v>
      </c>
      <c r="E6" s="46">
        <f>E3-E5</f>
        <v>226846.22999999989</v>
      </c>
      <c r="F6" s="2655"/>
      <c r="G6" s="2649" t="s">
        <v>1112</v>
      </c>
      <c r="H6" s="1143" t="s">
        <v>1113</v>
      </c>
      <c r="I6" s="2650">
        <f>ROUND(F31/D31,2)</f>
        <v>11.11</v>
      </c>
      <c r="J6" s="2655"/>
      <c r="K6" s="2655"/>
      <c r="L6" s="2655"/>
      <c r="M6" s="2655"/>
      <c r="N6" s="2655"/>
      <c r="O6" s="2655"/>
      <c r="P6" s="2655"/>
    </row>
    <row r="7" spans="1:16" ht="15.75" thickBot="1">
      <c r="A7" s="3593"/>
      <c r="B7" s="3594"/>
      <c r="C7" s="3595"/>
      <c r="D7" s="1637" t="s">
        <v>1107</v>
      </c>
      <c r="E7" s="1641" t="s">
        <v>1114</v>
      </c>
      <c r="F7" s="2655"/>
      <c r="G7" s="2651" t="s">
        <v>1115</v>
      </c>
      <c r="H7" s="2652"/>
      <c r="I7" s="2653">
        <f>F27/D3</f>
        <v>10.612133573300682</v>
      </c>
      <c r="J7" s="2655"/>
      <c r="K7" s="2655">
        <f>F31/D3</f>
        <v>11.10541678978424</v>
      </c>
      <c r="L7" s="2655"/>
      <c r="M7" s="2655"/>
      <c r="N7" s="2655"/>
      <c r="O7" s="2655"/>
      <c r="P7" s="2655"/>
    </row>
    <row r="8" spans="1:16">
      <c r="A8" s="44" t="s">
        <v>1116</v>
      </c>
      <c r="B8" s="47" t="s">
        <v>1117</v>
      </c>
      <c r="C8" s="45" t="s">
        <v>1118</v>
      </c>
      <c r="D8" s="45">
        <f t="shared" ref="D8:D15" si="0">ROUND($D$3*E8/$E$3,2)</f>
        <v>11436.48</v>
      </c>
      <c r="E8" s="48">
        <f>SUMIF('数据-基础表'!BB10:BK10,"地上",'数据-基础表'!BB5:BK5)</f>
        <v>165925.58999999988</v>
      </c>
      <c r="F8" s="2655"/>
      <c r="G8" s="2656"/>
      <c r="H8" s="2656"/>
      <c r="I8" s="2655"/>
      <c r="J8" s="2655"/>
      <c r="K8" s="2655"/>
      <c r="L8" s="2655"/>
      <c r="M8" s="2655"/>
      <c r="N8" s="2655"/>
      <c r="O8" s="2655"/>
      <c r="P8" s="2655"/>
    </row>
    <row r="9" spans="1:16">
      <c r="A9" s="1642"/>
      <c r="B9" s="1643"/>
      <c r="C9" s="45" t="s">
        <v>1119</v>
      </c>
      <c r="D9" s="45">
        <f t="shared" si="0"/>
        <v>0</v>
      </c>
      <c r="E9" s="49">
        <v>0</v>
      </c>
      <c r="F9" s="2655"/>
      <c r="G9" s="2656"/>
      <c r="H9" s="2656"/>
      <c r="I9" s="2655"/>
      <c r="J9" s="2655"/>
      <c r="K9" s="2655"/>
      <c r="L9" s="2655"/>
      <c r="M9" s="2655"/>
      <c r="N9" s="2655"/>
      <c r="O9" s="2655"/>
      <c r="P9" s="2655"/>
    </row>
    <row r="10" spans="1:16">
      <c r="A10" s="1642"/>
      <c r="B10" s="1643"/>
      <c r="C10" s="45" t="s">
        <v>1128</v>
      </c>
      <c r="D10" s="45">
        <f t="shared" si="0"/>
        <v>208.75</v>
      </c>
      <c r="E10" s="48">
        <f>SUMPRODUCT(('数据-基础表'!BB10:BK10="地下")*('数据-基础表'!BB11:BK11="商业")*('数据-基础表'!BB5:BK5))</f>
        <v>3028.6099999999997</v>
      </c>
      <c r="F10" s="2655"/>
      <c r="G10" s="2656"/>
      <c r="H10" s="2656"/>
      <c r="I10" s="2655"/>
      <c r="J10" s="2655"/>
      <c r="K10" s="2655"/>
      <c r="L10" s="2655"/>
      <c r="M10" s="2655"/>
      <c r="N10" s="2655"/>
      <c r="O10" s="2655"/>
      <c r="P10" s="2655"/>
    </row>
    <row r="11" spans="1:16">
      <c r="A11" s="1642"/>
      <c r="B11" s="1643"/>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2"/>
      <c r="B12" s="1643"/>
      <c r="C12" s="45" t="s">
        <v>1121</v>
      </c>
      <c r="D12" s="45">
        <f t="shared" si="0"/>
        <v>207.76</v>
      </c>
      <c r="E12" s="48">
        <f>SUMPRODUCT(('数据-基础表'!BB10:BK10="地下")*('数据-基础表'!BB11:BK11="仓储")*('数据-基础表'!BB5:BK5))</f>
        <v>3014.34</v>
      </c>
      <c r="F12" s="2655"/>
      <c r="G12" s="2656"/>
      <c r="H12" s="2656"/>
      <c r="I12" s="2655"/>
      <c r="J12" s="2655"/>
      <c r="K12" s="2655"/>
      <c r="L12" s="2655"/>
      <c r="M12" s="2655"/>
      <c r="N12" s="2655"/>
      <c r="O12" s="2655"/>
      <c r="P12" s="2655"/>
    </row>
    <row r="13" spans="1:16">
      <c r="A13" s="1642"/>
      <c r="B13" s="1643"/>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2"/>
      <c r="B14" s="1643"/>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2"/>
      <c r="B15" s="1643"/>
      <c r="C15" s="45" t="s">
        <v>1129</v>
      </c>
      <c r="D15" s="45">
        <f t="shared" si="0"/>
        <v>3172.95</v>
      </c>
      <c r="E15" s="48">
        <f>SUMPRODUCT(('数据-基础表'!BB10:BK10="地下")*('数据-基础表'!BB11:BK11="车库—办公")*('数据-基础表'!BB5:BK5))</f>
        <v>46034.520000000011</v>
      </c>
      <c r="F15" s="2655"/>
      <c r="G15" s="2656"/>
      <c r="H15" s="2656"/>
      <c r="I15" s="2655"/>
      <c r="J15" s="2655"/>
      <c r="K15" s="2655"/>
      <c r="L15" s="2655"/>
      <c r="M15" s="2655"/>
      <c r="N15" s="2655"/>
      <c r="O15" s="2655"/>
      <c r="P15" s="2655"/>
    </row>
    <row r="16" spans="1:16" ht="15.75" thickBot="1">
      <c r="A16" s="1640"/>
      <c r="B16" s="1643"/>
      <c r="C16" s="47" t="s">
        <v>1123</v>
      </c>
      <c r="D16" s="47">
        <f>SUM(D8:D15)</f>
        <v>15025.939999999999</v>
      </c>
      <c r="E16" s="50">
        <f>SUM(E8:E15)</f>
        <v>218003.05999999988</v>
      </c>
      <c r="F16" s="2655"/>
      <c r="G16" s="2656"/>
      <c r="H16" s="1644" t="s">
        <v>1135</v>
      </c>
      <c r="I16" s="1645"/>
      <c r="J16" s="1136"/>
      <c r="K16" s="3590" t="s">
        <v>1135</v>
      </c>
      <c r="L16" s="3591"/>
      <c r="M16" s="3591"/>
      <c r="N16" s="3591"/>
      <c r="O16" s="3591"/>
      <c r="P16" s="3592"/>
    </row>
    <row r="17" spans="1:19" ht="15">
      <c r="A17" s="1646" t="s">
        <v>1136</v>
      </c>
      <c r="B17" s="1647" t="s">
        <v>1137</v>
      </c>
      <c r="C17" s="1648" t="s">
        <v>1138</v>
      </c>
      <c r="D17" s="1649" t="s">
        <v>1126</v>
      </c>
      <c r="E17" s="1650" t="s">
        <v>1127</v>
      </c>
      <c r="F17" s="1651"/>
      <c r="G17" s="1652"/>
      <c r="H17" s="1653" t="s">
        <v>1139</v>
      </c>
      <c r="I17" s="1654" t="s">
        <v>1124</v>
      </c>
      <c r="J17" s="1136"/>
      <c r="K17" s="3587" t="s">
        <v>1140</v>
      </c>
      <c r="L17" s="3588"/>
      <c r="M17" s="3589"/>
      <c r="N17" s="3587" t="s">
        <v>1141</v>
      </c>
      <c r="O17" s="3588"/>
      <c r="P17" s="3589"/>
      <c r="R17" s="1636" t="s">
        <v>1142</v>
      </c>
      <c r="S17" s="56"/>
    </row>
    <row r="18" spans="1:19" ht="15">
      <c r="A18" s="1642"/>
      <c r="B18" s="1655"/>
      <c r="C18" s="1656"/>
      <c r="D18" s="1657"/>
      <c r="E18" s="1658" t="s">
        <v>1143</v>
      </c>
      <c r="F18" s="1659" t="s">
        <v>1144</v>
      </c>
      <c r="G18" s="1660" t="s">
        <v>1145</v>
      </c>
      <c r="H18" s="1038" t="s">
        <v>1146</v>
      </c>
      <c r="I18" s="1661" t="s">
        <v>1147</v>
      </c>
      <c r="J18" s="1136"/>
      <c r="K18" s="1038" t="s">
        <v>1148</v>
      </c>
      <c r="L18" s="1662" t="s">
        <v>1149</v>
      </c>
      <c r="M18" s="852" t="s">
        <v>1150</v>
      </c>
      <c r="N18" s="1038" t="s">
        <v>1148</v>
      </c>
      <c r="O18" s="1662" t="s">
        <v>1149</v>
      </c>
      <c r="P18" s="852" t="s">
        <v>1150</v>
      </c>
      <c r="R18" s="1023" t="s">
        <v>1151</v>
      </c>
      <c r="S18" s="1023" t="s">
        <v>1152</v>
      </c>
    </row>
    <row r="19" spans="1:19">
      <c r="A19" s="1663"/>
      <c r="B19" s="47" t="s">
        <v>1125</v>
      </c>
      <c r="C19" s="3413" t="s">
        <v>3802</v>
      </c>
      <c r="D19" s="45">
        <f>ROUND($D$3*E19/$E$3,2)</f>
        <v>10945.87</v>
      </c>
      <c r="E19" s="53">
        <f t="shared" ref="E19:E26" si="1">SUM(F19:G19)</f>
        <v>158807.61999999988</v>
      </c>
      <c r="F19" s="2791">
        <f>'数据-基础表'!I13</f>
        <v>158807.61999999988</v>
      </c>
      <c r="G19" s="2792"/>
      <c r="H19" s="670">
        <f>ROUND($D$3*I19/$E$3,2)</f>
        <v>444.01</v>
      </c>
      <c r="I19" s="48">
        <f t="shared" ref="I19:I26" si="2">IF($I$17="自定义",P19,M19)</f>
        <v>6441.94</v>
      </c>
      <c r="J19" s="1136"/>
      <c r="K19" s="1135">
        <f t="shared" ref="K19:K26" si="3">ROUND(E$28*E19/E$27,2)</f>
        <v>6441.94</v>
      </c>
      <c r="L19" s="1023">
        <f t="shared" ref="L19:L26" si="4">ROUND(IF(COUNTIF(C19,"*住宅*")&gt;0,E$29*E19/E$32,0),2)</f>
        <v>0</v>
      </c>
      <c r="M19" s="1147">
        <f>K19+L19</f>
        <v>6441.94</v>
      </c>
      <c r="N19" s="1664"/>
      <c r="O19" s="1665"/>
      <c r="P19" s="1147">
        <f>N19+O19</f>
        <v>0</v>
      </c>
      <c r="R19" s="1023">
        <f t="shared" ref="R19:S26" si="5">D19+H19</f>
        <v>11389.880000000001</v>
      </c>
      <c r="S19" s="1024">
        <f t="shared" si="5"/>
        <v>165249.55999999988</v>
      </c>
    </row>
    <row r="20" spans="1:19">
      <c r="A20" s="1666"/>
      <c r="B20" s="47" t="s">
        <v>1153</v>
      </c>
      <c r="C20" s="3413" t="s">
        <v>3803</v>
      </c>
      <c r="D20" s="45">
        <f t="shared" ref="D20:D26" si="6">ROUND($D$3*E20/$E$3,2)</f>
        <v>321.22000000000003</v>
      </c>
      <c r="E20" s="53">
        <f t="shared" si="1"/>
        <v>4660.4099999999989</v>
      </c>
      <c r="F20" s="2791">
        <f>'数据-基础表'!K13</f>
        <v>1631.7999999999993</v>
      </c>
      <c r="G20" s="2792">
        <f>'数据-基础表'!M13</f>
        <v>3028.6099999999997</v>
      </c>
      <c r="H20" s="670">
        <f t="shared" ref="H20:H26" si="7">ROUND($D$3*I20/$E$3,2)</f>
        <v>13.03</v>
      </c>
      <c r="I20" s="48">
        <f t="shared" si="2"/>
        <v>189.05</v>
      </c>
      <c r="J20" s="1136"/>
      <c r="K20" s="1135">
        <f t="shared" si="3"/>
        <v>189.05</v>
      </c>
      <c r="L20" s="1023">
        <f t="shared" si="4"/>
        <v>0</v>
      </c>
      <c r="M20" s="1147">
        <f t="shared" ref="M20:M26" si="8">K20+L20</f>
        <v>189.05</v>
      </c>
      <c r="N20" s="1664"/>
      <c r="O20" s="1665"/>
      <c r="P20" s="1147">
        <f t="shared" ref="P20:P26" si="9">N20+O20</f>
        <v>0</v>
      </c>
      <c r="R20" s="1023">
        <f t="shared" si="5"/>
        <v>334.25</v>
      </c>
      <c r="S20" s="1024">
        <f t="shared" si="5"/>
        <v>4849.4599999999991</v>
      </c>
    </row>
    <row r="21" spans="1:19">
      <c r="A21" s="1666"/>
      <c r="B21" s="47" t="s">
        <v>1153</v>
      </c>
      <c r="C21" s="3413" t="s">
        <v>3804</v>
      </c>
      <c r="D21" s="45">
        <f t="shared" si="6"/>
        <v>585.9</v>
      </c>
      <c r="E21" s="53">
        <f t="shared" si="1"/>
        <v>8500.51</v>
      </c>
      <c r="F21" s="2791">
        <f>'数据-基础表'!O13</f>
        <v>5486.17</v>
      </c>
      <c r="G21" s="2792">
        <f>'数据-基础表'!Q13</f>
        <v>3014.34</v>
      </c>
      <c r="H21" s="670">
        <f t="shared" si="7"/>
        <v>23.77</v>
      </c>
      <c r="I21" s="48">
        <f t="shared" si="2"/>
        <v>344.82</v>
      </c>
      <c r="J21" s="1136"/>
      <c r="K21" s="1135">
        <f t="shared" si="3"/>
        <v>344.82</v>
      </c>
      <c r="L21" s="1023">
        <f t="shared" si="4"/>
        <v>0</v>
      </c>
      <c r="M21" s="1147">
        <f t="shared" si="8"/>
        <v>344.82</v>
      </c>
      <c r="N21" s="1664"/>
      <c r="O21" s="1665"/>
      <c r="P21" s="1147">
        <f t="shared" si="9"/>
        <v>0</v>
      </c>
      <c r="R21" s="1023">
        <f t="shared" si="5"/>
        <v>609.66999999999996</v>
      </c>
      <c r="S21" s="1024">
        <f t="shared" si="5"/>
        <v>8845.33</v>
      </c>
    </row>
    <row r="22" spans="1:19">
      <c r="A22" s="1666"/>
      <c r="B22" s="47" t="s">
        <v>1153</v>
      </c>
      <c r="C22" s="3414" t="s">
        <v>3805</v>
      </c>
      <c r="D22" s="45">
        <f t="shared" si="6"/>
        <v>3172.95</v>
      </c>
      <c r="E22" s="53">
        <f t="shared" si="1"/>
        <v>46034.520000000011</v>
      </c>
      <c r="F22" s="2793"/>
      <c r="G22" s="2794">
        <f>'数据-基础表'!S13</f>
        <v>46034.520000000011</v>
      </c>
      <c r="H22" s="670">
        <f t="shared" si="7"/>
        <v>128.71</v>
      </c>
      <c r="I22" s="48">
        <f t="shared" si="2"/>
        <v>1867.36</v>
      </c>
      <c r="J22" s="1136"/>
      <c r="K22" s="1135">
        <f t="shared" si="3"/>
        <v>1867.36</v>
      </c>
      <c r="L22" s="1023">
        <f t="shared" si="4"/>
        <v>0</v>
      </c>
      <c r="M22" s="1147">
        <f t="shared" si="8"/>
        <v>1867.36</v>
      </c>
      <c r="N22" s="1664"/>
      <c r="O22" s="1665"/>
      <c r="P22" s="1147">
        <f t="shared" si="9"/>
        <v>0</v>
      </c>
      <c r="R22" s="1023">
        <f t="shared" si="5"/>
        <v>3301.66</v>
      </c>
      <c r="S22" s="1024">
        <f t="shared" si="5"/>
        <v>47901.880000000012</v>
      </c>
    </row>
    <row r="23" spans="1:19">
      <c r="A23" s="1666"/>
      <c r="B23" s="47" t="s">
        <v>1153</v>
      </c>
      <c r="C23" s="3414"/>
      <c r="D23" s="45">
        <f>ROUND($D$3*E23/$E$3,2)</f>
        <v>0</v>
      </c>
      <c r="E23" s="53">
        <f>SUM(F23:G23)</f>
        <v>0</v>
      </c>
      <c r="F23" s="2793"/>
      <c r="G23" s="2794"/>
      <c r="H23" s="670">
        <f>ROUND($D$3*I23/$E$3,2)</f>
        <v>0</v>
      </c>
      <c r="I23" s="48">
        <f t="shared" si="2"/>
        <v>0</v>
      </c>
      <c r="J23" s="1136"/>
      <c r="K23" s="1135">
        <f t="shared" si="3"/>
        <v>0</v>
      </c>
      <c r="L23" s="1023">
        <f t="shared" si="4"/>
        <v>0</v>
      </c>
      <c r="M23" s="1147">
        <f t="shared" si="8"/>
        <v>0</v>
      </c>
      <c r="N23" s="1664"/>
      <c r="O23" s="1665"/>
      <c r="P23" s="1147">
        <f t="shared" si="9"/>
        <v>0</v>
      </c>
      <c r="R23" s="1023">
        <f t="shared" si="5"/>
        <v>0</v>
      </c>
      <c r="S23" s="1024">
        <f t="shared" si="5"/>
        <v>0</v>
      </c>
    </row>
    <row r="24" spans="1:19">
      <c r="A24" s="1666"/>
      <c r="B24" s="47" t="s">
        <v>1153</v>
      </c>
      <c r="C24" s="3414"/>
      <c r="D24" s="45">
        <f>ROUND($D$3*E24/$E$3,2)</f>
        <v>0</v>
      </c>
      <c r="E24" s="53">
        <f>SUM(F24:G24)</f>
        <v>0</v>
      </c>
      <c r="F24" s="2793"/>
      <c r="G24" s="2794"/>
      <c r="H24" s="670">
        <f>ROUND($D$3*I24/$E$3,2)</f>
        <v>0</v>
      </c>
      <c r="I24" s="48">
        <f t="shared" si="2"/>
        <v>0</v>
      </c>
      <c r="J24" s="1136"/>
      <c r="K24" s="1135">
        <f t="shared" si="3"/>
        <v>0</v>
      </c>
      <c r="L24" s="1023">
        <f t="shared" si="4"/>
        <v>0</v>
      </c>
      <c r="M24" s="1147">
        <f t="shared" si="8"/>
        <v>0</v>
      </c>
      <c r="N24" s="1664"/>
      <c r="O24" s="1665"/>
      <c r="P24" s="1147">
        <f t="shared" si="9"/>
        <v>0</v>
      </c>
      <c r="R24" s="1023">
        <f t="shared" si="5"/>
        <v>0</v>
      </c>
      <c r="S24" s="1024">
        <f t="shared" si="5"/>
        <v>0</v>
      </c>
    </row>
    <row r="25" spans="1:19">
      <c r="A25" s="1666"/>
      <c r="B25" s="47" t="s">
        <v>1153</v>
      </c>
      <c r="C25" s="3414"/>
      <c r="D25" s="45">
        <f t="shared" si="6"/>
        <v>0</v>
      </c>
      <c r="E25" s="53">
        <f t="shared" si="1"/>
        <v>0</v>
      </c>
      <c r="F25" s="2793"/>
      <c r="G25" s="2794"/>
      <c r="H25" s="44">
        <f t="shared" si="7"/>
        <v>0</v>
      </c>
      <c r="I25" s="48">
        <f t="shared" si="2"/>
        <v>0</v>
      </c>
      <c r="J25" s="1136"/>
      <c r="K25" s="1135">
        <f t="shared" si="3"/>
        <v>0</v>
      </c>
      <c r="L25" s="1023">
        <f t="shared" si="4"/>
        <v>0</v>
      </c>
      <c r="M25" s="1147">
        <f t="shared" si="8"/>
        <v>0</v>
      </c>
      <c r="N25" s="1664"/>
      <c r="O25" s="1665"/>
      <c r="P25" s="1147">
        <f t="shared" si="9"/>
        <v>0</v>
      </c>
      <c r="R25" s="1023">
        <f t="shared" si="5"/>
        <v>0</v>
      </c>
      <c r="S25" s="1024">
        <f t="shared" si="5"/>
        <v>0</v>
      </c>
    </row>
    <row r="26" spans="1:19">
      <c r="A26" s="1666"/>
      <c r="B26" s="47" t="s">
        <v>1153</v>
      </c>
      <c r="C26" s="55"/>
      <c r="D26" s="45">
        <f t="shared" si="6"/>
        <v>0</v>
      </c>
      <c r="E26" s="53">
        <f t="shared" si="1"/>
        <v>0</v>
      </c>
      <c r="F26" s="2793"/>
      <c r="G26" s="2794"/>
      <c r="H26" s="44">
        <f t="shared" si="7"/>
        <v>0</v>
      </c>
      <c r="I26" s="48">
        <f t="shared" si="2"/>
        <v>0</v>
      </c>
      <c r="J26" s="1136"/>
      <c r="K26" s="1142">
        <f t="shared" si="3"/>
        <v>0</v>
      </c>
      <c r="L26" s="1143">
        <f t="shared" si="4"/>
        <v>0</v>
      </c>
      <c r="M26" s="59">
        <f t="shared" si="8"/>
        <v>0</v>
      </c>
      <c r="N26" s="1667"/>
      <c r="O26" s="1668"/>
      <c r="P26" s="59">
        <f t="shared" si="9"/>
        <v>0</v>
      </c>
      <c r="R26" s="1023">
        <f t="shared" si="5"/>
        <v>0</v>
      </c>
      <c r="S26" s="1024">
        <f t="shared" si="5"/>
        <v>0</v>
      </c>
    </row>
    <row r="27" spans="1:19" ht="15.75" thickBot="1">
      <c r="A27" s="1666"/>
      <c r="B27" s="45"/>
      <c r="C27" s="1669" t="s">
        <v>1154</v>
      </c>
      <c r="D27" s="1137">
        <f>SUM(D19:D26)</f>
        <v>15025.939999999999</v>
      </c>
      <c r="E27" s="1138">
        <f>IF(SUM(E19:E26)='数据-基础表'!BA5,SUM(E19:E26),IF(F27="地上面积有误","面积有误","地下面积有误"))</f>
        <v>218003.05999999991</v>
      </c>
      <c r="F27" s="1137">
        <f>IF(SUM(F19:F26)=E8,SUM(F19:F26),"地上面积有误")</f>
        <v>165925.58999999988</v>
      </c>
      <c r="G27" s="1139">
        <f>SUM(G19:G26)</f>
        <v>52077.470000000008</v>
      </c>
      <c r="H27" s="1140">
        <f>SUM(H19:H26)</f>
        <v>609.52</v>
      </c>
      <c r="I27" s="1141">
        <f>SUM(I19:I26)</f>
        <v>8843.17</v>
      </c>
      <c r="J27" s="1136"/>
      <c r="K27" s="1144">
        <f>SUM(K19:K26)</f>
        <v>8843.17</v>
      </c>
      <c r="L27" s="1145">
        <f>SUM(L19:L26)</f>
        <v>0</v>
      </c>
      <c r="M27" s="1148">
        <f>SUM(M19:M26)</f>
        <v>8843.17</v>
      </c>
      <c r="N27" s="1144">
        <f t="shared" ref="N27:O27" si="10">SUM(N19:N26)</f>
        <v>0</v>
      </c>
      <c r="O27" s="1145">
        <f t="shared" si="10"/>
        <v>0</v>
      </c>
      <c r="P27" s="1146">
        <f>SUM(P19:P26)</f>
        <v>0</v>
      </c>
      <c r="R27" s="1025">
        <f>IF(SUM(R19:R26)=$D$3,SUM(R19:R26),SUM(R19:R26)&amp;"误差"&amp;ROUND(SUM(R19:R26)-$D$3,2))</f>
        <v>15635.460000000001</v>
      </c>
      <c r="S27" s="1023">
        <f>IF(SUM(S19:S26)=$E$3,SUM(S19:S26),SUM(S19:S26)&amp;"误差"&amp;ROUND(SUM(S19:S26)-E3,2))</f>
        <v>226846.22999999986</v>
      </c>
    </row>
    <row r="28" spans="1:19">
      <c r="A28" s="1666"/>
      <c r="B28" s="47" t="s">
        <v>1155</v>
      </c>
      <c r="C28" s="1035" t="s">
        <v>1156</v>
      </c>
      <c r="D28" s="45">
        <f>ROUND($D$3*E28/$E$3,2)</f>
        <v>609.52</v>
      </c>
      <c r="E28" s="53">
        <f>SUM(F28:G28)</f>
        <v>8843.1700000000019</v>
      </c>
      <c r="F28" s="56">
        <f>'数据-基础表'!BQ5+'数据-基础表'!BS5</f>
        <v>7712.7100000000009</v>
      </c>
      <c r="G28" s="57">
        <f>'数据-基础表'!BR5+'数据-基础表'!BT5</f>
        <v>1130.46</v>
      </c>
      <c r="H28" s="2655"/>
      <c r="I28" s="2655"/>
      <c r="J28" s="2655"/>
      <c r="K28" s="2655"/>
      <c r="L28" s="2655"/>
      <c r="M28" s="2655"/>
      <c r="N28" s="2655"/>
      <c r="O28" s="2655"/>
      <c r="P28" s="2655"/>
    </row>
    <row r="29" spans="1:19">
      <c r="A29" s="1666"/>
      <c r="B29" s="47" t="s">
        <v>1155</v>
      </c>
      <c r="C29" s="1670"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6"/>
      <c r="B30" s="47"/>
      <c r="C30" s="1671" t="s">
        <v>1154</v>
      </c>
      <c r="D30" s="1137">
        <f>SUM(D28:D29)</f>
        <v>609.52</v>
      </c>
      <c r="E30" s="1137">
        <f>SUM(E28:E29)</f>
        <v>8843.1700000000019</v>
      </c>
      <c r="F30" s="1137">
        <f>SUM(F28:F29)</f>
        <v>7712.7100000000009</v>
      </c>
      <c r="G30" s="1139">
        <f>SUM(G28:G29)</f>
        <v>1130.46</v>
      </c>
      <c r="H30" s="2655"/>
      <c r="I30" s="2655"/>
      <c r="J30" s="2655"/>
      <c r="K30" s="2655"/>
      <c r="L30" s="2655"/>
      <c r="M30" s="2655"/>
      <c r="N30" s="2655"/>
      <c r="O30" s="2655"/>
      <c r="P30" s="2655"/>
    </row>
    <row r="31" spans="1:19" ht="15.75" thickBot="1">
      <c r="A31" s="1672"/>
      <c r="B31" s="1673"/>
      <c r="C31" s="832" t="s">
        <v>1158</v>
      </c>
      <c r="D31" s="676">
        <f>D27+D30</f>
        <v>15635.46</v>
      </c>
      <c r="E31" s="676">
        <f>E27+E30</f>
        <v>226846.22999999992</v>
      </c>
      <c r="F31" s="677">
        <f>F27+F30</f>
        <v>173638.29999999987</v>
      </c>
      <c r="G31" s="678">
        <f>G27+G30</f>
        <v>53207.930000000008</v>
      </c>
      <c r="H31" s="2655"/>
      <c r="I31" s="2655"/>
      <c r="J31" s="2655"/>
      <c r="K31" s="2655"/>
      <c r="L31" s="2655"/>
      <c r="M31" s="2655"/>
      <c r="N31" s="2655"/>
      <c r="O31" s="2655"/>
      <c r="P31" s="2655"/>
    </row>
    <row r="32" spans="1:19">
      <c r="A32" s="1639"/>
      <c r="B32" s="1639" t="s">
        <v>1159</v>
      </c>
      <c r="C32" s="1639"/>
      <c r="D32" s="1639"/>
      <c r="E32" s="1050">
        <f>SUMIF(C19:C26,"*住宅*",E19:E26)</f>
        <v>0</v>
      </c>
      <c r="F32" s="1639"/>
      <c r="G32" s="1639"/>
      <c r="H32" s="2655"/>
      <c r="I32" s="2655"/>
      <c r="J32" s="2655"/>
      <c r="K32" s="2655"/>
      <c r="L32" s="2655"/>
      <c r="M32" s="2655"/>
      <c r="N32" s="2655"/>
      <c r="O32" s="2655"/>
      <c r="P32" s="2655"/>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K6" activePane="bottomRight" state="frozen"/>
      <selection activeCell="C50" sqref="C50"/>
      <selection pane="topRight" activeCell="C50" sqref="C50"/>
      <selection pane="bottomLeft" activeCell="C50" sqref="C50"/>
      <selection pane="bottomRight" activeCell="P28" sqref="P28"/>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9.375" style="1678" customWidth="1"/>
    <col min="22" max="22" width="6.375" style="1678" customWidth="1"/>
    <col min="23" max="24" width="6.75" style="1678" customWidth="1"/>
    <col min="25" max="25" width="8" style="1678" customWidth="1"/>
    <col min="26"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1160</v>
      </c>
      <c r="B1" s="679"/>
      <c r="C1" s="1187"/>
      <c r="D1" s="1676"/>
      <c r="E1" s="1187"/>
      <c r="F1" s="1187"/>
      <c r="G1" s="1187"/>
      <c r="H1" s="1187"/>
      <c r="I1" s="1187"/>
      <c r="J1" s="1187"/>
      <c r="K1" s="159"/>
      <c r="L1" s="159"/>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7"/>
      <c r="AO1" s="2667"/>
      <c r="AP1" s="2667"/>
      <c r="AQ1" s="2667"/>
      <c r="AR1" s="2667"/>
    </row>
    <row r="2" spans="1:67" s="1555" customFormat="1" ht="15.75" thickBot="1">
      <c r="A2" s="1679" t="s">
        <v>1161</v>
      </c>
      <c r="B2" s="1042">
        <f>项目基本情况!D3</f>
        <v>45005</v>
      </c>
      <c r="C2" s="1680"/>
      <c r="D2" s="1681"/>
      <c r="E2" s="1680"/>
      <c r="F2" s="1680"/>
      <c r="G2" s="1680"/>
      <c r="H2" s="1680"/>
      <c r="I2" s="1680"/>
      <c r="J2" s="1680"/>
      <c r="K2" s="1165"/>
      <c r="L2" s="1165"/>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9"/>
      <c r="AO2" s="2669"/>
      <c r="AP2" s="2669"/>
      <c r="AQ2" s="2669"/>
      <c r="AR2" s="2669"/>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5"/>
      <c r="L3" s="1165"/>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9"/>
      <c r="AO3" s="2669"/>
      <c r="AP3" s="2669"/>
      <c r="AQ3" s="2669"/>
      <c r="AR3" s="2669"/>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1162</v>
      </c>
      <c r="B4" s="1684"/>
      <c r="C4" s="1685"/>
      <c r="D4" s="1686"/>
      <c r="E4" s="1685" t="s">
        <v>1163</v>
      </c>
      <c r="F4" s="1685"/>
      <c r="G4" s="1685"/>
      <c r="H4" s="1685"/>
      <c r="I4" s="1685"/>
      <c r="J4" s="1687"/>
      <c r="K4" s="1688"/>
      <c r="L4" s="1689"/>
      <c r="M4" s="1685"/>
      <c r="N4" s="1685" t="s">
        <v>1164</v>
      </c>
      <c r="O4" s="1685"/>
      <c r="P4" s="1685"/>
      <c r="Q4" s="1685"/>
      <c r="R4" s="1685"/>
      <c r="S4" s="1687"/>
      <c r="T4" s="2654" t="str">
        <f>'数据-汇总表'!I17</f>
        <v>按面积比例</v>
      </c>
      <c r="U4" s="1684" t="s">
        <v>1165</v>
      </c>
      <c r="V4" s="1685"/>
      <c r="W4" s="1685"/>
      <c r="X4" s="1685"/>
      <c r="Y4" s="1687"/>
      <c r="Z4" s="1648" t="s">
        <v>1166</v>
      </c>
      <c r="AA4" s="1648"/>
      <c r="AB4" s="1648"/>
      <c r="AC4" s="1648"/>
      <c r="AD4" s="1648"/>
      <c r="AE4" s="1646" t="s">
        <v>1167</v>
      </c>
      <c r="AF4" s="1648"/>
      <c r="AG4" s="1690"/>
      <c r="AH4" s="1684"/>
      <c r="AI4" s="1685"/>
      <c r="AJ4" s="1685"/>
      <c r="AK4" s="1685"/>
      <c r="AL4" s="1685"/>
      <c r="AM4" s="1687"/>
      <c r="AN4" s="2669"/>
      <c r="AO4" s="2669"/>
      <c r="AP4" s="2669"/>
      <c r="AQ4" s="2669"/>
      <c r="AR4" s="2669"/>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1168</v>
      </c>
      <c r="B5" s="1692" t="s">
        <v>1169</v>
      </c>
      <c r="C5" s="1693" t="s">
        <v>1170</v>
      </c>
      <c r="D5" s="1694" t="s">
        <v>1171</v>
      </c>
      <c r="E5" s="1044" t="s">
        <v>1172</v>
      </c>
      <c r="F5" s="1695" t="s">
        <v>1173</v>
      </c>
      <c r="G5" s="1044" t="s">
        <v>1174</v>
      </c>
      <c r="H5" s="1044" t="s">
        <v>1175</v>
      </c>
      <c r="I5" s="1044" t="s">
        <v>1176</v>
      </c>
      <c r="J5" s="1696" t="s">
        <v>1177</v>
      </c>
      <c r="K5" s="1697" t="s">
        <v>1178</v>
      </c>
      <c r="L5" s="1698" t="s">
        <v>1179</v>
      </c>
      <c r="M5" s="1699" t="s">
        <v>1180</v>
      </c>
      <c r="N5" s="1700" t="s">
        <v>3806</v>
      </c>
      <c r="O5" s="1698" t="s">
        <v>1181</v>
      </c>
      <c r="P5" s="1701" t="s">
        <v>1182</v>
      </c>
      <c r="Q5" s="61" t="s">
        <v>1183</v>
      </c>
      <c r="R5" s="1702" t="s">
        <v>1184</v>
      </c>
      <c r="S5" s="1703" t="s">
        <v>1185</v>
      </c>
      <c r="T5" s="1704" t="s">
        <v>1186</v>
      </c>
      <c r="U5" s="1043" t="s">
        <v>1187</v>
      </c>
      <c r="V5" s="1044" t="s">
        <v>1188</v>
      </c>
      <c r="W5" s="1044" t="s">
        <v>1189</v>
      </c>
      <c r="X5" s="63"/>
      <c r="Y5" s="62" t="s">
        <v>1190</v>
      </c>
      <c r="Z5" s="1705" t="s">
        <v>1187</v>
      </c>
      <c r="AA5" s="1044" t="s">
        <v>1188</v>
      </c>
      <c r="AB5" s="1044" t="s">
        <v>1189</v>
      </c>
      <c r="AC5" s="63"/>
      <c r="AD5" s="63" t="s">
        <v>1190</v>
      </c>
      <c r="AE5" s="1043" t="s">
        <v>1191</v>
      </c>
      <c r="AF5" s="1044" t="s">
        <v>1192</v>
      </c>
      <c r="AG5" s="62" t="s">
        <v>1193</v>
      </c>
      <c r="AH5" s="1043" t="s">
        <v>1194</v>
      </c>
      <c r="AI5" s="1705" t="s">
        <v>1195</v>
      </c>
      <c r="AJ5" s="1705" t="s">
        <v>1196</v>
      </c>
      <c r="AK5" s="1044" t="s">
        <v>1197</v>
      </c>
      <c r="AL5" s="1044" t="s">
        <v>1198</v>
      </c>
      <c r="AM5" s="62" t="s">
        <v>1199</v>
      </c>
      <c r="AN5" s="1706" t="s">
        <v>1200</v>
      </c>
      <c r="AO5" s="1558" t="s">
        <v>1201</v>
      </c>
      <c r="AP5" s="1025" t="s">
        <v>1202</v>
      </c>
      <c r="AQ5" s="1707" t="s">
        <v>1203</v>
      </c>
      <c r="AR5" s="1707" t="s">
        <v>1204</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办公</v>
      </c>
      <c r="B6" s="1709" t="str">
        <f>IF(A6=0,"","经营性")</f>
        <v>经营性</v>
      </c>
      <c r="C6" s="1710" t="s">
        <v>21</v>
      </c>
      <c r="D6" s="855">
        <f>SUMIF(项目基本情况!C$12:I$12,C6,项目基本情况!C$14:I$14)</f>
        <v>40</v>
      </c>
      <c r="E6" s="854">
        <f>IF(B6="","",SUMIF(项目基本情况!C$12:I$12,C6,项目基本情况!C$13:I$13))</f>
        <v>55548</v>
      </c>
      <c r="F6" s="64">
        <f>SUMIF(项目基本情况!C$12:I$12,C6,项目基本情况!C$15:I$15)</f>
        <v>28.88</v>
      </c>
      <c r="G6" s="65">
        <f>IF(ISERROR(ROUND(POWER(1+H6,D6-F6)*(POWER(1+H6,F6)-1)/(POWER(1+H6,D6)-1),3)),0,ROUND(POWER(1+H6,D6-F6)*(POWER(1+H6,F6)-1)/(POWER(1+H6,D6)-1),3))</f>
        <v>0.88100000000000001</v>
      </c>
      <c r="H6" s="732">
        <v>0.05</v>
      </c>
      <c r="I6" s="732">
        <v>5.5E-2</v>
      </c>
      <c r="J6" s="66">
        <v>7.0000000000000007E-2</v>
      </c>
      <c r="K6" s="1027">
        <f>SUMIF('数据-汇总表'!C$19:C$33,A6,'数据-汇总表'!E$19:E$33)</f>
        <v>158807.61999999988</v>
      </c>
      <c r="L6" s="733">
        <v>10000</v>
      </c>
      <c r="M6" s="67">
        <f t="shared" ref="M6:M14" si="0">ROUND(K6*L6/10000,0)</f>
        <v>158808</v>
      </c>
      <c r="N6" s="731">
        <v>0.95</v>
      </c>
      <c r="O6" s="67">
        <f>IF($N$5="成新度","——",ROUND(M6*N6,0))</f>
        <v>150868</v>
      </c>
      <c r="P6" s="68">
        <f>IF($N$5="成新度","——",M6-O6)</f>
        <v>7940</v>
      </c>
      <c r="Q6" s="734">
        <v>0.2</v>
      </c>
      <c r="R6" s="69">
        <f ca="1">SUMIF('数据-汇总表'!C$19:C$33,A6,'数据-汇总表'!R$19:R$27)</f>
        <v>11389.880000000001</v>
      </c>
      <c r="S6" s="51">
        <f>IF('数据-汇总表'!$I$17="按面积比例",SUMIF('数据-汇总表'!C$19:C$33,A6,'数据-汇总表'!K$19:K$33),SUMIF('数据-汇总表'!C$19:C$33,A6,'数据-汇总表'!N$19:N$33))</f>
        <v>6441.94</v>
      </c>
      <c r="T6" s="1169">
        <f>ROUND($L$14*S6/10000,0)</f>
        <v>4509</v>
      </c>
      <c r="U6" s="3424"/>
      <c r="V6" s="70">
        <v>2.5000000000000001E-2</v>
      </c>
      <c r="W6" s="70">
        <v>0.1</v>
      </c>
      <c r="X6" s="1037"/>
      <c r="Y6" s="71">
        <v>1</v>
      </c>
      <c r="Z6" s="72"/>
      <c r="AA6" s="66"/>
      <c r="AB6" s="66"/>
      <c r="AC6" s="1037"/>
      <c r="AD6" s="73"/>
      <c r="AE6" s="1038">
        <f ca="1">IF(AN6="",0,SUMIF(INDIRECT("'"&amp;AN6&amp;"'"&amp;"!E:E"),$AE$5,INDIRECT("'"&amp;AN6&amp;"'"&amp;"!F:F")))</f>
        <v>0</v>
      </c>
      <c r="AF6" s="1344"/>
      <c r="AG6" s="138">
        <f>IF(AF6="",0,AE6-AF6)</f>
        <v>0</v>
      </c>
      <c r="AH6" s="74"/>
      <c r="AI6" s="76">
        <v>365</v>
      </c>
      <c r="AJ6" s="77"/>
      <c r="AK6" s="78">
        <v>1.4999999999999999E-2</v>
      </c>
      <c r="AL6" s="79">
        <v>1.5E-3</v>
      </c>
      <c r="AM6" s="80">
        <v>0.02</v>
      </c>
      <c r="AN6" s="1711"/>
      <c r="AO6" s="52" t="e">
        <f ca="1">SUMIF(INDIRECT("'"&amp;AN6&amp;"'"&amp;"!A:A"),"总价",INDIRECT("'"&amp;AN6&amp;"'"&amp;"!B:B"))</f>
        <v>#REF!</v>
      </c>
      <c r="AP6" s="1712">
        <f>IF(C6="住宅",K6*L6,0)</f>
        <v>0</v>
      </c>
      <c r="AQ6" s="52">
        <f>ROUND($L$14*$N$14*S6/10000,0)</f>
        <v>4284</v>
      </c>
      <c r="AR6" s="52">
        <f>ROUND($L$14*(1-$N$14)*S6/10000,0)</f>
        <v>225</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t="str">
        <f>'数据-汇总表'!C20</f>
        <v>商业</v>
      </c>
      <c r="B7" s="1709" t="str">
        <f t="shared" ref="B7:B13" si="1">IF(A7=0,"","经营性")</f>
        <v>经营性</v>
      </c>
      <c r="C7" s="1710" t="s">
        <v>673</v>
      </c>
      <c r="D7" s="855">
        <f>SUMIF(项目基本情况!C$12:I$12,C7,项目基本情况!C$14:I$14)</f>
        <v>40</v>
      </c>
      <c r="E7" s="854">
        <f>IF(B7="","",SUMIF(项目基本情况!C$12:I$12,C7,项目基本情况!C$13:I$13))</f>
        <v>55548</v>
      </c>
      <c r="F7" s="64">
        <f>SUMIF(项目基本情况!C$12:I$12,C7,项目基本情况!C$15:I$15)</f>
        <v>28.88</v>
      </c>
      <c r="G7" s="65">
        <f t="shared" ref="G7:G11" si="2">IF(ISERROR(ROUND(POWER(1+H7,D7-F7)*(POWER(1+H7,F7)-1)/(POWER(1+H7,D7)-1),3)),0,ROUND(POWER(1+H7,D7-F7)*(POWER(1+H7,F7)-1)/(POWER(1+H7,D7)-1),3))</f>
        <v>0.89200000000000002</v>
      </c>
      <c r="H7" s="732">
        <v>5.5E-2</v>
      </c>
      <c r="I7" s="732">
        <v>0.06</v>
      </c>
      <c r="J7" s="66">
        <v>7.4999999999999997E-2</v>
      </c>
      <c r="K7" s="1027">
        <f>SUMIF('数据-汇总表'!C$19:C$33,A7,'数据-汇总表'!E$19:E$33)</f>
        <v>4660.4099999999989</v>
      </c>
      <c r="L7" s="733">
        <v>10000</v>
      </c>
      <c r="M7" s="67">
        <f t="shared" si="0"/>
        <v>4660</v>
      </c>
      <c r="N7" s="731">
        <f>N6</f>
        <v>0.95</v>
      </c>
      <c r="O7" s="67">
        <f t="shared" ref="O7:O14" si="3">IF($N$5="成新度","——",ROUND(M7*N7,0))</f>
        <v>4427</v>
      </c>
      <c r="P7" s="68">
        <f t="shared" ref="P7:P14" si="4">IF($N$5="成新度","——",M7-O7)</f>
        <v>233</v>
      </c>
      <c r="Q7" s="734">
        <v>0.2</v>
      </c>
      <c r="R7" s="69">
        <f ca="1">SUMIF('数据-汇总表'!C$19:C$33,A7,'数据-汇总表'!R$19:R$27)</f>
        <v>334.25</v>
      </c>
      <c r="S7" s="51">
        <f>IF('数据-汇总表'!$I$17="按面积比例",SUMIF('数据-汇总表'!C$19:C$33,A7,'数据-汇总表'!K$19:K$33),SUMIF('数据-汇总表'!C$19:C$33,A7,'数据-汇总表'!N$19:N$33))</f>
        <v>189.05</v>
      </c>
      <c r="T7" s="1169">
        <f t="shared" ref="T7:T13" si="5">ROUND($L$14*S7/10000,0)</f>
        <v>132</v>
      </c>
      <c r="U7" s="3424"/>
      <c r="V7" s="70">
        <v>2.5000000000000001E-2</v>
      </c>
      <c r="W7" s="70">
        <v>0.1</v>
      </c>
      <c r="X7" s="1037"/>
      <c r="Y7" s="71">
        <v>1</v>
      </c>
      <c r="Z7" s="72"/>
      <c r="AA7" s="66"/>
      <c r="AB7" s="66"/>
      <c r="AC7" s="1037"/>
      <c r="AD7" s="73"/>
      <c r="AE7" s="1038">
        <f t="shared" ref="AE7:AE13" ca="1" si="6">IF(AN7="",0,SUMIF(INDIRECT("'"&amp;AN7&amp;"'"&amp;"!E:E"),$AE$5,INDIRECT("'"&amp;AN7&amp;"'"&amp;"!F:F")))</f>
        <v>0</v>
      </c>
      <c r="AF7" s="1344"/>
      <c r="AG7" s="138">
        <f t="shared" ref="AG7:AG13" si="7">IF(AF7="",0,AE7-AF7)</f>
        <v>0</v>
      </c>
      <c r="AH7" s="74"/>
      <c r="AI7" s="76">
        <v>365</v>
      </c>
      <c r="AJ7" s="77"/>
      <c r="AK7" s="78">
        <f>AK6</f>
        <v>1.4999999999999999E-2</v>
      </c>
      <c r="AL7" s="78">
        <f t="shared" ref="AL7:AM7" si="8">AL6</f>
        <v>1.5E-3</v>
      </c>
      <c r="AM7" s="78">
        <f t="shared" si="8"/>
        <v>0.02</v>
      </c>
      <c r="AN7" s="1711"/>
      <c r="AO7" s="52" t="e">
        <f t="shared" ref="AO7:AO13" ca="1" si="9">SUMIF(INDIRECT("'"&amp;AN7&amp;"'"&amp;"!A:A"),"总价",INDIRECT("'"&amp;AN7&amp;"'"&amp;"!B:B"))</f>
        <v>#REF!</v>
      </c>
      <c r="AP7" s="1712">
        <f t="shared" ref="AP7:AP13" si="10">IF(C7="住宅",K7*L7,0)</f>
        <v>0</v>
      </c>
      <c r="AQ7" s="52">
        <f t="shared" ref="AQ7:AQ13" si="11">ROUND($L$14*$N$14*S7/10000,0)</f>
        <v>126</v>
      </c>
      <c r="AR7" s="52">
        <f t="shared" ref="AR7:AR13" si="12">ROUND($L$14*(1-$N$14)*S7/10000,0)</f>
        <v>7</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t="str">
        <f>'数据-汇总表'!C21</f>
        <v>储藏</v>
      </c>
      <c r="B8" s="1709" t="str">
        <f t="shared" si="1"/>
        <v>经营性</v>
      </c>
      <c r="C8" s="1710" t="s">
        <v>3340</v>
      </c>
      <c r="D8" s="855">
        <f>SUMIF(项目基本情况!C$12:I$12,C8,项目基本情况!C$14:I$14)</f>
        <v>40</v>
      </c>
      <c r="E8" s="854">
        <f>IF(B8="","",SUMIF(项目基本情况!C$12:I$12,C8,项目基本情况!C$13:I$13))</f>
        <v>55548</v>
      </c>
      <c r="F8" s="64">
        <f>SUMIF(项目基本情况!C$12:I$12,C8,项目基本情况!C$15:I$15)</f>
        <v>28.88</v>
      </c>
      <c r="G8" s="65">
        <f t="shared" si="2"/>
        <v>0.86899999999999999</v>
      </c>
      <c r="H8" s="732">
        <v>4.4999999999999998E-2</v>
      </c>
      <c r="I8" s="732">
        <v>0.05</v>
      </c>
      <c r="J8" s="66">
        <v>6.5000000000000002E-2</v>
      </c>
      <c r="K8" s="1027">
        <f>SUMIF('数据-汇总表'!C$19:C$33,A8,'数据-汇总表'!E$19:E$33)</f>
        <v>8500.51</v>
      </c>
      <c r="L8" s="733">
        <v>7000</v>
      </c>
      <c r="M8" s="67">
        <f>ROUND(K8*L8/10000,0)</f>
        <v>5950</v>
      </c>
      <c r="N8" s="731">
        <f>N6</f>
        <v>0.95</v>
      </c>
      <c r="O8" s="67">
        <f t="shared" si="3"/>
        <v>5653</v>
      </c>
      <c r="P8" s="68">
        <f t="shared" si="4"/>
        <v>297</v>
      </c>
      <c r="Q8" s="734">
        <v>0.05</v>
      </c>
      <c r="R8" s="69">
        <f ca="1">SUMIF('数据-汇总表'!C$19:C$33,A8,'数据-汇总表'!R$19:R$27)</f>
        <v>609.66999999999996</v>
      </c>
      <c r="S8" s="51">
        <f>IF('数据-汇总表'!$I$17="按面积比例",SUMIF('数据-汇总表'!C$19:C$33,A8,'数据-汇总表'!K$19:K$33),SUMIF('数据-汇总表'!C$19:C$33,A8,'数据-汇总表'!N$19:N$33))</f>
        <v>344.82</v>
      </c>
      <c r="T8" s="1169">
        <f t="shared" si="5"/>
        <v>241</v>
      </c>
      <c r="U8" s="3425"/>
      <c r="V8" s="735">
        <v>0.02</v>
      </c>
      <c r="W8" s="735">
        <v>0.1</v>
      </c>
      <c r="X8" s="1037"/>
      <c r="Y8" s="71">
        <v>1</v>
      </c>
      <c r="Z8" s="72"/>
      <c r="AA8" s="66"/>
      <c r="AB8" s="66"/>
      <c r="AC8" s="1037"/>
      <c r="AD8" s="73"/>
      <c r="AE8" s="1038">
        <f t="shared" ca="1" si="6"/>
        <v>0</v>
      </c>
      <c r="AF8" s="1344"/>
      <c r="AG8" s="138">
        <f t="shared" si="7"/>
        <v>0</v>
      </c>
      <c r="AH8" s="736"/>
      <c r="AI8" s="76">
        <v>365</v>
      </c>
      <c r="AJ8" s="77"/>
      <c r="AK8" s="78">
        <f t="shared" ref="AK8" si="13">AK7</f>
        <v>1.4999999999999999E-2</v>
      </c>
      <c r="AL8" s="78">
        <f t="shared" ref="AL8" si="14">AL7</f>
        <v>1.5E-3</v>
      </c>
      <c r="AM8" s="78">
        <f t="shared" ref="AM8" si="15">AM7</f>
        <v>0.02</v>
      </c>
      <c r="AN8" s="1711"/>
      <c r="AO8" s="52" t="e">
        <f t="shared" ca="1" si="9"/>
        <v>#REF!</v>
      </c>
      <c r="AP8" s="1712">
        <f t="shared" si="10"/>
        <v>0</v>
      </c>
      <c r="AQ8" s="52">
        <f t="shared" si="11"/>
        <v>229</v>
      </c>
      <c r="AR8" s="52">
        <f t="shared" si="12"/>
        <v>12</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t="str">
        <f>'数据-汇总表'!C22</f>
        <v>地下车库</v>
      </c>
      <c r="B9" s="1709" t="str">
        <f t="shared" si="1"/>
        <v>经营性</v>
      </c>
      <c r="C9" s="1710" t="s">
        <v>3339</v>
      </c>
      <c r="D9" s="855">
        <f>SUMIF(项目基本情况!C$12:I$12,C9,项目基本情况!C$14:I$14)</f>
        <v>40</v>
      </c>
      <c r="E9" s="854">
        <f>IF(B9="","",SUMIF(项目基本情况!C$12:I$12,C9,项目基本情况!C$13:I$13))</f>
        <v>55548</v>
      </c>
      <c r="F9" s="64">
        <f>SUMIF(项目基本情况!C$12:I$12,C9,项目基本情况!C$15:I$15)</f>
        <v>28.88</v>
      </c>
      <c r="G9" s="65">
        <f t="shared" si="2"/>
        <v>0.86899999999999999</v>
      </c>
      <c r="H9" s="66">
        <v>4.4999999999999998E-2</v>
      </c>
      <c r="I9" s="66">
        <v>0.05</v>
      </c>
      <c r="J9" s="66">
        <v>6.5000000000000002E-2</v>
      </c>
      <c r="K9" s="1027">
        <f>SUMIF('数据-汇总表'!C$19:C$33,A9,'数据-汇总表'!E$19:E$33)</f>
        <v>46034.520000000011</v>
      </c>
      <c r="L9" s="733">
        <v>7000</v>
      </c>
      <c r="M9" s="67">
        <f t="shared" si="0"/>
        <v>32224</v>
      </c>
      <c r="N9" s="731">
        <f>N6</f>
        <v>0.95</v>
      </c>
      <c r="O9" s="67">
        <f t="shared" si="3"/>
        <v>30613</v>
      </c>
      <c r="P9" s="68">
        <f t="shared" si="4"/>
        <v>1611</v>
      </c>
      <c r="Q9" s="81">
        <v>0.05</v>
      </c>
      <c r="R9" s="69">
        <f ca="1">SUMIF('数据-汇总表'!C$19:C$33,A9,'数据-汇总表'!R$19:R$27)</f>
        <v>3301.66</v>
      </c>
      <c r="S9" s="51">
        <f>IF('数据-汇总表'!$I$17="按面积比例",SUMIF('数据-汇总表'!C$19:C$33,A9,'数据-汇总表'!K$19:K$33),SUMIF('数据-汇总表'!C$19:C$33,A9,'数据-汇总表'!N$19:N$33))</f>
        <v>1867.36</v>
      </c>
      <c r="T9" s="1169">
        <f t="shared" si="5"/>
        <v>1307</v>
      </c>
      <c r="U9" s="3424">
        <v>1</v>
      </c>
      <c r="V9" s="70">
        <v>0.02</v>
      </c>
      <c r="W9" s="70">
        <v>0.1</v>
      </c>
      <c r="X9" s="1037"/>
      <c r="Y9" s="71">
        <v>1</v>
      </c>
      <c r="Z9" s="72"/>
      <c r="AA9" s="66"/>
      <c r="AB9" s="66"/>
      <c r="AC9" s="1037"/>
      <c r="AD9" s="73"/>
      <c r="AE9" s="1038">
        <f t="shared" ca="1" si="6"/>
        <v>28.729999999999997</v>
      </c>
      <c r="AF9" s="1344"/>
      <c r="AG9" s="138">
        <f t="shared" si="7"/>
        <v>0</v>
      </c>
      <c r="AH9" s="74">
        <f>1053-77</f>
        <v>976</v>
      </c>
      <c r="AI9" s="76">
        <v>12</v>
      </c>
      <c r="AJ9" s="77"/>
      <c r="AK9" s="78">
        <v>0.01</v>
      </c>
      <c r="AL9" s="78">
        <v>1E-3</v>
      </c>
      <c r="AM9" s="78">
        <v>0.01</v>
      </c>
      <c r="AN9" s="1711" t="s">
        <v>3953</v>
      </c>
      <c r="AO9" s="52">
        <f t="shared" ca="1" si="9"/>
        <v>-9175</v>
      </c>
      <c r="AP9" s="1712">
        <f t="shared" si="10"/>
        <v>0</v>
      </c>
      <c r="AQ9" s="52">
        <f t="shared" si="11"/>
        <v>1242</v>
      </c>
      <c r="AR9" s="52">
        <f t="shared" si="12"/>
        <v>65</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f>'数据-汇总表'!C23</f>
        <v>0</v>
      </c>
      <c r="B10" s="1709" t="str">
        <f t="shared" si="1"/>
        <v/>
      </c>
      <c r="C10" s="1710"/>
      <c r="D10" s="855">
        <f>SUMIF(项目基本情况!C$12:I$12,C10,项目基本情况!C$14:I$14)</f>
        <v>0</v>
      </c>
      <c r="E10" s="854"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24"/>
      <c r="V10" s="70"/>
      <c r="W10" s="70"/>
      <c r="X10" s="1037"/>
      <c r="Y10" s="71"/>
      <c r="Z10" s="72"/>
      <c r="AA10" s="66"/>
      <c r="AB10" s="66"/>
      <c r="AC10" s="1037"/>
      <c r="AD10" s="73"/>
      <c r="AE10" s="1038">
        <f t="shared" ca="1" si="6"/>
        <v>0</v>
      </c>
      <c r="AF10" s="1344"/>
      <c r="AG10" s="138">
        <f t="shared" si="7"/>
        <v>0</v>
      </c>
      <c r="AH10" s="74"/>
      <c r="AI10" s="76"/>
      <c r="AJ10" s="77"/>
      <c r="AK10" s="78"/>
      <c r="AL10" s="79"/>
      <c r="AM10" s="80"/>
      <c r="AN10" s="1711"/>
      <c r="AO10" s="52" t="e">
        <f t="shared" ca="1" si="9"/>
        <v>#REF!</v>
      </c>
      <c r="AP10" s="1712">
        <f t="shared" si="10"/>
        <v>0</v>
      </c>
      <c r="AQ10" s="52">
        <f t="shared" si="11"/>
        <v>0</v>
      </c>
      <c r="AR10" s="52">
        <f t="shared" si="12"/>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5">
        <f>SUMIF(项目基本情况!C$12:I$12,C11,项目基本情况!C$14:I$14)</f>
        <v>0</v>
      </c>
      <c r="E11" s="854"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24"/>
      <c r="V11" s="66"/>
      <c r="W11" s="66"/>
      <c r="X11" s="1037"/>
      <c r="Y11" s="71"/>
      <c r="Z11" s="84"/>
      <c r="AA11" s="66"/>
      <c r="AB11" s="66"/>
      <c r="AC11" s="1037"/>
      <c r="AD11" s="73"/>
      <c r="AE11" s="1038">
        <f t="shared" ca="1" si="6"/>
        <v>0</v>
      </c>
      <c r="AF11" s="1344"/>
      <c r="AG11" s="138">
        <f t="shared" si="7"/>
        <v>0</v>
      </c>
      <c r="AH11" s="74"/>
      <c r="AI11" s="76"/>
      <c r="AJ11" s="77"/>
      <c r="AK11" s="85"/>
      <c r="AL11" s="86"/>
      <c r="AM11" s="87"/>
      <c r="AN11" s="1711"/>
      <c r="AO11" s="52" t="e">
        <f t="shared" ca="1" si="9"/>
        <v>#REF!</v>
      </c>
      <c r="AP11" s="1712">
        <f t="shared" si="10"/>
        <v>0</v>
      </c>
      <c r="AQ11" s="52">
        <f t="shared" si="11"/>
        <v>0</v>
      </c>
      <c r="AR11" s="52">
        <f t="shared" si="12"/>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5">
        <f>SUMIF(项目基本情况!C$12:I$12,C12,项目基本情况!C$14:I$14)</f>
        <v>0</v>
      </c>
      <c r="E12" s="85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24"/>
      <c r="V12" s="66"/>
      <c r="W12" s="66"/>
      <c r="X12" s="1037"/>
      <c r="Y12" s="71"/>
      <c r="Z12" s="84"/>
      <c r="AA12" s="66"/>
      <c r="AB12" s="66"/>
      <c r="AC12" s="1037"/>
      <c r="AD12" s="73"/>
      <c r="AE12" s="1038">
        <f t="shared" ca="1" si="6"/>
        <v>0</v>
      </c>
      <c r="AF12" s="1344"/>
      <c r="AG12" s="138">
        <f t="shared" si="7"/>
        <v>0</v>
      </c>
      <c r="AH12" s="74"/>
      <c r="AI12" s="76"/>
      <c r="AJ12" s="77"/>
      <c r="AK12" s="85"/>
      <c r="AL12" s="86"/>
      <c r="AM12" s="87"/>
      <c r="AN12" s="1711"/>
      <c r="AO12" s="52" t="e">
        <f t="shared" ca="1" si="9"/>
        <v>#REF!</v>
      </c>
      <c r="AP12" s="1712">
        <f t="shared" si="10"/>
        <v>0</v>
      </c>
      <c r="AQ12" s="52">
        <f t="shared" si="11"/>
        <v>0</v>
      </c>
      <c r="AR12" s="52">
        <f t="shared" si="12"/>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5">
        <f>SUMIF(项目基本情况!C$12:I$12,C13,项目基本情况!C$14:I$14)</f>
        <v>0</v>
      </c>
      <c r="E13" s="85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6"/>
      <c r="V13" s="70"/>
      <c r="W13" s="70"/>
      <c r="X13" s="1037"/>
      <c r="Y13" s="71"/>
      <c r="Z13" s="72"/>
      <c r="AA13" s="66"/>
      <c r="AB13" s="66"/>
      <c r="AC13" s="1037"/>
      <c r="AD13" s="73"/>
      <c r="AE13" s="1038">
        <f t="shared" ca="1" si="6"/>
        <v>0</v>
      </c>
      <c r="AF13" s="1344"/>
      <c r="AG13" s="138">
        <f t="shared" si="7"/>
        <v>0</v>
      </c>
      <c r="AH13" s="74"/>
      <c r="AI13" s="76"/>
      <c r="AJ13" s="77"/>
      <c r="AK13" s="78"/>
      <c r="AL13" s="79"/>
      <c r="AM13" s="80"/>
      <c r="AN13" s="1711"/>
      <c r="AO13" s="52" t="e">
        <f t="shared" ca="1" si="9"/>
        <v>#REF!</v>
      </c>
      <c r="AP13" s="1712">
        <f t="shared" si="10"/>
        <v>0</v>
      </c>
      <c r="AQ13" s="52">
        <f t="shared" si="11"/>
        <v>0</v>
      </c>
      <c r="AR13" s="52">
        <f t="shared" si="12"/>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1205</v>
      </c>
      <c r="B14" s="1709" t="s">
        <v>1206</v>
      </c>
      <c r="C14" s="1714" t="s">
        <v>1205</v>
      </c>
      <c r="D14" s="855"/>
      <c r="E14" s="854"/>
      <c r="F14" s="64"/>
      <c r="G14" s="65"/>
      <c r="H14" s="1026"/>
      <c r="I14" s="1026"/>
      <c r="J14" s="1026"/>
      <c r="K14" s="1027">
        <f>SUMIF('数据-汇总表'!C$19:C$33,A14,'数据-汇总表'!E$19:E$33)</f>
        <v>8843.1700000000019</v>
      </c>
      <c r="L14" s="82">
        <v>7000</v>
      </c>
      <c r="M14" s="67">
        <f t="shared" si="0"/>
        <v>6190</v>
      </c>
      <c r="N14" s="83">
        <f>N6</f>
        <v>0.95</v>
      </c>
      <c r="O14" s="67">
        <f t="shared" si="3"/>
        <v>5881</v>
      </c>
      <c r="P14" s="68">
        <f t="shared" si="4"/>
        <v>309</v>
      </c>
      <c r="Q14" s="1030"/>
      <c r="R14" s="69"/>
      <c r="S14" s="51"/>
      <c r="T14" s="1169"/>
      <c r="U14" s="670"/>
      <c r="V14" s="1032"/>
      <c r="W14" s="1032"/>
      <c r="X14" s="1033"/>
      <c r="Y14" s="1034"/>
      <c r="Z14" s="1035"/>
      <c r="AA14" s="1036"/>
      <c r="AB14" s="1036"/>
      <c r="AC14" s="1037"/>
      <c r="AD14" s="1033"/>
      <c r="AE14" s="1038"/>
      <c r="AF14" s="52"/>
      <c r="AG14" s="138"/>
      <c r="AH14" s="1038"/>
      <c r="AI14" s="1353"/>
      <c r="AJ14" s="704"/>
      <c r="AK14" s="1039"/>
      <c r="AL14" s="1040"/>
      <c r="AM14" s="1041"/>
      <c r="AN14" s="2667"/>
      <c r="AO14" s="2669"/>
      <c r="AP14" s="2669"/>
      <c r="AQ14" s="2669"/>
      <c r="AR14" s="2669"/>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1207</v>
      </c>
      <c r="B15" s="1709" t="s">
        <v>1206</v>
      </c>
      <c r="C15" s="1714" t="s">
        <v>1208</v>
      </c>
      <c r="D15" s="855"/>
      <c r="E15" s="854"/>
      <c r="F15" s="64"/>
      <c r="G15" s="65"/>
      <c r="H15" s="1026"/>
      <c r="I15" s="1026"/>
      <c r="J15" s="1026"/>
      <c r="K15" s="1027">
        <f>SUMIF('数据-汇总表'!C$19:C$33,A15,'数据-汇总表'!E$19:E$33)</f>
        <v>0</v>
      </c>
      <c r="L15" s="1028"/>
      <c r="M15" s="67"/>
      <c r="N15" s="1029"/>
      <c r="O15" s="67"/>
      <c r="P15" s="68"/>
      <c r="Q15" s="1030"/>
      <c r="R15" s="69"/>
      <c r="S15" s="51"/>
      <c r="T15" s="1169"/>
      <c r="U15" s="670"/>
      <c r="V15" s="1032"/>
      <c r="W15" s="1032"/>
      <c r="X15" s="1033"/>
      <c r="Y15" s="1034"/>
      <c r="Z15" s="1035"/>
      <c r="AA15" s="1036"/>
      <c r="AB15" s="1036"/>
      <c r="AC15" s="1037"/>
      <c r="AD15" s="1033"/>
      <c r="AE15" s="1038"/>
      <c r="AF15" s="52"/>
      <c r="AG15" s="138"/>
      <c r="AH15" s="1038"/>
      <c r="AI15" s="1353"/>
      <c r="AJ15" s="704"/>
      <c r="AK15" s="1039"/>
      <c r="AL15" s="1040"/>
      <c r="AM15" s="1041"/>
      <c r="AN15" s="2667"/>
      <c r="AO15" s="2669"/>
      <c r="AP15" s="2669"/>
      <c r="AQ15" s="2669"/>
      <c r="AR15" s="2669"/>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1209</v>
      </c>
      <c r="B16" s="88"/>
      <c r="C16" s="830"/>
      <c r="D16" s="1716"/>
      <c r="E16" s="88"/>
      <c r="F16" s="88"/>
      <c r="G16" s="89">
        <f>ROUND(SUMPRODUCT(G6:G13,K6:K13)/SUMPRODUCT((G6:G13&gt;0)*(K6:K13)),3)</f>
        <v>0.878</v>
      </c>
      <c r="H16" s="90">
        <f>ROUND(SUMPRODUCT(H6:H13,K6:K13)/SUMPRODUCT((H6:H13&gt;0)*(K6:K13)),3)</f>
        <v>4.9000000000000002E-2</v>
      </c>
      <c r="I16" s="91"/>
      <c r="J16" s="91"/>
      <c r="K16" s="92">
        <f>SUM(K6:K15)</f>
        <v>226846.22999999992</v>
      </c>
      <c r="L16" s="93">
        <f>ROUND(M16*10000/SUM(K6:K14),0)</f>
        <v>9162</v>
      </c>
      <c r="M16" s="93">
        <f>SUM(M6:M14)</f>
        <v>207832</v>
      </c>
      <c r="N16" s="94">
        <f>ROUND(SUMPRODUCT(M6:M14,N6:N14)/M16,3)</f>
        <v>0.95</v>
      </c>
      <c r="O16" s="93">
        <f>SUM(O6:O14)</f>
        <v>197442</v>
      </c>
      <c r="P16" s="93">
        <f>SUM(P6:P14)</f>
        <v>10390</v>
      </c>
      <c r="Q16" s="95">
        <f>ROUND(SUMPRODUCT(Q6:Q13,K6:K13)/SUMPRODUCT((Q6:Q13&gt;0)*(K6:K13)),2)</f>
        <v>0.16</v>
      </c>
      <c r="R16" s="1031">
        <f ca="1">SUM(R6:R13)</f>
        <v>15635.460000000001</v>
      </c>
      <c r="S16" s="96">
        <f>SUM(S6:S13)</f>
        <v>8843.17</v>
      </c>
      <c r="T16" s="97" t="str">
        <f>IF(SUMIF(T6:T13,"&lt;9E307")=M14,SUMIF(T6:T13,"&lt;9E307"),"有误，请检查")</f>
        <v>有误，请检查</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18" t="s">
        <v>1211</v>
      </c>
      <c r="B19" s="103">
        <v>0</v>
      </c>
      <c r="C19" s="2795" t="s">
        <v>2304</v>
      </c>
      <c r="D19" s="2672"/>
      <c r="E19" s="2669"/>
      <c r="F19" s="2669"/>
      <c r="G19" s="2669"/>
      <c r="H19" s="2669"/>
      <c r="I19" s="2669"/>
      <c r="J19" s="2669"/>
      <c r="K19" s="2668"/>
      <c r="L19" s="2668"/>
      <c r="M19" s="2667"/>
      <c r="N19" s="2667"/>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19" t="s">
        <v>1212</v>
      </c>
      <c r="B20" s="104">
        <v>3</v>
      </c>
      <c r="C20" s="2796" t="s">
        <v>2302</v>
      </c>
      <c r="D20" s="2672"/>
      <c r="E20" s="2669"/>
      <c r="F20" s="2669"/>
      <c r="G20" s="2669"/>
      <c r="H20" s="2669"/>
      <c r="I20" s="2669"/>
      <c r="J20" s="2669"/>
      <c r="K20" s="2668"/>
      <c r="L20" s="2668"/>
      <c r="M20" s="2667"/>
      <c r="N20" s="2667"/>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0" t="s">
        <v>1213</v>
      </c>
      <c r="B21" s="104">
        <f>B20*N16</f>
        <v>2.8499999999999996</v>
      </c>
      <c r="C21" s="2669"/>
      <c r="D21" s="2672"/>
      <c r="E21" s="2669"/>
      <c r="F21" s="2669"/>
      <c r="G21" s="2669"/>
      <c r="H21" s="2669"/>
      <c r="I21" s="2669"/>
      <c r="J21" s="2669"/>
      <c r="K21" s="2668"/>
      <c r="L21" s="2668"/>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19" t="s">
        <v>1214</v>
      </c>
      <c r="B22" s="105">
        <f>B19+B20</f>
        <v>3</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0" t="s">
        <v>1215</v>
      </c>
      <c r="B23" s="105">
        <f>B19+B21</f>
        <v>2.8499999999999996</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1" t="s">
        <v>1216</v>
      </c>
      <c r="B24" s="106">
        <f>B20-B21</f>
        <v>0.15000000000000036</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3"/>
      <c r="B25" s="1683"/>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79" t="s">
        <v>1217</v>
      </c>
      <c r="B26" s="1722" t="s">
        <v>1218</v>
      </c>
      <c r="C26" s="2673" t="s">
        <v>1219</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4" customFormat="1" ht="27.75">
      <c r="A27" s="1723" t="s">
        <v>1220</v>
      </c>
      <c r="B27" s="107">
        <v>150</v>
      </c>
      <c r="C27" s="2797" t="s">
        <v>2306</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4" customFormat="1" ht="27.75">
      <c r="A28" s="1725" t="s">
        <v>1221</v>
      </c>
      <c r="B28" s="110">
        <v>150</v>
      </c>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4" customFormat="1" ht="28.5" thickBot="1">
      <c r="A29" s="1726" t="s">
        <v>1222</v>
      </c>
      <c r="B29" s="112">
        <f ca="1">成本法!C10</f>
        <v>3403</v>
      </c>
      <c r="C29" s="2798" t="s">
        <v>2293</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4" customFormat="1" ht="27">
      <c r="A30" s="1727" t="s">
        <v>1223</v>
      </c>
      <c r="B30" s="671">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4" customFormat="1" ht="27">
      <c r="A31" s="1725" t="s">
        <v>1224</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4" customFormat="1" ht="27.75" thickBot="1">
      <c r="A32" s="1728" t="s">
        <v>1225</v>
      </c>
      <c r="B32" s="672">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4" customFormat="1" ht="14.25">
      <c r="A33" s="1723" t="s">
        <v>1226</v>
      </c>
      <c r="B33" s="673">
        <v>0.03</v>
      </c>
      <c r="C33" s="2799" t="s">
        <v>2294</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4" customFormat="1" ht="14.25">
      <c r="A34" s="1725" t="s">
        <v>1227</v>
      </c>
      <c r="B34" s="113">
        <v>0.05</v>
      </c>
      <c r="C34" s="2799" t="s">
        <v>2295</v>
      </c>
      <c r="D34" s="2680" t="s">
        <v>2303</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4" customFormat="1" ht="14.25">
      <c r="A35" s="1725" t="s">
        <v>1228</v>
      </c>
      <c r="B35" s="110">
        <v>200</v>
      </c>
      <c r="C35" s="2799" t="s">
        <v>2296</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6" t="s">
        <v>1229</v>
      </c>
      <c r="B36" s="114">
        <v>1.4999999999999999E-2</v>
      </c>
      <c r="C36" s="2799" t="s">
        <v>2297</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27" t="s">
        <v>1230</v>
      </c>
      <c r="B37" s="115">
        <v>0.02</v>
      </c>
      <c r="C37" s="2799" t="s">
        <v>2298</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5" t="s">
        <v>1231</v>
      </c>
      <c r="B38" s="113">
        <v>0.02</v>
      </c>
      <c r="C38" s="2799" t="s">
        <v>2298</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28" t="s">
        <v>1232</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29.25" thickBot="1">
      <c r="A40" s="2811" t="s">
        <v>3807</v>
      </c>
      <c r="B40" s="1075">
        <f ca="1">IF(A40="利息：取LPR",存贷款利率!G1,存贷款利率!G1+C40)</f>
        <v>4.1499999999999995E-2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3" t="s">
        <v>1233</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29"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29" t="s">
        <v>1235</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0" t="s">
        <v>1236</v>
      </c>
      <c r="B44" s="119">
        <v>7.0000000000000007E-2</v>
      </c>
      <c r="C44" s="2799" t="s">
        <v>2307</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0" t="s">
        <v>1237</v>
      </c>
      <c r="B45" s="117">
        <v>0.03</v>
      </c>
      <c r="C45" s="2798" t="s">
        <v>2299</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0" t="s">
        <v>1238</v>
      </c>
      <c r="B46" s="117">
        <v>0.02</v>
      </c>
      <c r="C46" s="2798" t="s">
        <v>2300</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1" t="s">
        <v>1239</v>
      </c>
      <c r="B47" s="120"/>
      <c r="C47" s="2801" t="s">
        <v>2308</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2" t="s">
        <v>1240</v>
      </c>
      <c r="B48" s="121">
        <v>0.03</v>
      </c>
      <c r="C48" s="2798" t="s">
        <v>2299</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28" t="s">
        <v>1241</v>
      </c>
      <c r="B49" s="117">
        <v>5.0000000000000001E-4</v>
      </c>
      <c r="C49" s="2798" t="s">
        <v>2301</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3" t="s">
        <v>1242</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6" t="s">
        <v>1243</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3" t="s">
        <v>1244</v>
      </c>
      <c r="B52" s="124">
        <f>SUMIF(A54:A63,B53,B54:B63)</f>
        <v>6</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5" t="s">
        <v>1245</v>
      </c>
      <c r="B53" s="1734" t="s">
        <v>303</v>
      </c>
      <c r="C53" s="2657" t="s">
        <v>1246</v>
      </c>
      <c r="D53" s="2800" t="s">
        <v>2305</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5" t="s">
        <v>1247</v>
      </c>
      <c r="B54" s="75">
        <v>27</v>
      </c>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5" t="s">
        <v>1248</v>
      </c>
      <c r="B55" s="75">
        <v>24</v>
      </c>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5" t="s">
        <v>1249</v>
      </c>
      <c r="B56" s="75">
        <v>14</v>
      </c>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5" t="s">
        <v>1250</v>
      </c>
      <c r="B57" s="75">
        <v>9</v>
      </c>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5" t="s">
        <v>1251</v>
      </c>
      <c r="B58" s="75">
        <v>6</v>
      </c>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5" t="s">
        <v>1252</v>
      </c>
      <c r="B59" s="75"/>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5"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5"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5"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6"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0"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0"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0"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0"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0"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0" customFormat="1">
      <c r="A69" s="1737"/>
      <c r="D69" s="1738"/>
      <c r="K69" s="728"/>
      <c r="L69" s="728"/>
    </row>
    <row r="70" spans="1:44" s="790" customFormat="1">
      <c r="A70" s="1737"/>
      <c r="D70" s="1738"/>
      <c r="K70" s="728"/>
      <c r="L70" s="728"/>
    </row>
    <row r="71" spans="1:44" s="790" customFormat="1">
      <c r="A71" s="1737"/>
      <c r="D71" s="1738"/>
      <c r="K71" s="728"/>
      <c r="L71" s="728"/>
    </row>
    <row r="72" spans="1:44" s="790" customFormat="1">
      <c r="A72" s="1737"/>
      <c r="D72" s="1738"/>
      <c r="K72" s="728"/>
      <c r="L72" s="728"/>
    </row>
    <row r="73" spans="1:44" s="790" customFormat="1">
      <c r="A73" s="1737"/>
      <c r="D73" s="1738"/>
      <c r="K73" s="728"/>
      <c r="L73" s="728"/>
    </row>
    <row r="74" spans="1:44" s="790" customFormat="1">
      <c r="A74" s="1737"/>
      <c r="D74" s="1738"/>
      <c r="K74" s="728"/>
      <c r="L74" s="728"/>
    </row>
    <row r="75" spans="1:44" s="790" customFormat="1">
      <c r="A75" s="1737"/>
      <c r="D75" s="1738"/>
      <c r="K75" s="728"/>
      <c r="L75" s="728"/>
    </row>
    <row r="76" spans="1:44" s="790" customFormat="1">
      <c r="A76" s="1737"/>
      <c r="D76" s="1738"/>
      <c r="K76" s="728"/>
      <c r="L76" s="728"/>
    </row>
    <row r="77" spans="1:44" s="790" customFormat="1">
      <c r="A77" s="1737"/>
      <c r="D77" s="1738"/>
      <c r="K77" s="728"/>
      <c r="L77" s="728"/>
    </row>
    <row r="78" spans="1:44" s="790" customFormat="1">
      <c r="A78" s="1737"/>
      <c r="D78" s="1738"/>
      <c r="K78" s="728"/>
      <c r="L78" s="728"/>
    </row>
    <row r="79" spans="1:44" s="790" customFormat="1">
      <c r="A79" s="1737"/>
      <c r="D79" s="1738"/>
      <c r="K79" s="728"/>
      <c r="L79" s="728"/>
    </row>
    <row r="80" spans="1:44" s="790" customFormat="1">
      <c r="A80" s="1737"/>
      <c r="D80" s="1738"/>
      <c r="K80" s="728"/>
      <c r="L80" s="728"/>
    </row>
    <row r="81" spans="1:12" s="790" customFormat="1">
      <c r="A81" s="1737"/>
      <c r="D81" s="1738"/>
      <c r="K81" s="728"/>
      <c r="L81" s="728"/>
    </row>
    <row r="82" spans="1:12" s="790" customFormat="1">
      <c r="A82" s="1737"/>
      <c r="D82" s="1738"/>
      <c r="K82" s="728"/>
      <c r="L82" s="728"/>
    </row>
    <row r="83" spans="1:12" s="790" customFormat="1">
      <c r="A83" s="1737"/>
      <c r="D83" s="1738"/>
      <c r="K83" s="728"/>
      <c r="L83" s="728"/>
    </row>
    <row r="84" spans="1:12" s="790" customFormat="1">
      <c r="A84" s="1737"/>
      <c r="D84" s="1738"/>
      <c r="K84" s="728"/>
      <c r="L84" s="728"/>
    </row>
    <row r="85" spans="1:12" s="790" customFormat="1">
      <c r="A85" s="1737"/>
      <c r="D85" s="1738"/>
      <c r="K85" s="728"/>
      <c r="L85" s="728"/>
    </row>
    <row r="86" spans="1:12" s="790" customFormat="1">
      <c r="A86" s="1737"/>
      <c r="D86" s="1738"/>
      <c r="K86" s="728"/>
      <c r="L86" s="728"/>
    </row>
    <row r="87" spans="1:12" s="790" customFormat="1">
      <c r="A87" s="1737"/>
      <c r="D87" s="1738"/>
      <c r="K87" s="728"/>
      <c r="L87" s="728"/>
    </row>
    <row r="88" spans="1:12" s="790" customFormat="1">
      <c r="A88" s="1737"/>
      <c r="D88" s="1738"/>
      <c r="K88" s="728"/>
      <c r="L88" s="728"/>
    </row>
    <row r="89" spans="1:12" s="790" customFormat="1">
      <c r="A89" s="1737"/>
      <c r="D89" s="1738"/>
      <c r="K89" s="728"/>
      <c r="L89" s="728"/>
    </row>
    <row r="90" spans="1:12" s="790" customFormat="1">
      <c r="A90" s="1737"/>
      <c r="D90" s="1738"/>
      <c r="K90" s="728"/>
      <c r="L90" s="728"/>
    </row>
    <row r="91" spans="1:12" s="790" customFormat="1">
      <c r="A91" s="1737"/>
      <c r="D91" s="1738"/>
      <c r="K91" s="728"/>
      <c r="L91" s="728"/>
    </row>
    <row r="92" spans="1:12" s="790" customFormat="1">
      <c r="A92" s="1737"/>
      <c r="D92" s="1738"/>
      <c r="K92" s="728"/>
      <c r="L92" s="728"/>
    </row>
    <row r="93" spans="1:12" s="790" customFormat="1">
      <c r="A93" s="1737"/>
      <c r="D93" s="1738"/>
      <c r="K93" s="728"/>
      <c r="L93" s="728"/>
    </row>
    <row r="94" spans="1:12" s="790" customFormat="1">
      <c r="A94" s="1737"/>
      <c r="D94" s="1738"/>
      <c r="K94" s="728"/>
      <c r="L94" s="728"/>
    </row>
    <row r="95" spans="1:12" s="790" customFormat="1">
      <c r="A95" s="1737"/>
      <c r="D95" s="1738"/>
      <c r="K95" s="728"/>
      <c r="L95" s="728"/>
    </row>
    <row r="96" spans="1:12" s="790" customFormat="1">
      <c r="A96" s="1737"/>
      <c r="D96" s="1738"/>
      <c r="K96" s="728"/>
      <c r="L96" s="728"/>
    </row>
    <row r="97" spans="1:12" s="790" customFormat="1">
      <c r="A97" s="1737"/>
      <c r="D97" s="1738"/>
      <c r="K97" s="728"/>
      <c r="L97" s="728"/>
    </row>
    <row r="98" spans="1:12" s="790" customFormat="1">
      <c r="A98" s="1737"/>
      <c r="D98" s="1738"/>
      <c r="K98" s="728"/>
      <c r="L98" s="728"/>
    </row>
    <row r="99" spans="1:12" s="790" customFormat="1">
      <c r="A99" s="1737"/>
      <c r="D99" s="1738"/>
      <c r="K99" s="728"/>
      <c r="L99" s="728"/>
    </row>
    <row r="100" spans="1:12" s="790" customFormat="1">
      <c r="A100" s="1737"/>
      <c r="D100" s="1738"/>
      <c r="K100" s="728"/>
      <c r="L100" s="728"/>
    </row>
    <row r="101" spans="1:12" s="790" customFormat="1">
      <c r="A101" s="1737"/>
      <c r="D101" s="1738"/>
      <c r="K101" s="728"/>
      <c r="L101" s="728"/>
    </row>
    <row r="102" spans="1:12" s="790" customFormat="1">
      <c r="A102" s="1737"/>
      <c r="D102" s="1738"/>
      <c r="K102" s="728"/>
      <c r="L102" s="728"/>
    </row>
    <row r="103" spans="1:12" s="790" customFormat="1">
      <c r="A103" s="1737"/>
      <c r="D103" s="1738"/>
      <c r="K103" s="728"/>
      <c r="L103" s="728"/>
    </row>
    <row r="104" spans="1:12" s="790" customFormat="1">
      <c r="A104" s="1737"/>
      <c r="D104" s="1738"/>
      <c r="K104" s="728"/>
      <c r="L104" s="728"/>
    </row>
    <row r="105" spans="1:12" s="790" customFormat="1">
      <c r="A105" s="1737"/>
      <c r="D105" s="1738"/>
      <c r="K105" s="728"/>
      <c r="L105" s="728"/>
    </row>
    <row r="106" spans="1:12" s="790" customFormat="1">
      <c r="A106" s="1737"/>
      <c r="D106" s="1738"/>
      <c r="K106" s="728"/>
      <c r="L106" s="728"/>
    </row>
    <row r="107" spans="1:12" s="790" customFormat="1">
      <c r="A107" s="1737"/>
      <c r="D107" s="1738"/>
      <c r="K107" s="728"/>
      <c r="L107" s="728"/>
    </row>
    <row r="108" spans="1:12" s="790" customFormat="1">
      <c r="A108" s="1737"/>
      <c r="D108" s="1738"/>
      <c r="K108" s="728"/>
      <c r="L108" s="728"/>
    </row>
    <row r="109" spans="1:12" s="790" customFormat="1">
      <c r="A109" s="1737"/>
      <c r="D109" s="1738"/>
      <c r="K109" s="728"/>
      <c r="L109" s="728"/>
    </row>
    <row r="110" spans="1:12" s="790" customFormat="1">
      <c r="A110" s="1737"/>
      <c r="D110" s="1738"/>
      <c r="K110" s="728"/>
      <c r="L110" s="728"/>
    </row>
    <row r="111" spans="1:12" s="790" customFormat="1">
      <c r="A111" s="1737"/>
      <c r="D111" s="1738"/>
      <c r="K111" s="728"/>
      <c r="L111" s="728"/>
    </row>
    <row r="112" spans="1:12" s="790" customFormat="1">
      <c r="A112" s="1737"/>
      <c r="D112" s="1738"/>
      <c r="K112" s="728"/>
      <c r="L112" s="728"/>
    </row>
    <row r="113" spans="1:12" s="790" customFormat="1">
      <c r="A113" s="1737"/>
      <c r="D113" s="1738"/>
      <c r="K113" s="728"/>
      <c r="L113" s="728"/>
    </row>
    <row r="114" spans="1:12" s="790" customFormat="1">
      <c r="A114" s="1737"/>
      <c r="D114" s="1738"/>
      <c r="K114" s="728"/>
      <c r="L114" s="728"/>
    </row>
    <row r="115" spans="1:12" s="790" customFormat="1">
      <c r="A115" s="1737"/>
      <c r="D115" s="1738"/>
      <c r="K115" s="728"/>
      <c r="L115" s="728"/>
    </row>
    <row r="116" spans="1:12" s="790" customFormat="1">
      <c r="A116" s="1737"/>
      <c r="D116" s="1738"/>
      <c r="K116" s="728"/>
      <c r="L116" s="728"/>
    </row>
    <row r="117" spans="1:12" s="790" customFormat="1">
      <c r="A117" s="1737"/>
      <c r="D117" s="1738"/>
      <c r="K117" s="728"/>
      <c r="L117" s="728"/>
    </row>
    <row r="118" spans="1:12" s="790" customFormat="1">
      <c r="A118" s="1737"/>
      <c r="D118" s="1738"/>
      <c r="K118" s="728"/>
      <c r="L118" s="728"/>
    </row>
    <row r="119" spans="1:12" s="790" customFormat="1">
      <c r="A119" s="1737"/>
      <c r="D119" s="1738"/>
      <c r="K119" s="728"/>
      <c r="L119" s="728"/>
    </row>
    <row r="120" spans="1:12" s="790" customFormat="1">
      <c r="A120" s="1737"/>
      <c r="D120" s="1738"/>
      <c r="K120" s="728"/>
      <c r="L120" s="728"/>
    </row>
    <row r="121" spans="1:12" s="790" customFormat="1">
      <c r="A121" s="1737"/>
      <c r="D121" s="1738"/>
      <c r="K121" s="728"/>
      <c r="L121" s="728"/>
    </row>
    <row r="122" spans="1:12" s="790" customFormat="1">
      <c r="A122" s="1737"/>
      <c r="D122" s="1738"/>
      <c r="K122" s="728"/>
      <c r="L122" s="728"/>
    </row>
    <row r="123" spans="1:12" s="790" customFormat="1">
      <c r="A123" s="1737"/>
      <c r="D123" s="1738"/>
      <c r="K123" s="728"/>
      <c r="L123" s="728"/>
    </row>
    <row r="124" spans="1:12" s="790" customFormat="1">
      <c r="A124" s="1737"/>
      <c r="D124" s="1738"/>
      <c r="K124" s="728"/>
      <c r="L124" s="728"/>
    </row>
    <row r="125" spans="1:12" s="790" customFormat="1">
      <c r="A125" s="1737"/>
      <c r="D125" s="1738"/>
      <c r="K125" s="728"/>
      <c r="L125" s="728"/>
    </row>
    <row r="126" spans="1:12" s="790" customFormat="1">
      <c r="A126" s="1737"/>
      <c r="D126" s="1738"/>
      <c r="K126" s="728"/>
      <c r="L126" s="728"/>
    </row>
    <row r="127" spans="1:12" s="790" customFormat="1">
      <c r="A127" s="1737"/>
      <c r="D127" s="1738"/>
      <c r="K127" s="728"/>
      <c r="L127" s="728"/>
    </row>
    <row r="128" spans="1:12" s="790" customFormat="1">
      <c r="A128" s="1737"/>
      <c r="D128" s="1738"/>
      <c r="K128" s="728"/>
      <c r="L128" s="728"/>
    </row>
    <row r="129" spans="1:12" s="790" customFormat="1">
      <c r="A129" s="1737"/>
      <c r="D129" s="1738"/>
      <c r="K129" s="728"/>
      <c r="L129" s="728"/>
    </row>
    <row r="130" spans="1:12" s="790" customFormat="1">
      <c r="A130" s="1737"/>
      <c r="D130" s="1738"/>
      <c r="K130" s="728"/>
      <c r="L130" s="728"/>
    </row>
    <row r="131" spans="1:12" s="790" customFormat="1">
      <c r="A131" s="1737"/>
      <c r="D131" s="1738"/>
      <c r="K131" s="728"/>
      <c r="L131" s="728"/>
    </row>
    <row r="132" spans="1:12" s="790" customFormat="1">
      <c r="A132" s="1737"/>
      <c r="D132" s="1738"/>
      <c r="K132" s="728"/>
      <c r="L132" s="728"/>
    </row>
    <row r="133" spans="1:12" s="790" customFormat="1">
      <c r="A133" s="1737"/>
      <c r="D133" s="1738"/>
      <c r="K133" s="728"/>
      <c r="L133" s="728"/>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2" customWidth="1"/>
    <col min="2" max="2" width="24.5" style="1568" customWidth="1"/>
    <col min="3" max="3" width="24.5" style="2506" customWidth="1"/>
    <col min="4" max="4" width="2.625" style="2506" customWidth="1"/>
    <col min="5" max="5" width="5.875" style="2506" customWidth="1"/>
    <col min="6" max="6" width="27" style="1568"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6"/>
    <col min="30" max="16384" width="9" style="1682"/>
  </cols>
  <sheetData>
    <row r="1" spans="1:29" s="2453" customFormat="1" ht="18.75" thickBot="1">
      <c r="A1" s="3602" t="s">
        <v>2285</v>
      </c>
      <c r="B1" s="3603"/>
      <c r="C1" s="3603"/>
      <c r="D1" s="3603"/>
      <c r="E1" s="3603"/>
      <c r="F1" s="3603"/>
      <c r="G1" s="3603"/>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2280</v>
      </c>
      <c r="D2" s="2457"/>
      <c r="E2" s="2454"/>
      <c r="F2" s="2458"/>
      <c r="G2" s="2456" t="s">
        <v>2281</v>
      </c>
      <c r="H2" s="796"/>
      <c r="I2" s="796"/>
      <c r="J2" s="796"/>
      <c r="K2" s="796"/>
      <c r="L2" s="796"/>
      <c r="M2" s="796"/>
      <c r="N2" s="796"/>
      <c r="O2" s="796"/>
      <c r="P2" s="796"/>
      <c r="Q2" s="796"/>
      <c r="R2" s="796"/>
    </row>
    <row r="3" spans="1:29" ht="48">
      <c r="A3" s="2437" t="s">
        <v>2282</v>
      </c>
      <c r="B3" s="2459" t="s">
        <v>2251</v>
      </c>
      <c r="C3" s="2460" t="s">
        <v>2283</v>
      </c>
      <c r="D3" s="2461"/>
      <c r="E3" s="2438" t="s">
        <v>2282</v>
      </c>
      <c r="F3" s="2462" t="s">
        <v>2252</v>
      </c>
      <c r="G3" s="2463" t="s">
        <v>2284</v>
      </c>
      <c r="H3" s="796"/>
      <c r="I3" s="796"/>
      <c r="J3" s="796"/>
      <c r="K3" s="796"/>
      <c r="L3" s="796"/>
      <c r="M3" s="796"/>
      <c r="N3" s="796"/>
      <c r="O3" s="796"/>
      <c r="P3" s="796"/>
      <c r="Q3" s="796"/>
      <c r="R3" s="796"/>
    </row>
    <row r="4" spans="1:29" ht="36.75">
      <c r="A4" s="2438"/>
      <c r="B4" s="323" t="s">
        <v>2253</v>
      </c>
      <c r="C4" s="2464" t="s">
        <v>2254</v>
      </c>
      <c r="D4" s="2461"/>
      <c r="E4" s="2465"/>
      <c r="F4" s="1369" t="s">
        <v>2255</v>
      </c>
      <c r="G4" s="2466" t="s">
        <v>2256</v>
      </c>
      <c r="H4" s="796"/>
      <c r="I4" s="796"/>
      <c r="J4" s="796"/>
      <c r="K4" s="796"/>
      <c r="L4" s="796"/>
      <c r="M4" s="796"/>
      <c r="N4" s="796"/>
      <c r="O4" s="796"/>
      <c r="P4" s="796"/>
      <c r="Q4" s="796"/>
      <c r="R4" s="796"/>
    </row>
    <row r="5" spans="1:29" ht="36.75">
      <c r="A5" s="2438"/>
      <c r="B5" s="323" t="s">
        <v>2257</v>
      </c>
      <c r="C5" s="2464" t="s">
        <v>2258</v>
      </c>
      <c r="D5" s="2461"/>
      <c r="E5" s="2465"/>
      <c r="F5" s="323" t="s">
        <v>2259</v>
      </c>
      <c r="G5" s="2466" t="s">
        <v>2260</v>
      </c>
      <c r="H5" s="796"/>
      <c r="I5" s="796"/>
      <c r="J5" s="796"/>
      <c r="K5" s="796"/>
      <c r="L5" s="796"/>
      <c r="M5" s="796"/>
      <c r="N5" s="796"/>
      <c r="O5" s="796"/>
      <c r="P5" s="796"/>
      <c r="Q5" s="796"/>
      <c r="R5" s="796"/>
    </row>
    <row r="6" spans="1:29" ht="36">
      <c r="A6" s="2438"/>
      <c r="B6" s="323" t="s">
        <v>2261</v>
      </c>
      <c r="C6" s="2466" t="s">
        <v>2256</v>
      </c>
      <c r="D6" s="2461"/>
      <c r="E6" s="2465"/>
      <c r="F6" s="323" t="s">
        <v>2262</v>
      </c>
      <c r="G6" s="2466" t="s">
        <v>2263</v>
      </c>
      <c r="H6" s="796"/>
      <c r="I6" s="796"/>
      <c r="J6" s="796"/>
      <c r="K6" s="796"/>
      <c r="L6" s="796"/>
      <c r="M6" s="796"/>
      <c r="N6" s="796"/>
      <c r="O6" s="796"/>
      <c r="P6" s="796"/>
      <c r="Q6" s="796"/>
      <c r="R6" s="796"/>
    </row>
    <row r="7" spans="1:29" ht="24.75" thickBot="1">
      <c r="A7" s="2438"/>
      <c r="B7" s="323" t="s">
        <v>2259</v>
      </c>
      <c r="C7" s="2466" t="s">
        <v>2260</v>
      </c>
      <c r="D7" s="2467"/>
      <c r="E7" s="2468"/>
      <c r="F7" s="2469" t="s">
        <v>2264</v>
      </c>
      <c r="G7" s="2470" t="s">
        <v>2265</v>
      </c>
      <c r="H7" s="796"/>
      <c r="I7" s="796"/>
      <c r="J7" s="796"/>
      <c r="K7" s="796"/>
      <c r="L7" s="796"/>
      <c r="M7" s="796"/>
      <c r="N7" s="796"/>
      <c r="O7" s="796"/>
      <c r="P7" s="796"/>
      <c r="Q7" s="796"/>
      <c r="R7" s="796"/>
    </row>
    <row r="8" spans="1:29">
      <c r="A8" s="2438"/>
      <c r="B8" s="323" t="s">
        <v>2262</v>
      </c>
      <c r="C8" s="2466" t="s">
        <v>2263</v>
      </c>
      <c r="D8" s="2467"/>
      <c r="E8" s="2467"/>
      <c r="F8" s="2471"/>
      <c r="G8" s="2471"/>
      <c r="H8" s="796"/>
      <c r="I8" s="796"/>
      <c r="J8" s="796"/>
      <c r="K8" s="796"/>
      <c r="L8" s="796"/>
      <c r="M8" s="796"/>
      <c r="N8" s="796"/>
      <c r="O8" s="796"/>
      <c r="P8" s="796"/>
      <c r="Q8" s="796"/>
      <c r="R8" s="796"/>
    </row>
    <row r="9" spans="1:29" ht="24">
      <c r="A9" s="2438"/>
      <c r="B9" s="323" t="s">
        <v>2266</v>
      </c>
      <c r="C9" s="2464" t="s">
        <v>2267</v>
      </c>
      <c r="D9" s="2461"/>
      <c r="E9" s="2467"/>
      <c r="F9" s="2471"/>
      <c r="G9" s="2471"/>
      <c r="H9" s="796"/>
      <c r="I9" s="796"/>
      <c r="J9" s="796"/>
      <c r="K9" s="796"/>
      <c r="L9" s="796"/>
      <c r="M9" s="796"/>
      <c r="N9" s="796"/>
      <c r="O9" s="796"/>
      <c r="P9" s="796"/>
      <c r="Q9" s="796"/>
      <c r="R9" s="796"/>
    </row>
    <row r="10" spans="1:29" s="2477" customFormat="1" ht="15" thickBot="1">
      <c r="A10" s="2439"/>
      <c r="B10" s="2472" t="s">
        <v>2268</v>
      </c>
      <c r="C10" s="2473"/>
      <c r="D10" s="2461"/>
      <c r="E10" s="2461"/>
      <c r="F10" s="2471"/>
      <c r="G10" s="2471"/>
      <c r="H10" s="2474"/>
      <c r="I10" s="2475"/>
      <c r="J10" s="2476"/>
      <c r="K10" s="2474"/>
      <c r="L10" s="2475"/>
      <c r="M10" s="2476"/>
      <c r="N10" s="2474"/>
      <c r="O10" s="2475"/>
      <c r="P10" s="2476"/>
      <c r="Q10" s="2474"/>
      <c r="R10" s="2475"/>
      <c r="S10" s="796"/>
      <c r="T10" s="796"/>
      <c r="U10" s="796"/>
      <c r="V10" s="796"/>
      <c r="W10" s="796"/>
      <c r="X10" s="796"/>
      <c r="Y10" s="796"/>
      <c r="Z10" s="796"/>
      <c r="AA10" s="796"/>
      <c r="AB10" s="796"/>
      <c r="AC10" s="796"/>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6"/>
      <c r="T11" s="796"/>
      <c r="U11" s="796"/>
      <c r="V11" s="796"/>
      <c r="W11" s="796"/>
      <c r="X11" s="796"/>
      <c r="Y11" s="796"/>
      <c r="Z11" s="796"/>
      <c r="AA11" s="796"/>
      <c r="AB11" s="796"/>
      <c r="AC11" s="796"/>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2286</v>
      </c>
      <c r="B13" s="2480"/>
      <c r="C13" s="2480"/>
      <c r="D13" s="2478"/>
      <c r="E13" s="2480"/>
      <c r="F13" s="2480"/>
      <c r="G13" s="2480"/>
    </row>
    <row r="14" spans="1:29" ht="15" thickBot="1">
      <c r="A14" s="2490"/>
      <c r="B14" s="2490"/>
      <c r="C14" s="2491" t="s">
        <v>2269</v>
      </c>
      <c r="D14" s="2461"/>
      <c r="E14" s="2492"/>
      <c r="F14" s="2492"/>
      <c r="G14" s="2456" t="s">
        <v>2270</v>
      </c>
    </row>
    <row r="15" spans="1:29" ht="51">
      <c r="A15" s="2440" t="s">
        <v>2271</v>
      </c>
      <c r="B15" s="2493" t="s">
        <v>2251</v>
      </c>
      <c r="C15" s="2494" t="str">
        <f>C3</f>
        <v>估价对象周边居住用地比例、居住小区规模和社区发展完善程度，综合评价居住社区成熟度一般</v>
      </c>
      <c r="D15" s="2461"/>
      <c r="E15" s="2441" t="s">
        <v>2272</v>
      </c>
      <c r="F15" s="2493" t="s">
        <v>2273</v>
      </c>
      <c r="G15" s="2495" t="str">
        <f>G3</f>
        <v>估价对象位于XX开发区，园区建设成熟度XX，产业集聚程度XX</v>
      </c>
    </row>
    <row r="16" spans="1:29" ht="38.25">
      <c r="A16" s="2442"/>
      <c r="B16" s="2496" t="s">
        <v>2253</v>
      </c>
      <c r="C16" s="2497" t="str">
        <f>C4</f>
        <v>估价对象位于XX商圈，周边商业氛围成熟，人流量大，商业繁华度好</v>
      </c>
      <c r="D16" s="2461"/>
      <c r="E16" s="2443"/>
      <c r="F16" s="2498" t="s">
        <v>2255</v>
      </c>
      <c r="G16" s="2499" t="str">
        <f>G4</f>
        <v>估价对象周边道路状况、公共交通通达情况、停车便捷程度，综合评价交通便捷度较好</v>
      </c>
    </row>
    <row r="17" spans="1:18" ht="38.25">
      <c r="A17" s="2442"/>
      <c r="B17" s="2496" t="s">
        <v>2257</v>
      </c>
      <c r="C17" s="2497" t="str">
        <f>C5</f>
        <v>估价对象位于XX商圈，周边办公楼项目较多，入驻率高，办公集聚程度较好</v>
      </c>
      <c r="D17" s="2467"/>
      <c r="E17" s="2443"/>
      <c r="F17" s="2498" t="s">
        <v>2274</v>
      </c>
      <c r="G17" s="2500"/>
    </row>
    <row r="18" spans="1:18" ht="38.25">
      <c r="A18" s="2442"/>
      <c r="B18" s="2498" t="s">
        <v>2261</v>
      </c>
      <c r="C18" s="2499" t="str">
        <f>C6</f>
        <v>估价对象周边道路状况、公共交通通达情况、停车便捷程度，综合评价交通便捷度较好</v>
      </c>
      <c r="D18" s="2467"/>
      <c r="E18" s="2443"/>
      <c r="F18" s="2498" t="s">
        <v>2264</v>
      </c>
      <c r="G18" s="2499" t="str">
        <f>G7</f>
        <v>该园区内是否有污染型企业，绿化情况，卫生条件，整体环境状况判断</v>
      </c>
    </row>
    <row r="19" spans="1:18" ht="25.5">
      <c r="A19" s="2442"/>
      <c r="B19" s="2498" t="s">
        <v>2275</v>
      </c>
      <c r="C19" s="2500"/>
      <c r="D19" s="2461"/>
      <c r="E19" s="2443"/>
      <c r="F19" s="323" t="s">
        <v>2259</v>
      </c>
      <c r="G19" s="2499" t="str">
        <f>G5</f>
        <v>估价对象所在区域公共配套设施齐备情况</v>
      </c>
    </row>
    <row r="20" spans="1:18" ht="25.5">
      <c r="A20" s="2442"/>
      <c r="B20" s="2498" t="s">
        <v>2276</v>
      </c>
      <c r="C20" s="2497" t="str">
        <f>C9</f>
        <v>区域自然环境：；人文环境；综合评价环境状况一般</v>
      </c>
      <c r="D20" s="2467"/>
      <c r="E20" s="2443"/>
      <c r="F20" s="323" t="s">
        <v>2262</v>
      </c>
      <c r="G20" s="2499" t="str">
        <f>G6</f>
        <v>估价对象所在区域基础设施水平</v>
      </c>
    </row>
    <row r="21" spans="1:18" ht="25.5">
      <c r="A21" s="2442"/>
      <c r="B21" s="323" t="s">
        <v>2259</v>
      </c>
      <c r="C21" s="2499" t="str">
        <f>C7</f>
        <v>估价对象所在区域公共配套设施齐备情况</v>
      </c>
      <c r="D21" s="2461"/>
      <c r="E21" s="2443"/>
      <c r="F21" s="2498" t="s">
        <v>2277</v>
      </c>
      <c r="G21" s="2501"/>
    </row>
    <row r="22" spans="1:18" ht="13.5" customHeight="1">
      <c r="A22" s="2442"/>
      <c r="B22" s="323" t="s">
        <v>2262</v>
      </c>
      <c r="C22" s="2499" t="str">
        <f>C8</f>
        <v>估价对象所在区域基础设施水平</v>
      </c>
      <c r="D22" s="2461"/>
      <c r="E22" s="2443"/>
      <c r="F22" s="2498" t="s">
        <v>2268</v>
      </c>
      <c r="G22" s="2500"/>
    </row>
    <row r="23" spans="1:18" s="796" customFormat="1" ht="15" thickBot="1">
      <c r="A23" s="2442"/>
      <c r="B23" s="2498" t="s">
        <v>2277</v>
      </c>
      <c r="C23" s="2501"/>
      <c r="D23" s="1737"/>
      <c r="E23" s="2444"/>
      <c r="F23" s="2502" t="s">
        <v>2278</v>
      </c>
      <c r="G23" s="2503"/>
      <c r="H23" s="2487"/>
      <c r="I23" s="2488"/>
      <c r="J23" s="2487"/>
      <c r="K23" s="2487"/>
      <c r="L23" s="2488"/>
      <c r="M23" s="2487"/>
      <c r="N23" s="2487"/>
      <c r="O23" s="2488"/>
      <c r="P23" s="2487"/>
      <c r="Q23" s="2487"/>
      <c r="R23" s="2489"/>
    </row>
    <row r="24" spans="1:18" s="796" customFormat="1" ht="15" thickBot="1">
      <c r="A24" s="2445"/>
      <c r="B24" s="2502" t="s">
        <v>2279</v>
      </c>
      <c r="C24" s="2504">
        <f>C10</f>
        <v>0</v>
      </c>
      <c r="D24" s="1737"/>
      <c r="E24" s="2435"/>
      <c r="F24" s="2435"/>
      <c r="G24" s="2505"/>
      <c r="H24" s="2487"/>
      <c r="I24" s="2488"/>
      <c r="J24" s="2487"/>
      <c r="K24" s="2487"/>
      <c r="L24" s="2488"/>
      <c r="M24" s="2487"/>
      <c r="N24" s="2487"/>
      <c r="O24" s="2488"/>
      <c r="P24" s="2487"/>
      <c r="Q24" s="2487"/>
      <c r="R24" s="2489"/>
    </row>
    <row r="25" spans="1:18" s="796" customFormat="1">
      <c r="B25" s="2487"/>
      <c r="C25" s="2487"/>
      <c r="D25" s="2487"/>
      <c r="H25" s="2487"/>
      <c r="I25" s="2488"/>
      <c r="J25" s="2487"/>
      <c r="K25" s="2487"/>
      <c r="L25" s="2488"/>
      <c r="M25" s="2487"/>
      <c r="N25" s="2487"/>
      <c r="O25" s="2488"/>
      <c r="P25" s="2487"/>
      <c r="Q25" s="2487"/>
      <c r="R25" s="2489"/>
    </row>
    <row r="26" spans="1:18" s="796" customFormat="1">
      <c r="B26" s="2487"/>
      <c r="C26" s="2487"/>
      <c r="D26" s="2487"/>
      <c r="H26" s="2487"/>
      <c r="I26" s="2488"/>
      <c r="J26" s="2487"/>
      <c r="K26" s="2487"/>
      <c r="L26" s="2488"/>
      <c r="M26" s="2487"/>
      <c r="N26" s="2487"/>
      <c r="O26" s="2488"/>
      <c r="P26" s="2487"/>
      <c r="Q26" s="2487"/>
      <c r="R26" s="2489"/>
    </row>
    <row r="27" spans="1:18" s="796" customFormat="1">
      <c r="B27" s="2487"/>
      <c r="C27" s="2487"/>
      <c r="D27" s="2487"/>
      <c r="H27" s="2487"/>
      <c r="I27" s="2488"/>
      <c r="J27" s="2487"/>
      <c r="K27" s="2487"/>
      <c r="L27" s="2488"/>
      <c r="M27" s="2487"/>
      <c r="N27" s="2487"/>
      <c r="O27" s="2488"/>
      <c r="P27" s="2487"/>
      <c r="Q27" s="2487"/>
      <c r="R27" s="2489"/>
    </row>
    <row r="28" spans="1:18" s="796" customFormat="1">
      <c r="B28" s="2487"/>
      <c r="C28" s="2487"/>
      <c r="D28" s="2487"/>
      <c r="H28" s="2487"/>
      <c r="I28" s="2488"/>
      <c r="J28" s="2487"/>
      <c r="K28" s="2487"/>
      <c r="L28" s="2488"/>
      <c r="M28" s="2487"/>
      <c r="N28" s="2487"/>
      <c r="O28" s="2488"/>
      <c r="P28" s="2487"/>
      <c r="Q28" s="2487"/>
      <c r="R28" s="2489"/>
    </row>
    <row r="29" spans="1:18" s="796" customFormat="1">
      <c r="B29" s="2487"/>
      <c r="C29" s="2487"/>
      <c r="D29" s="2487"/>
      <c r="H29" s="2487"/>
      <c r="I29" s="2488"/>
      <c r="J29" s="2487"/>
      <c r="K29" s="2487"/>
      <c r="L29" s="2488"/>
      <c r="M29" s="2487"/>
      <c r="N29" s="2487"/>
      <c r="O29" s="2488"/>
      <c r="P29" s="2487"/>
      <c r="Q29" s="2487"/>
      <c r="R29" s="2489"/>
    </row>
    <row r="30" spans="1:18" s="796" customFormat="1">
      <c r="B30" s="2487"/>
      <c r="C30" s="2487"/>
      <c r="D30" s="2487"/>
      <c r="H30" s="2487"/>
      <c r="I30" s="2488"/>
      <c r="J30" s="2487"/>
      <c r="K30" s="2487"/>
      <c r="L30" s="2488"/>
      <c r="M30" s="2487"/>
      <c r="N30" s="2487"/>
      <c r="O30" s="2488"/>
      <c r="P30" s="2487"/>
      <c r="Q30" s="2487"/>
      <c r="R30" s="2489"/>
    </row>
    <row r="31" spans="1:18" s="796" customFormat="1">
      <c r="B31" s="2487"/>
      <c r="C31" s="2487"/>
      <c r="D31" s="2487"/>
      <c r="H31" s="2487"/>
      <c r="I31" s="2488"/>
      <c r="J31" s="2487"/>
      <c r="K31" s="2487"/>
      <c r="L31" s="2488"/>
      <c r="M31" s="2487"/>
      <c r="N31" s="2487"/>
      <c r="O31" s="2488"/>
      <c r="P31" s="2487"/>
      <c r="Q31" s="2487"/>
      <c r="R31" s="2489"/>
    </row>
    <row r="32" spans="1:18" s="796" customFormat="1">
      <c r="B32" s="2487"/>
      <c r="C32" s="2487"/>
      <c r="D32" s="2487"/>
      <c r="H32" s="2487"/>
      <c r="I32" s="2488"/>
      <c r="J32" s="2487"/>
      <c r="K32" s="2487"/>
      <c r="L32" s="2488"/>
      <c r="M32" s="2487"/>
      <c r="N32" s="2487"/>
      <c r="O32" s="2488"/>
      <c r="P32" s="2487"/>
      <c r="Q32" s="2487"/>
      <c r="R32" s="2489"/>
    </row>
    <row r="33" spans="2:18" s="796" customFormat="1">
      <c r="B33" s="2487"/>
      <c r="C33" s="2487"/>
      <c r="D33" s="2487"/>
      <c r="H33" s="2487"/>
      <c r="I33" s="2488"/>
      <c r="J33" s="2487"/>
      <c r="K33" s="2487"/>
      <c r="L33" s="2488"/>
      <c r="M33" s="2487"/>
      <c r="N33" s="2487"/>
      <c r="O33" s="2488"/>
      <c r="P33" s="2487"/>
      <c r="Q33" s="2487"/>
      <c r="R33" s="2489"/>
    </row>
    <row r="34" spans="2:18" s="796" customFormat="1">
      <c r="B34" s="2487"/>
      <c r="C34" s="2487"/>
      <c r="D34" s="2487"/>
      <c r="H34" s="2487"/>
      <c r="I34" s="2488"/>
      <c r="J34" s="2487"/>
      <c r="K34" s="2487"/>
      <c r="L34" s="2488"/>
      <c r="M34" s="2487"/>
      <c r="N34" s="2487"/>
      <c r="O34" s="2488"/>
      <c r="P34" s="2487"/>
      <c r="Q34" s="2487"/>
      <c r="R34" s="2489"/>
    </row>
    <row r="35" spans="2:18" s="796" customFormat="1">
      <c r="B35" s="2487"/>
      <c r="C35" s="2487"/>
      <c r="D35" s="2487"/>
      <c r="H35" s="2487"/>
      <c r="I35" s="2488"/>
      <c r="J35" s="2487"/>
      <c r="K35" s="2487"/>
      <c r="L35" s="2488"/>
      <c r="M35" s="2487"/>
      <c r="N35" s="2487"/>
      <c r="O35" s="2488"/>
      <c r="P35" s="2487"/>
      <c r="Q35" s="2487"/>
      <c r="R35" s="2489"/>
    </row>
    <row r="36" spans="2:18" s="796" customFormat="1">
      <c r="B36" s="2487"/>
      <c r="C36" s="2487"/>
      <c r="D36" s="2487"/>
      <c r="H36" s="2487"/>
      <c r="I36" s="2488"/>
      <c r="J36" s="2487"/>
      <c r="K36" s="2487"/>
      <c r="L36" s="2488"/>
      <c r="M36" s="2487"/>
      <c r="N36" s="2487"/>
      <c r="O36" s="2488"/>
      <c r="P36" s="2487"/>
      <c r="Q36" s="2487"/>
      <c r="R36" s="2489"/>
    </row>
    <row r="37" spans="2:18" s="796" customFormat="1">
      <c r="B37" s="2487"/>
      <c r="C37" s="2487"/>
      <c r="D37" s="2487"/>
      <c r="H37" s="2487"/>
      <c r="I37" s="2488"/>
      <c r="J37" s="2487"/>
      <c r="K37" s="2487"/>
      <c r="L37" s="2488"/>
      <c r="M37" s="2487"/>
      <c r="N37" s="2487"/>
      <c r="O37" s="2488"/>
      <c r="P37" s="2487"/>
      <c r="Q37" s="2487"/>
      <c r="R37" s="2489"/>
    </row>
    <row r="38" spans="2:18" s="796" customFormat="1">
      <c r="B38" s="2487"/>
      <c r="C38" s="2487"/>
      <c r="D38" s="2487"/>
      <c r="E38" s="2487"/>
      <c r="F38" s="2487"/>
      <c r="G38" s="2488"/>
      <c r="H38" s="2487"/>
      <c r="I38" s="2488"/>
      <c r="J38" s="2487"/>
      <c r="K38" s="2487"/>
      <c r="L38" s="2488"/>
      <c r="M38" s="2487"/>
      <c r="N38" s="2487"/>
      <c r="O38" s="2488"/>
      <c r="P38" s="2487"/>
      <c r="Q38" s="2487"/>
      <c r="R38" s="2489"/>
    </row>
    <row r="39" spans="2:18" s="796" customFormat="1">
      <c r="B39" s="2487"/>
      <c r="C39" s="2487"/>
      <c r="D39" s="2487"/>
      <c r="E39" s="2487"/>
      <c r="F39" s="2487"/>
      <c r="G39" s="2488"/>
      <c r="H39" s="2487"/>
      <c r="I39" s="2488"/>
      <c r="J39" s="2487"/>
      <c r="K39" s="2487"/>
      <c r="L39" s="2488"/>
      <c r="M39" s="2487"/>
      <c r="N39" s="2487"/>
      <c r="O39" s="2488"/>
      <c r="P39" s="2487"/>
      <c r="Q39" s="2487"/>
      <c r="R39" s="2489"/>
    </row>
    <row r="40" spans="2:18" s="796" customFormat="1">
      <c r="B40" s="2487"/>
      <c r="C40" s="2487"/>
      <c r="D40" s="2487"/>
      <c r="E40" s="2487"/>
      <c r="F40" s="2487"/>
      <c r="G40" s="2488"/>
      <c r="H40" s="2487"/>
      <c r="I40" s="2488"/>
      <c r="J40" s="2487"/>
      <c r="K40" s="2487"/>
      <c r="L40" s="2488"/>
      <c r="M40" s="2487"/>
      <c r="N40" s="2487"/>
      <c r="O40" s="2488"/>
      <c r="P40" s="2487"/>
      <c r="Q40" s="2487"/>
      <c r="R40" s="2489"/>
    </row>
    <row r="41" spans="2:18" s="796" customFormat="1">
      <c r="B41" s="2487"/>
      <c r="C41" s="2487"/>
      <c r="D41" s="2487"/>
      <c r="E41" s="2487"/>
      <c r="F41" s="2487"/>
      <c r="G41" s="2488"/>
      <c r="H41" s="2487"/>
      <c r="I41" s="2488"/>
      <c r="J41" s="2487"/>
      <c r="K41" s="2487"/>
      <c r="L41" s="2488"/>
      <c r="M41" s="2487"/>
      <c r="N41" s="2487"/>
      <c r="O41" s="2488"/>
      <c r="P41" s="2487"/>
      <c r="Q41" s="2487"/>
      <c r="R41" s="2489"/>
    </row>
    <row r="42" spans="2:18" s="796" customFormat="1">
      <c r="B42" s="2487"/>
      <c r="C42" s="2487"/>
      <c r="D42" s="2487"/>
      <c r="E42" s="2487"/>
      <c r="F42" s="2487"/>
      <c r="G42" s="2488"/>
      <c r="H42" s="2487"/>
      <c r="I42" s="2488"/>
      <c r="J42" s="2487"/>
      <c r="K42" s="2487"/>
      <c r="L42" s="2488"/>
      <c r="M42" s="2487"/>
      <c r="N42" s="2487"/>
      <c r="O42" s="2488"/>
      <c r="P42" s="2487"/>
      <c r="Q42" s="2487"/>
      <c r="R42" s="2489"/>
    </row>
    <row r="43" spans="2:18" s="796" customFormat="1">
      <c r="B43" s="2487"/>
      <c r="C43" s="2487"/>
      <c r="D43" s="2487"/>
      <c r="E43" s="2487"/>
      <c r="F43" s="2487"/>
      <c r="G43" s="2488"/>
      <c r="H43" s="2487"/>
      <c r="I43" s="2488"/>
      <c r="J43" s="2487"/>
      <c r="K43" s="2487"/>
      <c r="L43" s="2488"/>
      <c r="M43" s="2487"/>
      <c r="N43" s="2487"/>
      <c r="O43" s="2488"/>
      <c r="P43" s="2487"/>
      <c r="Q43" s="2487"/>
      <c r="R43" s="2489"/>
    </row>
    <row r="44" spans="2:18" s="796" customFormat="1">
      <c r="B44" s="2487"/>
      <c r="C44" s="2487"/>
      <c r="D44" s="2487"/>
      <c r="E44" s="2487"/>
      <c r="F44" s="2487"/>
      <c r="G44" s="2488"/>
      <c r="H44" s="2487"/>
      <c r="I44" s="2488"/>
      <c r="J44" s="2487"/>
      <c r="K44" s="2487"/>
      <c r="L44" s="2488"/>
      <c r="M44" s="2487"/>
      <c r="N44" s="2487"/>
      <c r="O44" s="2488"/>
      <c r="P44" s="2487"/>
      <c r="Q44" s="2487"/>
      <c r="R44" s="2489"/>
    </row>
    <row r="45" spans="2:18" s="796" customFormat="1">
      <c r="B45" s="2487"/>
      <c r="C45" s="2487"/>
      <c r="D45" s="2487"/>
      <c r="E45" s="2487"/>
      <c r="F45" s="2487"/>
      <c r="G45" s="2488"/>
      <c r="H45" s="2487"/>
      <c r="I45" s="2488"/>
      <c r="J45" s="2487"/>
      <c r="K45" s="2487"/>
      <c r="L45" s="2488"/>
      <c r="M45" s="2487"/>
      <c r="N45" s="2487"/>
      <c r="O45" s="2488"/>
      <c r="P45" s="2487"/>
      <c r="Q45" s="2487"/>
      <c r="R45" s="2489"/>
    </row>
    <row r="46" spans="2:18" s="796" customFormat="1">
      <c r="B46" s="2487"/>
      <c r="C46" s="2487"/>
      <c r="D46" s="2487"/>
      <c r="E46" s="2487"/>
      <c r="F46" s="2487"/>
      <c r="G46" s="2488"/>
      <c r="H46" s="2487"/>
      <c r="I46" s="2488"/>
      <c r="J46" s="2487"/>
      <c r="K46" s="2487"/>
      <c r="L46" s="2488"/>
      <c r="M46" s="2487"/>
      <c r="N46" s="2487"/>
      <c r="O46" s="2488"/>
      <c r="P46" s="2487"/>
      <c r="Q46" s="2487"/>
      <c r="R46" s="2489"/>
    </row>
    <row r="47" spans="2:18" s="796" customFormat="1">
      <c r="B47" s="2487"/>
      <c r="C47" s="2487"/>
      <c r="D47" s="2487"/>
      <c r="E47" s="2487"/>
      <c r="F47" s="2487"/>
      <c r="G47" s="2488"/>
      <c r="H47" s="2487"/>
      <c r="I47" s="2488"/>
      <c r="J47" s="2487"/>
      <c r="K47" s="2487"/>
      <c r="L47" s="2488"/>
      <c r="M47" s="2487"/>
      <c r="N47" s="2487"/>
      <c r="O47" s="2488"/>
      <c r="P47" s="2487"/>
      <c r="Q47" s="2487"/>
      <c r="R47" s="2489"/>
    </row>
    <row r="48" spans="2:18" s="796" customFormat="1">
      <c r="B48" s="2487"/>
      <c r="C48" s="2487"/>
      <c r="D48" s="2487"/>
      <c r="E48" s="2487"/>
      <c r="F48" s="2487"/>
      <c r="G48" s="2488"/>
      <c r="H48" s="2487"/>
      <c r="I48" s="2488"/>
      <c r="J48" s="2487"/>
      <c r="K48" s="2487"/>
      <c r="L48" s="2488"/>
      <c r="M48" s="2487"/>
      <c r="N48" s="2487"/>
      <c r="O48" s="2488"/>
      <c r="P48" s="2487"/>
      <c r="Q48" s="2487"/>
      <c r="R48" s="2489"/>
    </row>
    <row r="49" spans="2:18" s="796" customFormat="1">
      <c r="B49" s="2487"/>
      <c r="C49" s="2487"/>
      <c r="D49" s="2487"/>
      <c r="E49" s="2487"/>
      <c r="F49" s="2487"/>
      <c r="G49" s="2488"/>
      <c r="H49" s="2487"/>
      <c r="I49" s="2488"/>
      <c r="J49" s="2487"/>
      <c r="K49" s="2487"/>
      <c r="L49" s="2488"/>
      <c r="M49" s="2487"/>
      <c r="N49" s="2487"/>
      <c r="O49" s="2488"/>
      <c r="P49" s="2487"/>
      <c r="Q49" s="2487"/>
      <c r="R49" s="2489"/>
    </row>
    <row r="50" spans="2:18" s="796" customFormat="1">
      <c r="B50" s="2487"/>
      <c r="C50" s="2487"/>
      <c r="D50" s="2487"/>
      <c r="E50" s="2487"/>
      <c r="F50" s="2487"/>
      <c r="G50" s="2488"/>
      <c r="H50" s="2487"/>
      <c r="I50" s="2488"/>
      <c r="J50" s="2487"/>
      <c r="K50" s="2487"/>
      <c r="L50" s="2488"/>
      <c r="M50" s="2487"/>
      <c r="N50" s="2487"/>
      <c r="O50" s="2488"/>
      <c r="P50" s="2487"/>
      <c r="Q50" s="2487"/>
      <c r="R50" s="2489"/>
    </row>
    <row r="51" spans="2:18" s="796" customFormat="1">
      <c r="B51" s="2487"/>
      <c r="C51" s="2487"/>
      <c r="D51" s="2487"/>
      <c r="E51" s="2487"/>
      <c r="F51" s="2487"/>
      <c r="G51" s="2488"/>
      <c r="H51" s="2487"/>
      <c r="I51" s="2488"/>
      <c r="J51" s="2487"/>
      <c r="K51" s="2487"/>
      <c r="L51" s="2488"/>
      <c r="M51" s="2487"/>
      <c r="N51" s="2487"/>
      <c r="O51" s="2488"/>
      <c r="P51" s="2487"/>
      <c r="Q51" s="2487"/>
      <c r="R51" s="2489"/>
    </row>
    <row r="52" spans="2:18" s="796" customFormat="1">
      <c r="B52" s="2487"/>
      <c r="C52" s="2487"/>
      <c r="D52" s="2487"/>
      <c r="E52" s="2487"/>
      <c r="F52" s="2487"/>
      <c r="G52" s="2488"/>
      <c r="H52" s="2487"/>
      <c r="I52" s="2488"/>
      <c r="J52" s="2487"/>
      <c r="K52" s="2487"/>
      <c r="L52" s="2488"/>
      <c r="M52" s="2487"/>
      <c r="N52" s="2487"/>
      <c r="O52" s="2488"/>
      <c r="P52" s="2487"/>
      <c r="Q52" s="2487"/>
      <c r="R52" s="2489"/>
    </row>
    <row r="53" spans="2:18" s="796" customFormat="1">
      <c r="B53" s="2487"/>
      <c r="C53" s="2487"/>
      <c r="D53" s="2487"/>
      <c r="E53" s="2487"/>
      <c r="F53" s="2487"/>
      <c r="G53" s="2488"/>
      <c r="H53" s="2487"/>
      <c r="I53" s="2488"/>
      <c r="J53" s="2487"/>
      <c r="K53" s="2487"/>
      <c r="L53" s="2488"/>
      <c r="M53" s="2487"/>
      <c r="N53" s="2487"/>
      <c r="O53" s="2488"/>
      <c r="P53" s="2487"/>
      <c r="Q53" s="2487"/>
      <c r="R53" s="2489"/>
    </row>
    <row r="54" spans="2:18" s="796" customFormat="1">
      <c r="B54" s="2487"/>
      <c r="C54" s="2487"/>
      <c r="D54" s="2487"/>
      <c r="E54" s="2487"/>
      <c r="F54" s="2487"/>
      <c r="G54" s="2488"/>
      <c r="H54" s="2487"/>
      <c r="I54" s="2488"/>
      <c r="J54" s="2487"/>
      <c r="K54" s="2487"/>
      <c r="L54" s="2488"/>
      <c r="M54" s="2487"/>
      <c r="N54" s="2487"/>
      <c r="O54" s="2488"/>
      <c r="P54" s="2487"/>
      <c r="Q54" s="2487"/>
      <c r="R54" s="2489"/>
    </row>
    <row r="55" spans="2:18" s="796" customFormat="1">
      <c r="B55" s="2487"/>
      <c r="C55" s="2487"/>
      <c r="D55" s="2487"/>
      <c r="E55" s="2487"/>
      <c r="F55" s="2487"/>
      <c r="G55" s="2488"/>
      <c r="H55" s="2487"/>
      <c r="I55" s="2488"/>
      <c r="J55" s="2487"/>
      <c r="K55" s="2487"/>
      <c r="L55" s="2488"/>
      <c r="M55" s="2487"/>
      <c r="N55" s="2487"/>
      <c r="O55" s="2488"/>
      <c r="P55" s="2487"/>
      <c r="Q55" s="2487"/>
      <c r="R55" s="2489"/>
    </row>
    <row r="56" spans="2:18" s="796" customFormat="1">
      <c r="B56" s="2487"/>
      <c r="C56" s="2487"/>
      <c r="D56" s="2487"/>
      <c r="E56" s="2487"/>
      <c r="F56" s="2487"/>
      <c r="G56" s="2488"/>
      <c r="H56" s="2487"/>
      <c r="I56" s="2488"/>
      <c r="J56" s="2487"/>
      <c r="K56" s="2487"/>
      <c r="L56" s="2488"/>
      <c r="M56" s="2487"/>
      <c r="N56" s="2487"/>
      <c r="O56" s="2488"/>
      <c r="P56" s="2487"/>
      <c r="Q56" s="2487"/>
      <c r="R56" s="2489"/>
    </row>
    <row r="57" spans="2:18" s="796" customFormat="1">
      <c r="B57" s="2487"/>
      <c r="C57" s="2487"/>
      <c r="D57" s="2487"/>
      <c r="E57" s="2487"/>
      <c r="F57" s="2487"/>
      <c r="G57" s="2488"/>
      <c r="H57" s="2487"/>
      <c r="I57" s="2488"/>
      <c r="J57" s="2487"/>
      <c r="K57" s="2487"/>
      <c r="L57" s="2488"/>
      <c r="M57" s="2487"/>
      <c r="N57" s="2487"/>
      <c r="O57" s="2488"/>
      <c r="P57" s="2487"/>
      <c r="Q57" s="2487"/>
      <c r="R57" s="2489"/>
    </row>
    <row r="58" spans="2:18" s="796" customFormat="1">
      <c r="B58" s="2487"/>
      <c r="C58" s="2487"/>
      <c r="D58" s="2487"/>
      <c r="E58" s="2487"/>
      <c r="F58" s="2487"/>
      <c r="G58" s="2488"/>
      <c r="H58" s="2487"/>
      <c r="I58" s="2488"/>
      <c r="J58" s="2487"/>
      <c r="K58" s="2487"/>
      <c r="L58" s="2488"/>
      <c r="M58" s="2487"/>
      <c r="N58" s="2487"/>
      <c r="O58" s="2488"/>
      <c r="P58" s="2487"/>
      <c r="Q58" s="2487"/>
      <c r="R58" s="2489"/>
    </row>
    <row r="59" spans="2:18" s="796" customFormat="1">
      <c r="B59" s="2487"/>
      <c r="C59" s="2487"/>
      <c r="D59" s="2487"/>
      <c r="E59" s="2487"/>
      <c r="F59" s="2487"/>
      <c r="G59" s="2488"/>
      <c r="H59" s="2487"/>
      <c r="I59" s="2488"/>
      <c r="J59" s="2487"/>
      <c r="K59" s="2487"/>
      <c r="L59" s="2488"/>
      <c r="M59" s="2487"/>
      <c r="N59" s="2487"/>
      <c r="O59" s="2488"/>
      <c r="P59" s="2487"/>
      <c r="Q59" s="2487"/>
      <c r="R59" s="2489"/>
    </row>
    <row r="60" spans="2:18" s="796" customFormat="1">
      <c r="B60" s="2487"/>
      <c r="C60" s="2487"/>
      <c r="D60" s="2487"/>
      <c r="E60" s="2487"/>
      <c r="F60" s="2487"/>
      <c r="G60" s="2488"/>
      <c r="H60" s="2487"/>
      <c r="I60" s="2488"/>
      <c r="J60" s="2487"/>
      <c r="K60" s="2487"/>
      <c r="L60" s="2488"/>
      <c r="M60" s="2487"/>
      <c r="N60" s="2487"/>
      <c r="O60" s="2488"/>
      <c r="P60" s="2487"/>
      <c r="Q60" s="2487"/>
      <c r="R60" s="2489"/>
    </row>
    <row r="61" spans="2:18" s="796" customFormat="1">
      <c r="B61" s="2487"/>
      <c r="C61" s="2487"/>
      <c r="D61" s="2487"/>
      <c r="E61" s="2487"/>
      <c r="F61" s="2487"/>
      <c r="G61" s="2488"/>
      <c r="H61" s="2487"/>
      <c r="I61" s="2488"/>
      <c r="J61" s="2487"/>
      <c r="K61" s="2487"/>
      <c r="L61" s="2488"/>
      <c r="M61" s="2487"/>
      <c r="N61" s="2487"/>
      <c r="O61" s="2488"/>
      <c r="P61" s="2487"/>
      <c r="Q61" s="2487"/>
      <c r="R61" s="2489"/>
    </row>
    <row r="62" spans="2:18" s="796" customFormat="1">
      <c r="B62" s="2487"/>
      <c r="C62" s="2487"/>
      <c r="D62" s="2487"/>
      <c r="E62" s="2487"/>
      <c r="F62" s="2487"/>
      <c r="G62" s="2488"/>
      <c r="H62" s="2487"/>
      <c r="I62" s="2488"/>
      <c r="J62" s="2487"/>
      <c r="K62" s="2487"/>
      <c r="L62" s="2488"/>
      <c r="M62" s="2487"/>
      <c r="N62" s="2487"/>
      <c r="O62" s="2488"/>
      <c r="P62" s="2487"/>
      <c r="Q62" s="2487"/>
      <c r="R62" s="2489"/>
    </row>
    <row r="63" spans="2:18" s="796" customFormat="1">
      <c r="B63" s="2487"/>
      <c r="C63" s="2487"/>
      <c r="D63" s="2487"/>
      <c r="E63" s="2487"/>
      <c r="F63" s="2487"/>
      <c r="G63" s="2488"/>
      <c r="H63" s="2487"/>
      <c r="I63" s="2488"/>
      <c r="J63" s="2487"/>
      <c r="K63" s="2487"/>
      <c r="L63" s="2488"/>
      <c r="M63" s="2487"/>
      <c r="N63" s="2487"/>
      <c r="O63" s="2488"/>
      <c r="P63" s="2487"/>
      <c r="Q63" s="2487"/>
      <c r="R63" s="2489"/>
    </row>
    <row r="64" spans="2:18" s="796" customFormat="1">
      <c r="B64" s="2487"/>
      <c r="C64" s="2487"/>
      <c r="D64" s="2487"/>
      <c r="E64" s="2487"/>
      <c r="F64" s="2487"/>
      <c r="G64" s="2488"/>
      <c r="H64" s="2487"/>
      <c r="I64" s="2488"/>
      <c r="J64" s="2487"/>
      <c r="K64" s="2487"/>
      <c r="L64" s="2488"/>
      <c r="M64" s="2487"/>
      <c r="N64" s="2487"/>
      <c r="O64" s="2488"/>
      <c r="P64" s="2487"/>
      <c r="Q64" s="2487"/>
      <c r="R64" s="2489"/>
    </row>
    <row r="65" spans="2:18" s="796" customFormat="1">
      <c r="B65" s="2487"/>
      <c r="C65" s="2487"/>
      <c r="D65" s="2487"/>
      <c r="E65" s="2487"/>
      <c r="F65" s="2487"/>
      <c r="G65" s="2488"/>
      <c r="H65" s="2487"/>
      <c r="I65" s="2488"/>
      <c r="J65" s="2487"/>
      <c r="K65" s="2487"/>
      <c r="L65" s="2488"/>
      <c r="M65" s="2487"/>
      <c r="N65" s="2487"/>
      <c r="O65" s="2488"/>
      <c r="P65" s="2487"/>
      <c r="Q65" s="2487"/>
      <c r="R65" s="2489"/>
    </row>
    <row r="66" spans="2:18" s="796" customFormat="1">
      <c r="B66" s="2487"/>
      <c r="C66" s="2487"/>
      <c r="D66" s="2487"/>
      <c r="E66" s="2487"/>
      <c r="F66" s="2487"/>
      <c r="G66" s="2488"/>
      <c r="H66" s="2487"/>
      <c r="I66" s="2488"/>
      <c r="J66" s="2487"/>
      <c r="K66" s="2487"/>
      <c r="L66" s="2488"/>
      <c r="M66" s="2487"/>
      <c r="N66" s="2487"/>
      <c r="O66" s="2488"/>
      <c r="P66" s="2487"/>
      <c r="Q66" s="2487"/>
      <c r="R66" s="2489"/>
    </row>
    <row r="67" spans="2:18" s="796" customFormat="1">
      <c r="B67" s="2487"/>
      <c r="C67" s="2487"/>
      <c r="D67" s="2487"/>
      <c r="E67" s="2487"/>
      <c r="F67" s="2487"/>
      <c r="G67" s="2488"/>
      <c r="H67" s="2487"/>
      <c r="I67" s="2488"/>
      <c r="J67" s="2487"/>
      <c r="K67" s="2487"/>
      <c r="L67" s="2488"/>
      <c r="M67" s="2487"/>
      <c r="N67" s="2487"/>
      <c r="O67" s="2488"/>
      <c r="P67" s="2487"/>
      <c r="Q67" s="2487"/>
      <c r="R67" s="2489"/>
    </row>
    <row r="68" spans="2:18" s="796" customFormat="1">
      <c r="B68" s="2487"/>
      <c r="C68" s="2487"/>
      <c r="D68" s="2487"/>
      <c r="E68" s="2487"/>
      <c r="F68" s="2487"/>
      <c r="G68" s="2488"/>
      <c r="H68" s="2487"/>
      <c r="I68" s="2488"/>
      <c r="J68" s="2487"/>
      <c r="K68" s="2487"/>
      <c r="L68" s="2488"/>
      <c r="M68" s="2487"/>
      <c r="N68" s="2487"/>
      <c r="O68" s="2488"/>
      <c r="P68" s="2487"/>
      <c r="Q68" s="2487"/>
      <c r="R68" s="2489"/>
    </row>
    <row r="69" spans="2:18" s="796" customFormat="1">
      <c r="B69" s="2487"/>
      <c r="C69" s="2487"/>
      <c r="D69" s="2487"/>
      <c r="E69" s="2487"/>
      <c r="F69" s="2487"/>
      <c r="G69" s="2488"/>
      <c r="H69" s="2487"/>
      <c r="I69" s="2488"/>
      <c r="J69" s="2487"/>
      <c r="K69" s="2487"/>
      <c r="L69" s="2488"/>
      <c r="M69" s="2487"/>
      <c r="N69" s="2487"/>
      <c r="O69" s="2488"/>
      <c r="P69" s="2487"/>
      <c r="Q69" s="2487"/>
      <c r="R69" s="2489"/>
    </row>
    <row r="70" spans="2:18" s="796" customFormat="1">
      <c r="B70" s="2487"/>
      <c r="C70" s="2487"/>
      <c r="D70" s="2487"/>
      <c r="E70" s="2487"/>
      <c r="F70" s="2487"/>
      <c r="G70" s="2488"/>
      <c r="H70" s="2487"/>
      <c r="I70" s="2488"/>
      <c r="J70" s="2487"/>
      <c r="K70" s="2487"/>
      <c r="L70" s="2488"/>
      <c r="M70" s="2487"/>
      <c r="N70" s="2487"/>
      <c r="O70" s="2488"/>
      <c r="P70" s="2487"/>
      <c r="Q70" s="2487"/>
      <c r="R70" s="2489"/>
    </row>
    <row r="71" spans="2:18" s="796" customFormat="1">
      <c r="B71" s="2487"/>
      <c r="C71" s="2487"/>
      <c r="D71" s="2487"/>
      <c r="E71" s="2487"/>
      <c r="F71" s="2487"/>
      <c r="G71" s="2488"/>
      <c r="H71" s="2487"/>
      <c r="I71" s="2488"/>
      <c r="J71" s="2487"/>
      <c r="K71" s="2487"/>
      <c r="L71" s="2488"/>
      <c r="M71" s="2487"/>
      <c r="N71" s="2487"/>
      <c r="O71" s="2488"/>
      <c r="P71" s="2487"/>
      <c r="Q71" s="2487"/>
      <c r="R71" s="2489"/>
    </row>
    <row r="72" spans="2:18" s="796" customFormat="1">
      <c r="B72" s="2487"/>
      <c r="C72" s="2487"/>
      <c r="D72" s="2487"/>
      <c r="E72" s="2487"/>
      <c r="F72" s="2487"/>
      <c r="G72" s="2488"/>
      <c r="H72" s="2487"/>
      <c r="I72" s="2488"/>
      <c r="J72" s="2487"/>
      <c r="K72" s="2487"/>
      <c r="L72" s="2488"/>
      <c r="M72" s="2487"/>
      <c r="N72" s="2487"/>
      <c r="O72" s="2488"/>
      <c r="P72" s="2487"/>
      <c r="Q72" s="2487"/>
      <c r="R72" s="2489"/>
    </row>
    <row r="73" spans="2:18" s="796" customFormat="1">
      <c r="B73" s="2487"/>
      <c r="C73" s="2487"/>
      <c r="D73" s="2487"/>
      <c r="E73" s="2487"/>
      <c r="F73" s="2487"/>
      <c r="G73" s="2488"/>
      <c r="H73" s="2487"/>
      <c r="I73" s="2488"/>
      <c r="J73" s="2487"/>
      <c r="K73" s="2487"/>
      <c r="L73" s="2488"/>
      <c r="M73" s="2487"/>
      <c r="N73" s="2487"/>
      <c r="O73" s="2488"/>
      <c r="P73" s="2487"/>
      <c r="Q73" s="2487"/>
      <c r="R73" s="2489"/>
    </row>
    <row r="74" spans="2:18" s="796" customFormat="1">
      <c r="B74" s="2487"/>
      <c r="C74" s="2487"/>
      <c r="D74" s="2487"/>
      <c r="E74" s="2487"/>
      <c r="F74" s="2487"/>
      <c r="G74" s="2488"/>
      <c r="H74" s="2487"/>
      <c r="I74" s="2488"/>
      <c r="J74" s="2487"/>
      <c r="K74" s="2487"/>
      <c r="L74" s="2488"/>
      <c r="M74" s="2487"/>
      <c r="N74" s="2487"/>
      <c r="O74" s="2488"/>
      <c r="P74" s="2487"/>
      <c r="Q74" s="2487"/>
      <c r="R74" s="2489"/>
    </row>
    <row r="75" spans="2:18" s="796" customFormat="1">
      <c r="B75" s="2487"/>
      <c r="C75" s="2487"/>
      <c r="D75" s="2487"/>
      <c r="E75" s="2487"/>
      <c r="F75" s="2487"/>
      <c r="G75" s="2488"/>
      <c r="H75" s="2487"/>
      <c r="I75" s="2488"/>
      <c r="J75" s="2487"/>
      <c r="K75" s="2487"/>
      <c r="L75" s="2488"/>
      <c r="M75" s="2487"/>
      <c r="N75" s="2487"/>
      <c r="O75" s="2488"/>
      <c r="P75" s="2487"/>
      <c r="Q75" s="2487"/>
      <c r="R75" s="2489"/>
    </row>
    <row r="76" spans="2:18" s="796" customFormat="1">
      <c r="B76" s="2487"/>
      <c r="C76" s="2487"/>
      <c r="D76" s="2487"/>
      <c r="E76" s="2487"/>
      <c r="F76" s="2487"/>
      <c r="G76" s="2488"/>
      <c r="H76" s="2487"/>
      <c r="I76" s="2488"/>
      <c r="J76" s="2487"/>
      <c r="K76" s="2487"/>
      <c r="L76" s="2488"/>
      <c r="M76" s="2487"/>
      <c r="N76" s="2487"/>
      <c r="O76" s="2488"/>
      <c r="P76" s="2487"/>
      <c r="Q76" s="2487"/>
      <c r="R76" s="2489"/>
    </row>
    <row r="77" spans="2:18" s="796" customFormat="1">
      <c r="B77" s="2487"/>
      <c r="C77" s="2487"/>
      <c r="D77" s="2487"/>
      <c r="E77" s="2487"/>
      <c r="F77" s="2487"/>
      <c r="G77" s="2488"/>
      <c r="H77" s="2487"/>
      <c r="I77" s="2488"/>
      <c r="J77" s="2487"/>
      <c r="K77" s="2487"/>
      <c r="L77" s="2488"/>
      <c r="M77" s="2487"/>
      <c r="N77" s="2487"/>
      <c r="O77" s="2488"/>
      <c r="P77" s="2487"/>
      <c r="Q77" s="2487"/>
      <c r="R77" s="2489"/>
    </row>
    <row r="78" spans="2:18" s="796" customFormat="1">
      <c r="B78" s="2487"/>
      <c r="C78" s="2487"/>
      <c r="D78" s="2487"/>
      <c r="E78" s="2487"/>
      <c r="F78" s="2487"/>
      <c r="G78" s="2488"/>
      <c r="H78" s="2487"/>
      <c r="I78" s="2488"/>
      <c r="J78" s="2487"/>
      <c r="K78" s="2487"/>
      <c r="L78" s="2488"/>
      <c r="M78" s="2487"/>
      <c r="N78" s="2487"/>
      <c r="O78" s="2488"/>
      <c r="P78" s="2487"/>
      <c r="Q78" s="2487"/>
      <c r="R78" s="2489"/>
    </row>
    <row r="79" spans="2:18" s="796" customFormat="1">
      <c r="B79" s="2487"/>
      <c r="C79" s="2487"/>
      <c r="D79" s="2487"/>
      <c r="E79" s="2487"/>
      <c r="F79" s="2487"/>
      <c r="G79" s="2488"/>
      <c r="H79" s="2487"/>
      <c r="I79" s="2488"/>
      <c r="J79" s="2487"/>
      <c r="K79" s="2487"/>
      <c r="L79" s="2488"/>
      <c r="M79" s="2487"/>
      <c r="N79" s="2487"/>
      <c r="O79" s="2488"/>
      <c r="P79" s="2487"/>
      <c r="Q79" s="2487"/>
      <c r="R79" s="2489"/>
    </row>
    <row r="80" spans="2:18" s="796" customFormat="1">
      <c r="B80" s="2487"/>
      <c r="C80" s="2487"/>
      <c r="D80" s="2487"/>
      <c r="E80" s="2487"/>
      <c r="F80" s="2487"/>
      <c r="G80" s="2488"/>
      <c r="H80" s="2487"/>
      <c r="I80" s="2488"/>
      <c r="J80" s="2487"/>
      <c r="K80" s="2487"/>
      <c r="L80" s="2488"/>
      <c r="M80" s="2487"/>
      <c r="N80" s="2487"/>
      <c r="O80" s="2488"/>
      <c r="P80" s="2487"/>
      <c r="Q80" s="2487"/>
      <c r="R80" s="2489"/>
    </row>
    <row r="81" spans="2:18" s="796" customFormat="1">
      <c r="B81" s="2487"/>
      <c r="C81" s="2487"/>
      <c r="D81" s="2487"/>
      <c r="E81" s="2487"/>
      <c r="F81" s="2487"/>
      <c r="G81" s="2488"/>
      <c r="H81" s="2487"/>
      <c r="I81" s="2488"/>
      <c r="J81" s="2487"/>
      <c r="K81" s="2487"/>
      <c r="L81" s="2488"/>
      <c r="M81" s="2487"/>
      <c r="N81" s="2487"/>
      <c r="O81" s="2488"/>
      <c r="P81" s="2487"/>
      <c r="Q81" s="2487"/>
      <c r="R81" s="2489"/>
    </row>
    <row r="82" spans="2:18" s="796" customFormat="1">
      <c r="B82" s="2487"/>
      <c r="C82" s="2487"/>
      <c r="D82" s="2487"/>
      <c r="E82" s="2487"/>
      <c r="F82" s="2487"/>
      <c r="G82" s="2488"/>
      <c r="H82" s="2487"/>
      <c r="I82" s="2488"/>
      <c r="J82" s="2487"/>
      <c r="K82" s="2487"/>
      <c r="L82" s="2488"/>
      <c r="M82" s="2487"/>
      <c r="N82" s="2487"/>
      <c r="O82" s="2488"/>
      <c r="P82" s="2487"/>
      <c r="Q82" s="2487"/>
      <c r="R82" s="2489"/>
    </row>
    <row r="83" spans="2:18" s="796" customFormat="1">
      <c r="B83" s="2487"/>
      <c r="C83" s="2487"/>
      <c r="D83" s="2487"/>
      <c r="E83" s="2487"/>
      <c r="F83" s="2487"/>
      <c r="G83" s="2488"/>
      <c r="H83" s="2487"/>
      <c r="I83" s="2488"/>
      <c r="J83" s="2487"/>
      <c r="K83" s="2487"/>
      <c r="L83" s="2488"/>
      <c r="M83" s="2487"/>
      <c r="N83" s="2487"/>
      <c r="O83" s="2488"/>
      <c r="P83" s="2487"/>
      <c r="Q83" s="2487"/>
      <c r="R83" s="2489"/>
    </row>
    <row r="84" spans="2:18" s="796" customFormat="1">
      <c r="B84" s="2487"/>
      <c r="C84" s="2487"/>
      <c r="D84" s="2487"/>
      <c r="E84" s="2487"/>
      <c r="F84" s="2487"/>
      <c r="G84" s="2488"/>
      <c r="H84" s="2487"/>
      <c r="I84" s="2488"/>
      <c r="J84" s="2487"/>
      <c r="K84" s="2487"/>
      <c r="L84" s="2488"/>
      <c r="M84" s="2487"/>
      <c r="N84" s="2487"/>
      <c r="O84" s="2488"/>
      <c r="P84" s="2487"/>
      <c r="Q84" s="2487"/>
      <c r="R84" s="2489"/>
    </row>
    <row r="85" spans="2:18" s="796" customFormat="1">
      <c r="B85" s="2487"/>
      <c r="C85" s="2487"/>
      <c r="D85" s="2487"/>
      <c r="E85" s="2487"/>
      <c r="F85" s="2487"/>
      <c r="G85" s="2488"/>
      <c r="H85" s="2487"/>
      <c r="I85" s="2488"/>
      <c r="J85" s="2487"/>
      <c r="K85" s="2487"/>
      <c r="L85" s="2488"/>
      <c r="M85" s="2487"/>
      <c r="N85" s="2487"/>
      <c r="O85" s="2488"/>
      <c r="P85" s="2487"/>
      <c r="Q85" s="2487"/>
      <c r="R85" s="2489"/>
    </row>
    <row r="86" spans="2:18" s="796" customFormat="1">
      <c r="B86" s="2487"/>
      <c r="C86" s="2487"/>
      <c r="D86" s="2487"/>
      <c r="E86" s="2487"/>
      <c r="F86" s="2487"/>
      <c r="G86" s="2488"/>
      <c r="H86" s="2487"/>
      <c r="I86" s="2488"/>
      <c r="J86" s="2487"/>
      <c r="K86" s="2487"/>
      <c r="L86" s="2488"/>
      <c r="M86" s="2487"/>
      <c r="N86" s="2487"/>
      <c r="O86" s="2488"/>
      <c r="P86" s="2487"/>
      <c r="Q86" s="2487"/>
      <c r="R86" s="2489"/>
    </row>
    <row r="87" spans="2:18" s="796" customFormat="1">
      <c r="B87" s="2487"/>
      <c r="C87" s="2487"/>
      <c r="D87" s="2487"/>
      <c r="E87" s="2487"/>
      <c r="F87" s="2487"/>
      <c r="G87" s="2488"/>
      <c r="H87" s="2487"/>
      <c r="I87" s="2488"/>
      <c r="J87" s="2487"/>
      <c r="K87" s="2487"/>
      <c r="L87" s="2488"/>
      <c r="M87" s="2487"/>
      <c r="N87" s="2487"/>
      <c r="O87" s="2488"/>
      <c r="P87" s="2487"/>
      <c r="Q87" s="2487"/>
      <c r="R87" s="2489"/>
    </row>
    <row r="88" spans="2:18" s="796" customFormat="1">
      <c r="B88" s="2487"/>
      <c r="C88" s="2487"/>
      <c r="D88" s="2487"/>
      <c r="E88" s="2487"/>
      <c r="F88" s="2487"/>
      <c r="G88" s="2488"/>
      <c r="H88" s="2487"/>
      <c r="I88" s="2488"/>
      <c r="J88" s="2487"/>
      <c r="K88" s="2487"/>
      <c r="L88" s="2488"/>
      <c r="M88" s="2487"/>
      <c r="N88" s="2487"/>
      <c r="O88" s="2488"/>
      <c r="P88" s="2487"/>
      <c r="Q88" s="2487"/>
      <c r="R88" s="2489"/>
    </row>
    <row r="89" spans="2:18" s="796" customFormat="1">
      <c r="B89" s="2487"/>
      <c r="C89" s="2487"/>
      <c r="D89" s="2487"/>
      <c r="E89" s="2487"/>
      <c r="F89" s="2487"/>
      <c r="G89" s="2488"/>
      <c r="H89" s="2487"/>
      <c r="I89" s="2488"/>
      <c r="J89" s="2487"/>
      <c r="K89" s="2487"/>
      <c r="L89" s="2488"/>
      <c r="M89" s="2487"/>
      <c r="N89" s="2487"/>
      <c r="O89" s="2488"/>
      <c r="P89" s="2487"/>
      <c r="Q89" s="2487"/>
      <c r="R89" s="2489"/>
    </row>
    <row r="90" spans="2:18" s="796" customFormat="1">
      <c r="B90" s="2487"/>
      <c r="C90" s="2487"/>
      <c r="D90" s="2487"/>
      <c r="E90" s="2487"/>
      <c r="F90" s="2487"/>
      <c r="G90" s="2488"/>
      <c r="H90" s="2487"/>
      <c r="I90" s="2488"/>
      <c r="J90" s="2487"/>
      <c r="K90" s="2487"/>
      <c r="L90" s="2488"/>
      <c r="M90" s="2487"/>
      <c r="N90" s="2487"/>
      <c r="O90" s="2488"/>
      <c r="P90" s="2487"/>
      <c r="Q90" s="2487"/>
      <c r="R90" s="2489"/>
    </row>
    <row r="91" spans="2:18" s="796" customFormat="1">
      <c r="B91" s="2487"/>
      <c r="C91" s="2487"/>
      <c r="D91" s="2487"/>
      <c r="E91" s="2487"/>
      <c r="F91" s="2487"/>
      <c r="G91" s="2488"/>
      <c r="H91" s="2487"/>
      <c r="I91" s="2488"/>
      <c r="J91" s="2487"/>
      <c r="K91" s="2487"/>
      <c r="L91" s="2488"/>
      <c r="M91" s="2487"/>
      <c r="N91" s="2487"/>
      <c r="O91" s="2488"/>
      <c r="P91" s="2487"/>
      <c r="Q91" s="2487"/>
      <c r="R91" s="2489"/>
    </row>
    <row r="92" spans="2:18" s="796" customFormat="1">
      <c r="B92" s="2487"/>
      <c r="C92" s="2487"/>
      <c r="D92" s="2487"/>
      <c r="E92" s="2487"/>
      <c r="F92" s="2487"/>
      <c r="G92" s="2488"/>
      <c r="H92" s="2487"/>
      <c r="I92" s="2488"/>
      <c r="J92" s="2487"/>
      <c r="K92" s="2487"/>
      <c r="L92" s="2488"/>
      <c r="M92" s="2487"/>
      <c r="N92" s="2487"/>
      <c r="O92" s="2488"/>
      <c r="P92" s="2487"/>
      <c r="Q92" s="2487"/>
      <c r="R92" s="2489"/>
    </row>
    <row r="93" spans="2:18" s="796" customFormat="1">
      <c r="B93" s="2487"/>
      <c r="C93" s="2487"/>
      <c r="D93" s="2487"/>
      <c r="E93" s="2487"/>
      <c r="F93" s="2487"/>
      <c r="G93" s="2488"/>
      <c r="H93" s="2487"/>
      <c r="I93" s="2488"/>
      <c r="J93" s="2487"/>
      <c r="K93" s="2487"/>
      <c r="L93" s="2488"/>
      <c r="M93" s="2487"/>
      <c r="N93" s="2487"/>
      <c r="O93" s="2488"/>
      <c r="P93" s="2487"/>
      <c r="Q93" s="2487"/>
      <c r="R93" s="2489"/>
    </row>
    <row r="94" spans="2:18" s="796" customFormat="1">
      <c r="B94" s="2487"/>
      <c r="C94" s="2487"/>
      <c r="D94" s="2487"/>
      <c r="E94" s="2487"/>
      <c r="F94" s="2487"/>
      <c r="G94" s="2488"/>
      <c r="H94" s="2487"/>
      <c r="I94" s="2488"/>
      <c r="J94" s="2487"/>
      <c r="K94" s="2487"/>
      <c r="L94" s="2488"/>
      <c r="M94" s="2487"/>
      <c r="N94" s="2487"/>
      <c r="O94" s="2488"/>
      <c r="P94" s="2487"/>
      <c r="Q94" s="2487"/>
      <c r="R94" s="2489"/>
    </row>
    <row r="95" spans="2:18" s="796" customFormat="1">
      <c r="B95" s="2487"/>
      <c r="C95" s="2487"/>
      <c r="D95" s="2487"/>
      <c r="E95" s="2487"/>
      <c r="F95" s="2487"/>
      <c r="G95" s="2488"/>
      <c r="H95" s="2487"/>
      <c r="I95" s="2488"/>
      <c r="J95" s="2487"/>
      <c r="K95" s="2487"/>
      <c r="L95" s="2488"/>
      <c r="M95" s="2487"/>
      <c r="N95" s="2487"/>
      <c r="O95" s="2488"/>
      <c r="P95" s="2487"/>
      <c r="Q95" s="2487"/>
      <c r="R95" s="2489"/>
    </row>
    <row r="96" spans="2:18" s="796" customFormat="1">
      <c r="B96" s="2487"/>
      <c r="C96" s="2487"/>
      <c r="D96" s="2487"/>
      <c r="E96" s="2487"/>
      <c r="F96" s="2487"/>
      <c r="G96" s="2488"/>
      <c r="H96" s="2487"/>
      <c r="I96" s="2488"/>
      <c r="J96" s="2487"/>
      <c r="K96" s="2487"/>
      <c r="L96" s="2488"/>
      <c r="M96" s="2487"/>
      <c r="N96" s="2487"/>
      <c r="O96" s="2488"/>
      <c r="P96" s="2487"/>
      <c r="Q96" s="2487"/>
      <c r="R96" s="2489"/>
    </row>
    <row r="97" spans="2:18" s="796" customFormat="1">
      <c r="B97" s="2487"/>
      <c r="C97" s="2487"/>
      <c r="D97" s="2487"/>
      <c r="E97" s="2487"/>
      <c r="F97" s="2487"/>
      <c r="G97" s="2488"/>
      <c r="H97" s="2487"/>
      <c r="I97" s="2488"/>
      <c r="J97" s="2487"/>
      <c r="K97" s="2487"/>
      <c r="L97" s="2488"/>
      <c r="M97" s="2487"/>
      <c r="N97" s="2487"/>
      <c r="O97" s="2488"/>
      <c r="P97" s="2487"/>
      <c r="Q97" s="2487"/>
      <c r="R97" s="2489"/>
    </row>
    <row r="98" spans="2:18" s="796" customFormat="1">
      <c r="B98" s="2487"/>
      <c r="C98" s="2487"/>
      <c r="D98" s="2487"/>
      <c r="E98" s="2487"/>
      <c r="F98" s="2487"/>
      <c r="G98" s="2488"/>
      <c r="H98" s="2487"/>
      <c r="I98" s="2488"/>
      <c r="J98" s="2487"/>
      <c r="K98" s="2487"/>
      <c r="L98" s="2488"/>
      <c r="M98" s="2487"/>
      <c r="N98" s="2487"/>
      <c r="O98" s="2488"/>
      <c r="P98" s="2487"/>
      <c r="Q98" s="2487"/>
      <c r="R98" s="2489"/>
    </row>
    <row r="99" spans="2:18" s="796" customFormat="1">
      <c r="B99" s="2487"/>
      <c r="C99" s="2487"/>
      <c r="D99" s="2487"/>
      <c r="E99" s="2487"/>
      <c r="F99" s="2487"/>
      <c r="G99" s="2488"/>
      <c r="H99" s="2487"/>
      <c r="I99" s="2488"/>
      <c r="J99" s="2487"/>
      <c r="K99" s="2487"/>
      <c r="L99" s="2488"/>
      <c r="M99" s="2487"/>
      <c r="N99" s="2487"/>
      <c r="O99" s="2488"/>
      <c r="P99" s="2487"/>
      <c r="Q99" s="2487"/>
      <c r="R99" s="2489"/>
    </row>
    <row r="100" spans="2:18" s="796" customFormat="1">
      <c r="B100" s="2487"/>
      <c r="C100" s="2487"/>
      <c r="D100" s="2487"/>
      <c r="E100" s="2487"/>
      <c r="F100" s="2487"/>
      <c r="G100" s="2488"/>
      <c r="H100" s="2487"/>
      <c r="I100" s="2488"/>
      <c r="J100" s="2487"/>
      <c r="K100" s="2487"/>
      <c r="L100" s="2488"/>
      <c r="M100" s="2487"/>
      <c r="N100" s="2487"/>
      <c r="O100" s="2488"/>
      <c r="P100" s="2487"/>
      <c r="Q100" s="2487"/>
      <c r="R100" s="2489"/>
    </row>
    <row r="101" spans="2:18" s="796" customFormat="1">
      <c r="B101" s="2487"/>
      <c r="C101" s="2487"/>
      <c r="D101" s="2487"/>
      <c r="E101" s="2487"/>
      <c r="F101" s="2487"/>
      <c r="G101" s="2488"/>
      <c r="H101" s="2487"/>
      <c r="I101" s="2488"/>
      <c r="J101" s="2487"/>
      <c r="K101" s="2487"/>
      <c r="L101" s="2488"/>
      <c r="M101" s="2487"/>
      <c r="N101" s="2487"/>
      <c r="O101" s="2488"/>
      <c r="P101" s="2487"/>
      <c r="Q101" s="2487"/>
      <c r="R101" s="2489"/>
    </row>
    <row r="102" spans="2:18" s="796" customFormat="1">
      <c r="B102" s="2487"/>
      <c r="C102" s="2487"/>
      <c r="D102" s="2487"/>
      <c r="E102" s="2487"/>
      <c r="F102" s="2487"/>
      <c r="G102" s="2488"/>
      <c r="H102" s="2487"/>
      <c r="I102" s="2488"/>
      <c r="J102" s="2487"/>
      <c r="K102" s="2487"/>
      <c r="L102" s="2488"/>
      <c r="M102" s="2487"/>
      <c r="N102" s="2487"/>
      <c r="O102" s="2488"/>
      <c r="P102" s="2487"/>
      <c r="Q102" s="2487"/>
      <c r="R102" s="2489"/>
    </row>
    <row r="103" spans="2:18" s="796" customFormat="1">
      <c r="B103" s="2487"/>
      <c r="C103" s="2487"/>
      <c r="D103" s="2487"/>
      <c r="E103" s="2487"/>
      <c r="F103" s="2487"/>
      <c r="G103" s="2488"/>
      <c r="H103" s="2487"/>
      <c r="I103" s="2488"/>
      <c r="J103" s="2487"/>
      <c r="K103" s="2487"/>
      <c r="L103" s="2488"/>
      <c r="M103" s="2487"/>
      <c r="N103" s="2487"/>
      <c r="O103" s="2488"/>
      <c r="P103" s="2487"/>
      <c r="Q103" s="2487"/>
      <c r="R103" s="2489"/>
    </row>
    <row r="104" spans="2:18" s="796" customFormat="1">
      <c r="B104" s="2487"/>
      <c r="C104" s="2487"/>
      <c r="D104" s="2487"/>
      <c r="E104" s="2487"/>
      <c r="F104" s="2487"/>
      <c r="G104" s="2488"/>
      <c r="H104" s="2487"/>
      <c r="I104" s="2488"/>
      <c r="J104" s="2487"/>
      <c r="K104" s="2487"/>
      <c r="L104" s="2488"/>
      <c r="M104" s="2487"/>
      <c r="N104" s="2487"/>
      <c r="O104" s="2488"/>
      <c r="P104" s="2487"/>
      <c r="Q104" s="2487"/>
      <c r="R104" s="2489"/>
    </row>
    <row r="105" spans="2:18" s="796" customFormat="1">
      <c r="B105" s="2487"/>
      <c r="C105" s="2487"/>
      <c r="D105" s="2487"/>
      <c r="E105" s="2487"/>
      <c r="F105" s="2487"/>
      <c r="G105" s="2488"/>
      <c r="H105" s="2487"/>
      <c r="I105" s="2488"/>
      <c r="J105" s="2487"/>
      <c r="K105" s="2487"/>
      <c r="L105" s="2488"/>
      <c r="M105" s="2487"/>
      <c r="N105" s="2487"/>
      <c r="O105" s="2488"/>
      <c r="P105" s="2487"/>
      <c r="Q105" s="2487"/>
      <c r="R105" s="2489"/>
    </row>
    <row r="106" spans="2:18" s="796" customFormat="1">
      <c r="B106" s="2487"/>
      <c r="C106" s="2487"/>
      <c r="D106" s="2487"/>
      <c r="E106" s="2487"/>
      <c r="F106" s="2487"/>
      <c r="G106" s="2488"/>
      <c r="H106" s="2487"/>
      <c r="I106" s="2488"/>
      <c r="J106" s="2487"/>
      <c r="K106" s="2487"/>
      <c r="L106" s="2488"/>
      <c r="M106" s="2487"/>
      <c r="N106" s="2487"/>
      <c r="O106" s="2488"/>
      <c r="P106" s="2487"/>
      <c r="Q106" s="2487"/>
      <c r="R106" s="2489"/>
    </row>
    <row r="107" spans="2:18" s="796" customFormat="1">
      <c r="B107" s="2487"/>
      <c r="C107" s="2487"/>
      <c r="D107" s="2487"/>
      <c r="E107" s="2487"/>
      <c r="F107" s="2487"/>
      <c r="G107" s="2488"/>
      <c r="H107" s="2487"/>
      <c r="I107" s="2488"/>
      <c r="J107" s="2487"/>
      <c r="K107" s="2487"/>
      <c r="L107" s="2488"/>
      <c r="M107" s="2487"/>
      <c r="N107" s="2487"/>
      <c r="O107" s="2488"/>
      <c r="P107" s="2487"/>
      <c r="Q107" s="2487"/>
      <c r="R107" s="2489"/>
    </row>
    <row r="108" spans="2:18" s="796" customFormat="1">
      <c r="B108" s="2487"/>
      <c r="C108" s="2487"/>
      <c r="D108" s="2487"/>
      <c r="E108" s="2487"/>
      <c r="F108" s="2487"/>
      <c r="G108" s="2488"/>
      <c r="H108" s="2487"/>
      <c r="I108" s="2488"/>
      <c r="J108" s="2487"/>
      <c r="K108" s="2487"/>
      <c r="L108" s="2488"/>
      <c r="M108" s="2487"/>
      <c r="N108" s="2487"/>
      <c r="O108" s="2488"/>
      <c r="P108" s="2487"/>
      <c r="Q108" s="2487"/>
      <c r="R108" s="2489"/>
    </row>
    <row r="109" spans="2:18" s="796" customFormat="1">
      <c r="B109" s="2487"/>
      <c r="C109" s="2487"/>
      <c r="D109" s="2487"/>
      <c r="E109" s="2487"/>
      <c r="F109" s="2487"/>
      <c r="G109" s="2488"/>
      <c r="H109" s="2487"/>
      <c r="I109" s="2488"/>
      <c r="J109" s="2487"/>
      <c r="K109" s="2487"/>
      <c r="L109" s="2488"/>
      <c r="M109" s="2487"/>
      <c r="N109" s="2487"/>
      <c r="O109" s="2488"/>
      <c r="P109" s="2487"/>
      <c r="Q109" s="2487"/>
      <c r="R109" s="2489"/>
    </row>
    <row r="110" spans="2:18" s="796" customFormat="1">
      <c r="B110" s="2487"/>
      <c r="C110" s="2487"/>
      <c r="D110" s="2487"/>
      <c r="E110" s="2487"/>
      <c r="F110" s="2487"/>
      <c r="G110" s="2488"/>
      <c r="H110" s="2487"/>
      <c r="I110" s="2488"/>
      <c r="J110" s="2487"/>
      <c r="K110" s="2487"/>
      <c r="L110" s="2488"/>
      <c r="M110" s="2487"/>
      <c r="N110" s="2487"/>
      <c r="O110" s="2488"/>
      <c r="P110" s="2487"/>
      <c r="Q110" s="2487"/>
      <c r="R110" s="2489"/>
    </row>
    <row r="111" spans="2:18" s="796" customFormat="1">
      <c r="B111" s="2487"/>
      <c r="C111" s="2487"/>
      <c r="D111" s="2487"/>
      <c r="E111" s="2487"/>
      <c r="F111" s="2487"/>
      <c r="G111" s="2488"/>
      <c r="H111" s="2487"/>
      <c r="I111" s="2488"/>
      <c r="J111" s="2487"/>
      <c r="K111" s="2487"/>
      <c r="L111" s="2488"/>
      <c r="M111" s="2487"/>
      <c r="N111" s="2487"/>
      <c r="O111" s="2488"/>
      <c r="P111" s="2487"/>
      <c r="Q111" s="2487"/>
      <c r="R111" s="2489"/>
    </row>
    <row r="112" spans="2:18" s="796" customFormat="1">
      <c r="B112" s="2487"/>
      <c r="C112" s="2487"/>
      <c r="D112" s="2487"/>
      <c r="E112" s="2487"/>
      <c r="F112" s="2487"/>
      <c r="G112" s="2488"/>
      <c r="H112" s="2487"/>
      <c r="I112" s="2488"/>
      <c r="J112" s="2487"/>
      <c r="K112" s="2487"/>
      <c r="L112" s="2488"/>
      <c r="M112" s="2487"/>
      <c r="N112" s="2487"/>
      <c r="O112" s="2488"/>
      <c r="P112" s="2487"/>
      <c r="Q112" s="2487"/>
      <c r="R112" s="2489"/>
    </row>
    <row r="113" spans="2:18" s="796" customFormat="1">
      <c r="B113" s="2487"/>
      <c r="C113" s="2487"/>
      <c r="D113" s="2487"/>
      <c r="E113" s="2487"/>
      <c r="F113" s="2487"/>
      <c r="G113" s="2488"/>
      <c r="H113" s="2487"/>
      <c r="I113" s="2488"/>
      <c r="J113" s="2487"/>
      <c r="K113" s="2487"/>
      <c r="L113" s="2488"/>
      <c r="M113" s="2487"/>
      <c r="N113" s="2487"/>
      <c r="O113" s="2488"/>
      <c r="P113" s="2487"/>
      <c r="Q113" s="2487"/>
      <c r="R113" s="2489"/>
    </row>
    <row r="114" spans="2:18" s="796" customFormat="1">
      <c r="B114" s="2487"/>
      <c r="C114" s="2487"/>
      <c r="D114" s="2487"/>
      <c r="E114" s="2487"/>
      <c r="F114" s="2487"/>
      <c r="G114" s="2488"/>
      <c r="H114" s="2487"/>
      <c r="I114" s="2488"/>
      <c r="J114" s="2487"/>
      <c r="K114" s="2487"/>
      <c r="L114" s="2488"/>
      <c r="M114" s="2487"/>
      <c r="N114" s="2487"/>
      <c r="O114" s="2488"/>
      <c r="P114" s="2487"/>
      <c r="Q114" s="2487"/>
      <c r="R114" s="2489"/>
    </row>
    <row r="115" spans="2:18" s="796" customFormat="1">
      <c r="B115" s="2487"/>
      <c r="C115" s="2487"/>
      <c r="D115" s="2487"/>
      <c r="E115" s="2487"/>
      <c r="F115" s="2487"/>
      <c r="G115" s="2488"/>
      <c r="H115" s="2487"/>
      <c r="I115" s="2488"/>
      <c r="J115" s="2487"/>
      <c r="K115" s="2487"/>
      <c r="L115" s="2488"/>
      <c r="M115" s="2487"/>
      <c r="N115" s="2487"/>
      <c r="O115" s="2488"/>
      <c r="P115" s="2487"/>
      <c r="Q115" s="2487"/>
      <c r="R115" s="2489"/>
    </row>
    <row r="116" spans="2:18" s="796" customFormat="1">
      <c r="B116" s="2487"/>
      <c r="C116" s="2487"/>
      <c r="D116" s="2487"/>
      <c r="E116" s="2487"/>
      <c r="F116" s="2487"/>
      <c r="G116" s="2488"/>
      <c r="H116" s="2487"/>
      <c r="I116" s="2488"/>
      <c r="J116" s="2487"/>
      <c r="K116" s="2487"/>
      <c r="L116" s="2488"/>
      <c r="M116" s="2487"/>
      <c r="N116" s="2487"/>
      <c r="O116" s="2488"/>
      <c r="P116" s="2487"/>
      <c r="Q116" s="2487"/>
      <c r="R116" s="2489"/>
    </row>
    <row r="117" spans="2:18" s="796" customFormat="1">
      <c r="B117" s="2487"/>
      <c r="C117" s="2487"/>
      <c r="D117" s="2487"/>
      <c r="E117" s="2487"/>
      <c r="F117" s="2487"/>
      <c r="G117" s="2488"/>
      <c r="H117" s="2487"/>
      <c r="I117" s="2488"/>
      <c r="J117" s="2487"/>
      <c r="K117" s="2487"/>
      <c r="L117" s="2488"/>
      <c r="M117" s="2487"/>
      <c r="N117" s="2487"/>
      <c r="O117" s="2488"/>
      <c r="P117" s="2487"/>
      <c r="Q117" s="2487"/>
      <c r="R117" s="2489"/>
    </row>
    <row r="118" spans="2:18" s="796" customFormat="1">
      <c r="B118" s="2487"/>
      <c r="C118" s="2487"/>
      <c r="D118" s="2487"/>
      <c r="E118" s="2487"/>
      <c r="F118" s="2487"/>
      <c r="G118" s="2488"/>
      <c r="H118" s="2487"/>
      <c r="I118" s="2488"/>
      <c r="J118" s="2487"/>
      <c r="K118" s="2487"/>
      <c r="L118" s="2488"/>
      <c r="M118" s="2487"/>
      <c r="N118" s="2487"/>
      <c r="O118" s="2488"/>
      <c r="P118" s="2487"/>
      <c r="Q118" s="2487"/>
      <c r="R118" s="2489"/>
    </row>
    <row r="119" spans="2:18" s="796" customFormat="1">
      <c r="B119" s="2487"/>
      <c r="C119" s="2487"/>
      <c r="D119" s="2487"/>
      <c r="E119" s="2487"/>
      <c r="F119" s="2487"/>
      <c r="G119" s="2488"/>
      <c r="H119" s="2487"/>
      <c r="I119" s="2488"/>
      <c r="J119" s="2487"/>
      <c r="K119" s="2487"/>
      <c r="L119" s="2488"/>
      <c r="M119" s="2487"/>
      <c r="N119" s="2487"/>
      <c r="O119" s="2488"/>
      <c r="P119" s="2487"/>
      <c r="Q119" s="2487"/>
      <c r="R119" s="2489"/>
    </row>
    <row r="120" spans="2:18" s="796" customFormat="1">
      <c r="B120" s="2487"/>
      <c r="C120" s="2487"/>
      <c r="D120" s="2487"/>
      <c r="E120" s="2487"/>
      <c r="F120" s="2487"/>
      <c r="G120" s="2488"/>
      <c r="H120" s="2487"/>
      <c r="I120" s="2488"/>
      <c r="J120" s="2487"/>
      <c r="K120" s="2487"/>
      <c r="L120" s="2488"/>
      <c r="M120" s="2487"/>
      <c r="N120" s="2487"/>
      <c r="O120" s="2488"/>
      <c r="P120" s="2487"/>
      <c r="Q120" s="2487"/>
      <c r="R120" s="2489"/>
    </row>
    <row r="121" spans="2:18" s="796" customFormat="1">
      <c r="B121" s="2487"/>
      <c r="C121" s="2487"/>
      <c r="D121" s="2487"/>
      <c r="E121" s="2487"/>
      <c r="F121" s="2487"/>
      <c r="G121" s="2488"/>
      <c r="H121" s="2487"/>
      <c r="I121" s="2488"/>
      <c r="J121" s="2487"/>
      <c r="K121" s="2487"/>
      <c r="L121" s="2488"/>
      <c r="M121" s="2487"/>
      <c r="N121" s="2487"/>
      <c r="O121" s="2488"/>
      <c r="P121" s="2487"/>
      <c r="Q121" s="2487"/>
      <c r="R121" s="2489"/>
    </row>
    <row r="122" spans="2:18" s="796" customFormat="1">
      <c r="B122" s="2487"/>
      <c r="C122" s="2487"/>
      <c r="D122" s="2487"/>
      <c r="E122" s="2487"/>
      <c r="F122" s="2487"/>
      <c r="G122" s="2488"/>
      <c r="H122" s="2487"/>
      <c r="I122" s="2488"/>
      <c r="J122" s="2487"/>
      <c r="K122" s="2487"/>
      <c r="L122" s="2488"/>
      <c r="M122" s="2487"/>
      <c r="N122" s="2487"/>
      <c r="O122" s="2488"/>
      <c r="P122" s="2487"/>
      <c r="Q122" s="2487"/>
      <c r="R122" s="2489"/>
    </row>
    <row r="123" spans="2:18" s="796" customFormat="1">
      <c r="B123" s="2487"/>
      <c r="C123" s="2487"/>
      <c r="D123" s="2487"/>
      <c r="E123" s="2487"/>
      <c r="F123" s="2487"/>
      <c r="G123" s="2488"/>
      <c r="H123" s="2487"/>
      <c r="I123" s="2488"/>
      <c r="J123" s="2487"/>
      <c r="K123" s="2487"/>
      <c r="L123" s="2488"/>
      <c r="M123" s="2487"/>
      <c r="N123" s="2487"/>
      <c r="O123" s="2488"/>
      <c r="P123" s="2487"/>
      <c r="Q123" s="2487"/>
      <c r="R123" s="2489"/>
    </row>
    <row r="124" spans="2:18" s="796" customFormat="1">
      <c r="B124" s="2487"/>
      <c r="C124" s="2487"/>
      <c r="D124" s="2487"/>
      <c r="E124" s="2487"/>
      <c r="F124" s="2487"/>
      <c r="G124" s="2488"/>
      <c r="H124" s="2487"/>
      <c r="I124" s="2488"/>
      <c r="J124" s="2487"/>
      <c r="K124" s="2487"/>
      <c r="L124" s="2488"/>
      <c r="M124" s="2487"/>
      <c r="N124" s="2487"/>
      <c r="O124" s="2488"/>
      <c r="P124" s="2487"/>
      <c r="Q124" s="2487"/>
      <c r="R124" s="2489"/>
    </row>
    <row r="125" spans="2:18" s="796" customFormat="1">
      <c r="B125" s="2487"/>
      <c r="C125" s="2487"/>
      <c r="D125" s="2487"/>
      <c r="E125" s="2487"/>
      <c r="F125" s="2487"/>
      <c r="G125" s="2488"/>
      <c r="H125" s="2487"/>
      <c r="I125" s="2488"/>
      <c r="J125" s="2487"/>
      <c r="K125" s="2487"/>
      <c r="L125" s="2488"/>
      <c r="M125" s="2487"/>
      <c r="N125" s="2487"/>
      <c r="O125" s="2488"/>
      <c r="P125" s="2487"/>
      <c r="Q125" s="2487"/>
      <c r="R125" s="2489"/>
    </row>
    <row r="126" spans="2:18" s="796" customFormat="1">
      <c r="B126" s="2487"/>
      <c r="C126" s="2487"/>
      <c r="D126" s="2487"/>
      <c r="E126" s="2487"/>
      <c r="F126" s="2487"/>
      <c r="G126" s="2488"/>
      <c r="H126" s="2487"/>
      <c r="I126" s="2488"/>
      <c r="J126" s="2487"/>
      <c r="K126" s="2487"/>
      <c r="L126" s="2488"/>
      <c r="M126" s="2487"/>
      <c r="N126" s="2487"/>
      <c r="O126" s="2488"/>
      <c r="P126" s="2487"/>
      <c r="Q126" s="2487"/>
      <c r="R126" s="2489"/>
    </row>
    <row r="127" spans="2:18" s="796" customFormat="1">
      <c r="B127" s="2487"/>
      <c r="C127" s="2487"/>
      <c r="D127" s="2487"/>
      <c r="E127" s="2487"/>
      <c r="F127" s="2487"/>
      <c r="G127" s="2488"/>
      <c r="H127" s="2487"/>
      <c r="I127" s="2488"/>
      <c r="J127" s="2487"/>
      <c r="K127" s="2487"/>
      <c r="L127" s="2488"/>
      <c r="M127" s="2487"/>
      <c r="N127" s="2487"/>
      <c r="O127" s="2488"/>
      <c r="P127" s="2487"/>
      <c r="Q127" s="2487"/>
      <c r="R127" s="2489"/>
    </row>
    <row r="128" spans="2:18" s="796" customFormat="1">
      <c r="B128" s="2487"/>
      <c r="C128" s="2487"/>
      <c r="D128" s="2487"/>
      <c r="E128" s="2487"/>
      <c r="F128" s="2487"/>
      <c r="G128" s="2488"/>
      <c r="H128" s="2487"/>
      <c r="I128" s="2488"/>
      <c r="J128" s="2487"/>
      <c r="K128" s="2487"/>
      <c r="L128" s="2488"/>
      <c r="M128" s="2487"/>
      <c r="N128" s="2487"/>
      <c r="O128" s="2488"/>
      <c r="P128" s="2487"/>
      <c r="Q128" s="2487"/>
      <c r="R128" s="2489"/>
    </row>
    <row r="129" spans="2:18" s="796" customFormat="1">
      <c r="B129" s="2487"/>
      <c r="C129" s="2487"/>
      <c r="D129" s="2487"/>
      <c r="E129" s="2487"/>
      <c r="F129" s="2487"/>
      <c r="G129" s="2488"/>
      <c r="H129" s="2487"/>
      <c r="I129" s="2488"/>
      <c r="J129" s="2487"/>
      <c r="K129" s="2487"/>
      <c r="L129" s="2488"/>
      <c r="M129" s="2487"/>
      <c r="N129" s="2487"/>
      <c r="O129" s="2488"/>
      <c r="P129" s="2487"/>
      <c r="Q129" s="2487"/>
      <c r="R129" s="2489"/>
    </row>
    <row r="130" spans="2:18" s="796" customFormat="1">
      <c r="B130" s="2487"/>
      <c r="C130" s="2487"/>
      <c r="D130" s="2487"/>
      <c r="E130" s="2487"/>
      <c r="F130" s="2487"/>
      <c r="G130" s="2488"/>
      <c r="H130" s="2487"/>
      <c r="I130" s="2488"/>
      <c r="J130" s="2487"/>
      <c r="K130" s="2487"/>
      <c r="L130" s="2488"/>
      <c r="M130" s="2487"/>
      <c r="N130" s="2487"/>
      <c r="O130" s="2488"/>
      <c r="P130" s="2487"/>
      <c r="Q130" s="2487"/>
      <c r="R130" s="2489"/>
    </row>
    <row r="131" spans="2:18" s="796" customFormat="1">
      <c r="B131" s="2487"/>
      <c r="C131" s="2487"/>
      <c r="D131" s="2487"/>
      <c r="E131" s="2487"/>
      <c r="F131" s="2487"/>
      <c r="G131" s="2488"/>
      <c r="H131" s="2487"/>
      <c r="I131" s="2488"/>
      <c r="J131" s="2487"/>
      <c r="K131" s="2487"/>
      <c r="L131" s="2488"/>
      <c r="M131" s="2487"/>
      <c r="N131" s="2487"/>
      <c r="O131" s="2488"/>
      <c r="P131" s="2487"/>
      <c r="Q131" s="2487"/>
      <c r="R131" s="2489"/>
    </row>
    <row r="132" spans="2:18" s="796" customFormat="1">
      <c r="B132" s="2487"/>
      <c r="C132" s="2487"/>
      <c r="D132" s="2487"/>
      <c r="E132" s="2487"/>
      <c r="F132" s="2487"/>
      <c r="G132" s="2488"/>
      <c r="H132" s="2487"/>
      <c r="I132" s="2488"/>
      <c r="J132" s="2487"/>
      <c r="K132" s="2487"/>
      <c r="L132" s="2488"/>
      <c r="M132" s="2487"/>
      <c r="N132" s="2487"/>
      <c r="O132" s="2488"/>
      <c r="P132" s="2487"/>
      <c r="Q132" s="2487"/>
      <c r="R132" s="2489"/>
    </row>
    <row r="133" spans="2:18" s="796" customFormat="1">
      <c r="B133" s="2487"/>
      <c r="C133" s="2487"/>
      <c r="D133" s="2487"/>
      <c r="E133" s="2487"/>
      <c r="F133" s="2487"/>
      <c r="G133" s="2488"/>
      <c r="H133" s="2487"/>
      <c r="I133" s="2488"/>
      <c r="J133" s="2487"/>
      <c r="K133" s="2487"/>
      <c r="L133" s="2488"/>
      <c r="M133" s="2487"/>
      <c r="N133" s="2487"/>
      <c r="O133" s="2488"/>
      <c r="P133" s="2487"/>
      <c r="Q133" s="2487"/>
      <c r="R133" s="2489"/>
    </row>
    <row r="134" spans="2:18" s="796" customFormat="1">
      <c r="B134" s="2487"/>
      <c r="C134" s="2487"/>
      <c r="D134" s="2487"/>
      <c r="E134" s="2487"/>
      <c r="F134" s="2487"/>
      <c r="G134" s="2488"/>
      <c r="H134" s="2487"/>
      <c r="I134" s="2488"/>
      <c r="J134" s="2487"/>
      <c r="K134" s="2487"/>
      <c r="L134" s="2488"/>
      <c r="M134" s="2487"/>
      <c r="N134" s="2487"/>
      <c r="O134" s="2488"/>
      <c r="P134" s="2487"/>
      <c r="Q134" s="2487"/>
      <c r="R134" s="2489"/>
    </row>
    <row r="135" spans="2:18" s="796" customFormat="1">
      <c r="B135" s="2487"/>
      <c r="C135" s="2487"/>
      <c r="D135" s="2487"/>
      <c r="E135" s="2487"/>
      <c r="F135" s="2487"/>
      <c r="G135" s="2488"/>
      <c r="H135" s="2487"/>
      <c r="I135" s="2488"/>
      <c r="J135" s="2487"/>
      <c r="K135" s="2487"/>
      <c r="L135" s="2488"/>
      <c r="M135" s="2487"/>
      <c r="N135" s="2487"/>
      <c r="O135" s="2488"/>
      <c r="P135" s="2487"/>
      <c r="Q135" s="2487"/>
      <c r="R135" s="2489"/>
    </row>
    <row r="136" spans="2:18" s="796" customFormat="1">
      <c r="B136" s="2487"/>
      <c r="C136" s="2487"/>
      <c r="D136" s="2487"/>
      <c r="E136" s="2487"/>
      <c r="F136" s="2487"/>
      <c r="G136" s="2488"/>
      <c r="H136" s="2487"/>
      <c r="I136" s="2488"/>
      <c r="J136" s="2487"/>
      <c r="K136" s="2487"/>
      <c r="L136" s="2488"/>
      <c r="M136" s="2487"/>
      <c r="N136" s="2487"/>
      <c r="O136" s="2488"/>
      <c r="P136" s="2487"/>
      <c r="Q136" s="2487"/>
      <c r="R136" s="2489"/>
    </row>
    <row r="137" spans="2:18" s="796" customFormat="1">
      <c r="B137" s="2487"/>
      <c r="C137" s="2487"/>
      <c r="D137" s="2487"/>
      <c r="E137" s="2487"/>
      <c r="F137" s="2487"/>
      <c r="G137" s="2488"/>
      <c r="H137" s="2487"/>
      <c r="I137" s="2488"/>
      <c r="J137" s="2487"/>
      <c r="K137" s="2487"/>
      <c r="L137" s="2488"/>
      <c r="M137" s="2487"/>
      <c r="N137" s="2487"/>
      <c r="O137" s="2488"/>
      <c r="P137" s="2487"/>
      <c r="Q137" s="2487"/>
      <c r="R137" s="2489"/>
    </row>
    <row r="138" spans="2:18" s="796" customFormat="1">
      <c r="B138" s="2487"/>
      <c r="C138" s="2487"/>
      <c r="D138" s="2487"/>
      <c r="E138" s="2487"/>
      <c r="F138" s="2487"/>
      <c r="G138" s="2488"/>
      <c r="H138" s="2487"/>
      <c r="I138" s="2488"/>
      <c r="J138" s="2487"/>
      <c r="K138" s="2487"/>
      <c r="L138" s="2488"/>
      <c r="M138" s="2487"/>
      <c r="N138" s="2487"/>
      <c r="O138" s="2488"/>
      <c r="P138" s="2487"/>
      <c r="Q138" s="2487"/>
      <c r="R138" s="2489"/>
    </row>
    <row r="139" spans="2:18" s="796" customFormat="1">
      <c r="B139" s="2487"/>
      <c r="C139" s="2487"/>
      <c r="D139" s="2487"/>
      <c r="E139" s="2487"/>
      <c r="F139" s="2487"/>
      <c r="G139" s="2488"/>
      <c r="H139" s="2487"/>
      <c r="I139" s="2488"/>
      <c r="J139" s="2487"/>
      <c r="K139" s="2487"/>
      <c r="L139" s="2488"/>
      <c r="M139" s="2487"/>
      <c r="N139" s="2487"/>
      <c r="O139" s="2488"/>
      <c r="P139" s="2487"/>
      <c r="Q139" s="2487"/>
      <c r="R139" s="2489"/>
    </row>
    <row r="140" spans="2:18" s="796" customFormat="1">
      <c r="B140" s="2487"/>
      <c r="C140" s="2487"/>
      <c r="D140" s="2487"/>
      <c r="E140" s="2487"/>
      <c r="F140" s="2487"/>
      <c r="G140" s="2488"/>
      <c r="H140" s="2487"/>
      <c r="I140" s="2488"/>
      <c r="J140" s="2487"/>
      <c r="K140" s="2487"/>
      <c r="L140" s="2488"/>
      <c r="M140" s="2487"/>
      <c r="N140" s="2487"/>
      <c r="O140" s="2488"/>
      <c r="P140" s="2487"/>
      <c r="Q140" s="2487"/>
      <c r="R140" s="2489"/>
    </row>
    <row r="141" spans="2:18" s="796" customFormat="1">
      <c r="B141" s="2487"/>
      <c r="C141" s="2487"/>
      <c r="D141" s="2487"/>
      <c r="E141" s="2487"/>
      <c r="F141" s="2487"/>
      <c r="G141" s="2488"/>
      <c r="H141" s="2487"/>
      <c r="I141" s="2488"/>
      <c r="J141" s="2487"/>
      <c r="K141" s="2487"/>
      <c r="L141" s="2488"/>
      <c r="M141" s="2487"/>
      <c r="N141" s="2487"/>
      <c r="O141" s="2488"/>
      <c r="P141" s="2487"/>
      <c r="Q141" s="2487"/>
      <c r="R141" s="2489"/>
    </row>
    <row r="142" spans="2:18" s="796" customFormat="1">
      <c r="B142" s="2487"/>
      <c r="C142" s="2487"/>
      <c r="D142" s="2487"/>
      <c r="E142" s="2487"/>
      <c r="F142" s="2487"/>
      <c r="G142" s="2488"/>
      <c r="H142" s="2487"/>
      <c r="I142" s="2488"/>
      <c r="J142" s="2487"/>
      <c r="K142" s="2487"/>
      <c r="L142" s="2488"/>
      <c r="M142" s="2487"/>
      <c r="N142" s="2487"/>
      <c r="O142" s="2488"/>
      <c r="P142" s="2487"/>
      <c r="Q142" s="2487"/>
      <c r="R142" s="2489"/>
    </row>
    <row r="143" spans="2:18" s="796" customFormat="1">
      <c r="B143" s="2487"/>
      <c r="C143" s="2487"/>
      <c r="D143" s="2487"/>
      <c r="E143" s="2487"/>
      <c r="F143" s="2487"/>
      <c r="G143" s="2488"/>
      <c r="H143" s="2487"/>
      <c r="I143" s="2488"/>
      <c r="J143" s="2487"/>
      <c r="K143" s="2487"/>
      <c r="L143" s="2488"/>
      <c r="M143" s="2487"/>
      <c r="N143" s="2487"/>
      <c r="O143" s="2488"/>
      <c r="P143" s="2487"/>
      <c r="Q143" s="2487"/>
      <c r="R143" s="2489"/>
    </row>
    <row r="144" spans="2:18" s="796" customFormat="1">
      <c r="B144" s="2487"/>
      <c r="C144" s="2487"/>
      <c r="D144" s="2487"/>
      <c r="E144" s="2487"/>
      <c r="F144" s="2487"/>
      <c r="G144" s="2488"/>
      <c r="H144" s="2487"/>
      <c r="I144" s="2488"/>
      <c r="J144" s="2487"/>
      <c r="K144" s="2487"/>
      <c r="L144" s="2488"/>
      <c r="M144" s="2487"/>
      <c r="N144" s="2487"/>
      <c r="O144" s="2488"/>
      <c r="P144" s="2487"/>
      <c r="Q144" s="2487"/>
      <c r="R144" s="2489"/>
    </row>
    <row r="145" spans="2:18" s="796" customFormat="1">
      <c r="B145" s="2487"/>
      <c r="C145" s="2487"/>
      <c r="D145" s="2487"/>
      <c r="E145" s="2487"/>
      <c r="F145" s="2487"/>
      <c r="G145" s="2488"/>
      <c r="H145" s="2487"/>
      <c r="I145" s="2488"/>
      <c r="J145" s="2487"/>
      <c r="K145" s="2487"/>
      <c r="L145" s="2488"/>
      <c r="M145" s="2487"/>
      <c r="N145" s="2487"/>
      <c r="O145" s="2488"/>
      <c r="P145" s="2487"/>
      <c r="Q145" s="2487"/>
      <c r="R145" s="2489"/>
    </row>
    <row r="146" spans="2:18" s="796" customFormat="1">
      <c r="B146" s="2487"/>
      <c r="C146" s="2487"/>
      <c r="D146" s="2487"/>
      <c r="E146" s="2487"/>
      <c r="F146" s="2487"/>
      <c r="G146" s="2488"/>
      <c r="H146" s="2487"/>
      <c r="I146" s="2488"/>
      <c r="J146" s="2487"/>
      <c r="K146" s="2487"/>
      <c r="L146" s="2488"/>
      <c r="M146" s="2487"/>
      <c r="N146" s="2487"/>
      <c r="O146" s="2488"/>
      <c r="P146" s="2487"/>
      <c r="Q146" s="2487"/>
      <c r="R146" s="2489"/>
    </row>
    <row r="147" spans="2:18" s="796" customFormat="1">
      <c r="B147" s="2487"/>
      <c r="C147" s="2487"/>
      <c r="D147" s="2487"/>
      <c r="E147" s="2487"/>
      <c r="F147" s="2487"/>
      <c r="G147" s="2488"/>
      <c r="H147" s="2487"/>
      <c r="I147" s="2488"/>
      <c r="J147" s="2487"/>
      <c r="K147" s="2487"/>
      <c r="L147" s="2488"/>
      <c r="M147" s="2487"/>
      <c r="N147" s="2487"/>
      <c r="O147" s="2488"/>
      <c r="P147" s="2487"/>
      <c r="Q147" s="2487"/>
      <c r="R147" s="2489"/>
    </row>
    <row r="148" spans="2:18" s="796" customFormat="1">
      <c r="B148" s="2487"/>
      <c r="C148" s="2487"/>
      <c r="D148" s="2487"/>
      <c r="E148" s="2487"/>
      <c r="F148" s="2487"/>
      <c r="G148" s="2488"/>
      <c r="H148" s="2487"/>
      <c r="I148" s="2488"/>
      <c r="J148" s="2487"/>
      <c r="K148" s="2487"/>
      <c r="L148" s="2488"/>
      <c r="M148" s="2487"/>
      <c r="N148" s="2487"/>
      <c r="O148" s="2488"/>
      <c r="P148" s="2487"/>
      <c r="Q148" s="2487"/>
      <c r="R148" s="2489"/>
    </row>
    <row r="149" spans="2:18" s="796" customFormat="1">
      <c r="B149" s="2487"/>
      <c r="C149" s="2487"/>
      <c r="D149" s="2487"/>
      <c r="E149" s="2487"/>
      <c r="F149" s="2487"/>
      <c r="G149" s="2488"/>
      <c r="H149" s="2487"/>
      <c r="I149" s="2488"/>
      <c r="J149" s="2487"/>
      <c r="K149" s="2487"/>
      <c r="L149" s="2488"/>
      <c r="M149" s="2487"/>
      <c r="N149" s="2487"/>
      <c r="O149" s="2488"/>
      <c r="P149" s="2487"/>
      <c r="Q149" s="2487"/>
      <c r="R149" s="2489"/>
    </row>
    <row r="150" spans="2:18" s="796" customFormat="1">
      <c r="B150" s="2487"/>
      <c r="C150" s="2487"/>
      <c r="D150" s="2487"/>
      <c r="E150" s="2487"/>
      <c r="F150" s="2487"/>
      <c r="G150" s="2488"/>
      <c r="H150" s="2487"/>
      <c r="I150" s="2488"/>
      <c r="J150" s="2487"/>
      <c r="K150" s="2487"/>
      <c r="L150" s="2488"/>
      <c r="M150" s="2487"/>
      <c r="N150" s="2487"/>
      <c r="O150" s="2488"/>
      <c r="P150" s="2487"/>
      <c r="Q150" s="2487"/>
      <c r="R150" s="2489"/>
    </row>
    <row r="151" spans="2:18" s="796" customFormat="1">
      <c r="B151" s="2487"/>
      <c r="C151" s="2487"/>
      <c r="D151" s="2487"/>
      <c r="E151" s="2487"/>
      <c r="F151" s="2487"/>
      <c r="G151" s="2488"/>
      <c r="H151" s="2487"/>
      <c r="I151" s="2488"/>
      <c r="J151" s="2487"/>
      <c r="K151" s="2487"/>
      <c r="L151" s="2488"/>
      <c r="M151" s="2487"/>
      <c r="N151" s="2487"/>
      <c r="O151" s="2488"/>
      <c r="P151" s="2487"/>
      <c r="Q151" s="2487"/>
      <c r="R151" s="2489"/>
    </row>
    <row r="152" spans="2:18" s="796" customFormat="1">
      <c r="B152" s="2487"/>
      <c r="C152" s="2487"/>
      <c r="D152" s="2487"/>
      <c r="E152" s="2487"/>
      <c r="F152" s="2487"/>
      <c r="G152" s="2488"/>
      <c r="H152" s="2487"/>
      <c r="I152" s="2488"/>
      <c r="J152" s="2487"/>
      <c r="K152" s="2487"/>
      <c r="L152" s="2488"/>
      <c r="M152" s="2487"/>
      <c r="N152" s="2487"/>
      <c r="O152" s="2488"/>
      <c r="P152" s="2487"/>
      <c r="Q152" s="2487"/>
      <c r="R152" s="2489"/>
    </row>
    <row r="153" spans="2:18" s="796" customFormat="1">
      <c r="B153" s="2487"/>
      <c r="C153" s="2487"/>
      <c r="D153" s="2487"/>
      <c r="E153" s="2487"/>
      <c r="F153" s="2487"/>
      <c r="G153" s="2488"/>
      <c r="H153" s="2487"/>
      <c r="I153" s="2488"/>
      <c r="J153" s="2487"/>
      <c r="K153" s="2487"/>
      <c r="L153" s="2488"/>
      <c r="M153" s="2487"/>
      <c r="N153" s="2487"/>
      <c r="O153" s="2488"/>
      <c r="P153" s="2487"/>
      <c r="Q153" s="2487"/>
      <c r="R153" s="2489"/>
    </row>
    <row r="154" spans="2:18" s="796" customFormat="1">
      <c r="B154" s="2487"/>
      <c r="C154" s="2487"/>
      <c r="D154" s="2487"/>
      <c r="E154" s="2487"/>
      <c r="F154" s="2487"/>
      <c r="G154" s="2488"/>
      <c r="H154" s="2487"/>
      <c r="I154" s="2488"/>
      <c r="J154" s="2487"/>
      <c r="K154" s="2487"/>
      <c r="L154" s="2488"/>
      <c r="M154" s="2487"/>
      <c r="N154" s="2487"/>
      <c r="O154" s="2488"/>
      <c r="P154" s="2487"/>
      <c r="Q154" s="2487"/>
      <c r="R154" s="2489"/>
    </row>
    <row r="155" spans="2:18" s="796" customFormat="1">
      <c r="B155" s="2487"/>
      <c r="C155" s="2487"/>
      <c r="D155" s="2487"/>
      <c r="E155" s="2487"/>
      <c r="F155" s="2487"/>
      <c r="G155" s="2488"/>
      <c r="H155" s="2487"/>
      <c r="I155" s="2488"/>
      <c r="J155" s="2487"/>
      <c r="K155" s="2487"/>
      <c r="L155" s="2488"/>
      <c r="M155" s="2487"/>
      <c r="N155" s="2487"/>
      <c r="O155" s="2488"/>
      <c r="P155" s="2487"/>
      <c r="Q155" s="2487"/>
      <c r="R155" s="2489"/>
    </row>
    <row r="156" spans="2:18" s="796" customFormat="1">
      <c r="B156" s="2487"/>
      <c r="C156" s="2487"/>
      <c r="D156" s="2487"/>
      <c r="E156" s="2487"/>
      <c r="F156" s="2487"/>
      <c r="G156" s="2488"/>
      <c r="H156" s="2487"/>
      <c r="I156" s="2488"/>
      <c r="J156" s="2487"/>
      <c r="K156" s="2487"/>
      <c r="L156" s="2488"/>
      <c r="M156" s="2487"/>
      <c r="N156" s="2487"/>
      <c r="O156" s="2488"/>
      <c r="P156" s="2487"/>
      <c r="Q156" s="2487"/>
      <c r="R156" s="2489"/>
    </row>
    <row r="157" spans="2:18" s="796" customFormat="1">
      <c r="B157" s="2487"/>
      <c r="C157" s="2487"/>
      <c r="D157" s="2487"/>
      <c r="E157" s="2487"/>
      <c r="F157" s="2487"/>
      <c r="G157" s="2488"/>
      <c r="H157" s="2487"/>
      <c r="I157" s="2488"/>
      <c r="J157" s="2487"/>
      <c r="K157" s="2487"/>
      <c r="L157" s="2488"/>
      <c r="M157" s="2487"/>
      <c r="N157" s="2487"/>
      <c r="O157" s="2488"/>
      <c r="P157" s="2487"/>
      <c r="Q157" s="2487"/>
      <c r="R157" s="2489"/>
    </row>
    <row r="158" spans="2:18" s="796" customFormat="1">
      <c r="B158" s="2487"/>
      <c r="C158" s="2487"/>
      <c r="D158" s="2487"/>
      <c r="E158" s="2487"/>
      <c r="F158" s="2487"/>
      <c r="G158" s="2488"/>
      <c r="H158" s="2487"/>
      <c r="I158" s="2488"/>
      <c r="J158" s="2487"/>
      <c r="K158" s="2487"/>
      <c r="L158" s="2488"/>
      <c r="M158" s="2487"/>
      <c r="N158" s="2487"/>
      <c r="O158" s="2488"/>
      <c r="P158" s="2487"/>
      <c r="Q158" s="2487"/>
      <c r="R158" s="2489"/>
    </row>
    <row r="159" spans="2:18" s="796" customFormat="1">
      <c r="B159" s="2487"/>
      <c r="C159" s="2487"/>
      <c r="D159" s="2487"/>
      <c r="E159" s="2487"/>
      <c r="F159" s="2487"/>
      <c r="G159" s="2488"/>
      <c r="H159" s="2487"/>
      <c r="I159" s="2488"/>
      <c r="J159" s="2487"/>
      <c r="K159" s="2487"/>
      <c r="L159" s="2488"/>
      <c r="M159" s="2487"/>
      <c r="N159" s="2487"/>
      <c r="O159" s="2488"/>
      <c r="P159" s="2487"/>
      <c r="Q159" s="2487"/>
      <c r="R159" s="2489"/>
    </row>
    <row r="160" spans="2:18" s="796" customFormat="1">
      <c r="B160" s="2487"/>
      <c r="C160" s="2487"/>
      <c r="D160" s="2487"/>
      <c r="E160" s="2487"/>
      <c r="F160" s="2487"/>
      <c r="G160" s="2488"/>
      <c r="H160" s="2487"/>
      <c r="I160" s="2488"/>
      <c r="J160" s="2487"/>
      <c r="K160" s="2487"/>
      <c r="L160" s="2488"/>
      <c r="M160" s="2487"/>
      <c r="N160" s="2487"/>
      <c r="O160" s="2488"/>
      <c r="P160" s="2487"/>
      <c r="Q160" s="2487"/>
      <c r="R160" s="2489"/>
    </row>
    <row r="161" spans="2:18" s="796" customFormat="1">
      <c r="B161" s="2487"/>
      <c r="C161" s="2487"/>
      <c r="D161" s="2487"/>
      <c r="E161" s="2487"/>
      <c r="F161" s="2487"/>
      <c r="G161" s="2488"/>
      <c r="H161" s="2487"/>
      <c r="I161" s="2488"/>
      <c r="J161" s="2487"/>
      <c r="K161" s="2487"/>
      <c r="L161" s="2488"/>
      <c r="M161" s="2487"/>
      <c r="N161" s="2487"/>
      <c r="O161" s="2488"/>
      <c r="P161" s="2487"/>
      <c r="Q161" s="2487"/>
      <c r="R161" s="2489"/>
    </row>
    <row r="162" spans="2:18" s="796" customFormat="1">
      <c r="B162" s="2487"/>
      <c r="C162" s="2487"/>
      <c r="D162" s="2487"/>
      <c r="E162" s="2487"/>
      <c r="F162" s="2487"/>
      <c r="G162" s="2488"/>
      <c r="H162" s="2487"/>
      <c r="I162" s="2488"/>
      <c r="J162" s="2487"/>
      <c r="K162" s="2487"/>
      <c r="L162" s="2488"/>
      <c r="M162" s="2487"/>
      <c r="N162" s="2487"/>
      <c r="O162" s="2488"/>
      <c r="P162" s="2487"/>
      <c r="Q162" s="2487"/>
      <c r="R162" s="2489"/>
    </row>
    <row r="163" spans="2:18" s="796" customFormat="1">
      <c r="B163" s="2487"/>
      <c r="C163" s="2487"/>
      <c r="D163" s="2487"/>
      <c r="E163" s="2487"/>
      <c r="F163" s="2487"/>
      <c r="G163" s="2488"/>
      <c r="H163" s="2487"/>
      <c r="I163" s="2488"/>
      <c r="J163" s="2487"/>
      <c r="K163" s="2487"/>
      <c r="L163" s="2488"/>
      <c r="M163" s="2487"/>
      <c r="N163" s="2487"/>
      <c r="O163" s="2488"/>
      <c r="P163" s="2487"/>
      <c r="Q163" s="2487"/>
      <c r="R163" s="2489"/>
    </row>
    <row r="164" spans="2:18" s="796" customFormat="1">
      <c r="B164" s="2487"/>
      <c r="C164" s="2487"/>
      <c r="D164" s="2487"/>
      <c r="E164" s="2487"/>
      <c r="F164" s="2487"/>
      <c r="G164" s="2488"/>
      <c r="H164" s="2487"/>
      <c r="I164" s="2488"/>
      <c r="J164" s="2487"/>
      <c r="K164" s="2487"/>
      <c r="L164" s="2488"/>
      <c r="M164" s="2487"/>
      <c r="N164" s="2487"/>
      <c r="O164" s="2488"/>
      <c r="P164" s="2487"/>
      <c r="Q164" s="2487"/>
      <c r="R164" s="2489"/>
    </row>
    <row r="165" spans="2:18" s="796" customFormat="1">
      <c r="B165" s="2487"/>
      <c r="C165" s="2487"/>
      <c r="D165" s="2487"/>
      <c r="E165" s="2487"/>
      <c r="F165" s="2487"/>
      <c r="G165" s="2488"/>
      <c r="H165" s="2487"/>
      <c r="I165" s="2488"/>
      <c r="J165" s="2487"/>
      <c r="K165" s="2487"/>
      <c r="L165" s="2488"/>
      <c r="M165" s="2487"/>
      <c r="N165" s="2487"/>
      <c r="O165" s="2488"/>
      <c r="P165" s="2487"/>
      <c r="Q165" s="2487"/>
      <c r="R165" s="2489"/>
    </row>
    <row r="166" spans="2:18" s="796" customFormat="1">
      <c r="B166" s="2487"/>
      <c r="C166" s="2487"/>
      <c r="D166" s="2487"/>
      <c r="E166" s="2487"/>
      <c r="F166" s="2487"/>
      <c r="G166" s="2488"/>
      <c r="H166" s="2487"/>
      <c r="I166" s="2488"/>
      <c r="J166" s="2487"/>
      <c r="K166" s="2487"/>
      <c r="L166" s="2488"/>
      <c r="M166" s="2487"/>
      <c r="N166" s="2487"/>
      <c r="O166" s="2488"/>
      <c r="P166" s="2487"/>
      <c r="Q166" s="2487"/>
      <c r="R166" s="2489"/>
    </row>
    <row r="167" spans="2:18" s="796" customFormat="1">
      <c r="B167" s="2487"/>
      <c r="C167" s="2487"/>
      <c r="D167" s="2487"/>
      <c r="E167" s="2487"/>
      <c r="F167" s="2487"/>
      <c r="G167" s="2488"/>
      <c r="H167" s="2487"/>
      <c r="I167" s="2488"/>
      <c r="J167" s="2487"/>
      <c r="K167" s="2487"/>
      <c r="L167" s="2488"/>
      <c r="M167" s="2487"/>
      <c r="N167" s="2487"/>
      <c r="O167" s="2488"/>
      <c r="P167" s="2487"/>
      <c r="Q167" s="2487"/>
      <c r="R167" s="2489"/>
    </row>
    <row r="168" spans="2:18" s="796" customFormat="1">
      <c r="B168" s="2487"/>
      <c r="C168" s="2487"/>
      <c r="D168" s="2487"/>
      <c r="E168" s="2487"/>
      <c r="F168" s="2487"/>
      <c r="G168" s="2488"/>
      <c r="H168" s="2487"/>
      <c r="I168" s="2488"/>
      <c r="J168" s="2487"/>
      <c r="K168" s="2487"/>
      <c r="L168" s="2488"/>
      <c r="M168" s="2487"/>
      <c r="N168" s="2487"/>
      <c r="O168" s="2488"/>
      <c r="P168" s="2487"/>
      <c r="Q168" s="2487"/>
      <c r="R168" s="2489"/>
    </row>
    <row r="169" spans="2:18" s="796" customFormat="1">
      <c r="B169" s="2487"/>
      <c r="C169" s="2487"/>
      <c r="D169" s="2487"/>
      <c r="E169" s="2487"/>
      <c r="F169" s="2487"/>
      <c r="G169" s="2488"/>
      <c r="H169" s="2487"/>
      <c r="I169" s="2488"/>
      <c r="J169" s="2487"/>
      <c r="K169" s="2487"/>
      <c r="L169" s="2488"/>
      <c r="M169" s="2487"/>
      <c r="N169" s="2487"/>
      <c r="O169" s="2488"/>
      <c r="P169" s="2487"/>
      <c r="Q169" s="2487"/>
      <c r="R169" s="2489"/>
    </row>
    <row r="170" spans="2:18" s="796" customFormat="1">
      <c r="B170" s="2487"/>
      <c r="C170" s="2487"/>
      <c r="D170" s="2487"/>
      <c r="E170" s="2487"/>
      <c r="F170" s="2487"/>
      <c r="G170" s="2488"/>
      <c r="H170" s="2487"/>
      <c r="I170" s="2488"/>
      <c r="J170" s="2487"/>
      <c r="K170" s="2487"/>
      <c r="L170" s="2488"/>
      <c r="M170" s="2487"/>
      <c r="N170" s="2487"/>
      <c r="O170" s="2488"/>
      <c r="P170" s="2487"/>
      <c r="Q170" s="2487"/>
      <c r="R170" s="2489"/>
    </row>
    <row r="171" spans="2:18" s="796" customFormat="1">
      <c r="B171" s="2487"/>
      <c r="C171" s="2487"/>
      <c r="D171" s="2487"/>
      <c r="E171" s="2487"/>
      <c r="F171" s="2487"/>
      <c r="G171" s="2488"/>
      <c r="H171" s="2487"/>
      <c r="I171" s="2488"/>
      <c r="J171" s="2487"/>
      <c r="K171" s="2487"/>
      <c r="L171" s="2488"/>
      <c r="M171" s="2487"/>
      <c r="N171" s="2487"/>
      <c r="O171" s="2488"/>
      <c r="P171" s="2487"/>
      <c r="Q171" s="2487"/>
      <c r="R171" s="2489"/>
    </row>
    <row r="172" spans="2:18" s="796" customFormat="1">
      <c r="B172" s="2487"/>
      <c r="C172" s="2487"/>
      <c r="D172" s="2487"/>
      <c r="E172" s="2487"/>
      <c r="F172" s="2487"/>
      <c r="G172" s="2488"/>
      <c r="H172" s="2487"/>
      <c r="I172" s="2488"/>
      <c r="J172" s="2487"/>
      <c r="K172" s="2487"/>
      <c r="L172" s="2488"/>
      <c r="M172" s="2487"/>
      <c r="N172" s="2487"/>
      <c r="O172" s="2488"/>
      <c r="P172" s="2487"/>
      <c r="Q172" s="2487"/>
      <c r="R172" s="2489"/>
    </row>
    <row r="173" spans="2:18" s="796" customFormat="1">
      <c r="B173" s="2487"/>
      <c r="C173" s="2487"/>
      <c r="D173" s="2487"/>
      <c r="E173" s="2487"/>
      <c r="F173" s="2487"/>
      <c r="G173" s="2488"/>
      <c r="H173" s="2487"/>
      <c r="I173" s="2488"/>
      <c r="J173" s="2487"/>
      <c r="K173" s="2487"/>
      <c r="L173" s="2488"/>
      <c r="M173" s="2487"/>
      <c r="N173" s="2487"/>
      <c r="O173" s="2488"/>
      <c r="P173" s="2487"/>
      <c r="Q173" s="2487"/>
      <c r="R173" s="2489"/>
    </row>
    <row r="174" spans="2:18" s="796" customFormat="1">
      <c r="B174" s="2487"/>
      <c r="C174" s="2487"/>
      <c r="D174" s="2487"/>
      <c r="E174" s="2487"/>
      <c r="F174" s="2487"/>
      <c r="G174" s="2488"/>
      <c r="H174" s="2487"/>
      <c r="I174" s="2488"/>
      <c r="J174" s="2487"/>
      <c r="K174" s="2487"/>
      <c r="L174" s="2488"/>
      <c r="M174" s="2487"/>
      <c r="N174" s="2487"/>
      <c r="O174" s="2488"/>
      <c r="P174" s="2487"/>
      <c r="Q174" s="2487"/>
      <c r="R174" s="2489"/>
    </row>
    <row r="175" spans="2:18" s="796" customFormat="1">
      <c r="B175" s="2487"/>
      <c r="C175" s="2487"/>
      <c r="D175" s="2487"/>
      <c r="E175" s="2487"/>
      <c r="F175" s="2487"/>
      <c r="G175" s="2488"/>
      <c r="H175" s="2487"/>
      <c r="I175" s="2488"/>
      <c r="J175" s="2487"/>
      <c r="K175" s="2487"/>
      <c r="L175" s="2488"/>
      <c r="M175" s="2487"/>
      <c r="N175" s="2487"/>
      <c r="O175" s="2488"/>
      <c r="P175" s="2487"/>
      <c r="Q175" s="2487"/>
      <c r="R175" s="2489"/>
    </row>
    <row r="176" spans="2:18" s="796" customFormat="1">
      <c r="B176" s="2487"/>
      <c r="C176" s="2487"/>
      <c r="D176" s="2487"/>
      <c r="E176" s="2487"/>
      <c r="F176" s="2487"/>
      <c r="G176" s="2488"/>
      <c r="H176" s="2487"/>
      <c r="I176" s="2488"/>
      <c r="J176" s="2487"/>
      <c r="K176" s="2487"/>
      <c r="L176" s="2488"/>
      <c r="M176" s="2487"/>
      <c r="N176" s="2487"/>
      <c r="O176" s="2488"/>
      <c r="P176" s="2487"/>
      <c r="Q176" s="2487"/>
      <c r="R176" s="2489"/>
    </row>
    <row r="177" spans="1:18" s="796" customFormat="1">
      <c r="B177" s="2487"/>
      <c r="C177" s="2487"/>
      <c r="D177" s="2487"/>
      <c r="E177" s="2487"/>
      <c r="F177" s="2487"/>
      <c r="G177" s="2488"/>
      <c r="H177" s="2487"/>
      <c r="I177" s="2488"/>
      <c r="J177" s="2487"/>
      <c r="K177" s="2487"/>
      <c r="L177" s="2488"/>
      <c r="M177" s="2487"/>
      <c r="N177" s="2487"/>
      <c r="O177" s="2488"/>
      <c r="P177" s="2487"/>
      <c r="Q177" s="2487"/>
      <c r="R177" s="2489"/>
    </row>
    <row r="178" spans="1:18" s="796" customFormat="1">
      <c r="B178" s="2487"/>
      <c r="C178" s="2487"/>
      <c r="D178" s="2487"/>
      <c r="E178" s="2487"/>
      <c r="F178" s="2487"/>
      <c r="G178" s="2488"/>
      <c r="H178" s="2487"/>
      <c r="I178" s="2488"/>
      <c r="J178" s="2487"/>
      <c r="K178" s="2487"/>
      <c r="L178" s="2488"/>
      <c r="M178" s="2487"/>
      <c r="N178" s="2487"/>
      <c r="O178" s="2488"/>
      <c r="P178" s="2487"/>
      <c r="Q178" s="2487"/>
      <c r="R178" s="2489"/>
    </row>
    <row r="179" spans="1:18" s="796" customFormat="1">
      <c r="B179" s="2487"/>
      <c r="C179" s="2487"/>
      <c r="D179" s="2487"/>
      <c r="E179" s="2487"/>
      <c r="F179" s="2487"/>
      <c r="G179" s="2488"/>
      <c r="H179" s="2487"/>
      <c r="I179" s="2488"/>
      <c r="J179" s="2487"/>
      <c r="K179" s="2487"/>
      <c r="L179" s="2488"/>
      <c r="M179" s="2487"/>
      <c r="N179" s="2487"/>
      <c r="O179" s="2488"/>
      <c r="P179" s="2487"/>
      <c r="Q179" s="2487"/>
      <c r="R179" s="2489"/>
    </row>
    <row r="180" spans="1:18" s="796" customFormat="1">
      <c r="B180" s="2487"/>
      <c r="C180" s="2487"/>
      <c r="D180" s="2487"/>
      <c r="E180" s="2487"/>
      <c r="F180" s="2487"/>
      <c r="G180" s="2488"/>
      <c r="H180" s="2487"/>
      <c r="I180" s="2488"/>
      <c r="J180" s="2487"/>
      <c r="K180" s="2487"/>
      <c r="L180" s="2488"/>
      <c r="M180" s="2487"/>
      <c r="N180" s="2487"/>
      <c r="O180" s="2488"/>
      <c r="P180" s="2487"/>
      <c r="Q180" s="2487"/>
      <c r="R180" s="2489"/>
    </row>
    <row r="181" spans="1:18" s="796" customFormat="1">
      <c r="B181" s="2487"/>
      <c r="C181" s="2487"/>
      <c r="D181" s="2487"/>
      <c r="E181" s="2487"/>
      <c r="F181" s="2487"/>
      <c r="G181" s="2488"/>
      <c r="H181" s="2487"/>
      <c r="I181" s="2488"/>
      <c r="J181" s="2487"/>
      <c r="K181" s="2487"/>
      <c r="L181" s="2488"/>
      <c r="M181" s="2487"/>
      <c r="N181" s="2487"/>
      <c r="O181" s="2488"/>
      <c r="P181" s="2487"/>
      <c r="Q181" s="2487"/>
      <c r="R181" s="2489"/>
    </row>
    <row r="182" spans="1:18" s="796" customFormat="1">
      <c r="B182" s="2487"/>
      <c r="C182" s="2487"/>
      <c r="D182" s="2487"/>
      <c r="E182" s="2487"/>
      <c r="F182" s="2487"/>
      <c r="G182" s="2488"/>
      <c r="H182" s="2487"/>
      <c r="I182" s="2488"/>
      <c r="J182" s="2487"/>
      <c r="K182" s="2487"/>
      <c r="L182" s="2488"/>
      <c r="M182" s="2487"/>
      <c r="N182" s="2487"/>
      <c r="O182" s="2488"/>
      <c r="P182" s="2487"/>
      <c r="Q182" s="2487"/>
      <c r="R182" s="2489"/>
    </row>
    <row r="183" spans="1:18" s="796" customFormat="1">
      <c r="B183" s="2487"/>
      <c r="C183" s="2487"/>
      <c r="D183" s="2487"/>
      <c r="E183" s="2487"/>
      <c r="F183" s="2487"/>
      <c r="G183" s="2488"/>
      <c r="H183" s="2487"/>
      <c r="I183" s="2488"/>
      <c r="J183" s="2487"/>
      <c r="K183" s="2487"/>
      <c r="L183" s="2488"/>
      <c r="M183" s="2487"/>
      <c r="N183" s="2487"/>
      <c r="O183" s="2488"/>
      <c r="P183" s="2487"/>
      <c r="Q183" s="2487"/>
      <c r="R183" s="2489"/>
    </row>
    <row r="184" spans="1:18" s="796" customFormat="1">
      <c r="B184" s="2487"/>
      <c r="C184" s="2487"/>
      <c r="D184" s="2487"/>
      <c r="E184" s="2487"/>
      <c r="F184" s="2487"/>
      <c r="G184" s="2488"/>
      <c r="H184" s="2487"/>
      <c r="I184" s="2488"/>
      <c r="J184" s="2487"/>
      <c r="K184" s="2487"/>
      <c r="L184" s="2488"/>
      <c r="M184" s="2487"/>
      <c r="N184" s="2487"/>
      <c r="O184" s="2488"/>
      <c r="P184" s="2487"/>
      <c r="Q184" s="2487"/>
      <c r="R184" s="2489"/>
    </row>
    <row r="185" spans="1:18" s="796"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6"/>
      <c r="B186" s="2487"/>
      <c r="C186" s="2487"/>
      <c r="E186" s="2487"/>
      <c r="F186" s="2487"/>
      <c r="G186" s="2488"/>
    </row>
    <row r="187" spans="1:18">
      <c r="A187" s="796"/>
      <c r="B187" s="2487"/>
      <c r="C187" s="2487"/>
      <c r="E187" s="2487"/>
      <c r="F187" s="2487"/>
      <c r="G187" s="248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36" sqref="D36"/>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226846.22999999989</v>
      </c>
      <c r="C1" s="2682"/>
      <c r="D1" s="2682"/>
      <c r="E1" s="2682"/>
      <c r="F1" s="2682"/>
      <c r="G1" s="2683"/>
      <c r="H1" s="2684"/>
      <c r="I1" s="2684"/>
      <c r="J1" s="2684"/>
      <c r="K1" s="2684"/>
    </row>
    <row r="2" spans="1:11" ht="16.5">
      <c r="A2" s="2508" t="s">
        <v>653</v>
      </c>
      <c r="B2" s="2508">
        <f>SUM(C14:C23)</f>
        <v>15635.46</v>
      </c>
      <c r="C2" s="2682"/>
      <c r="D2" s="2682"/>
      <c r="E2" s="2682"/>
      <c r="F2" s="2682"/>
      <c r="G2" s="2683"/>
      <c r="H2" s="2684"/>
      <c r="I2" s="2684"/>
      <c r="J2" s="2684"/>
      <c r="K2" s="2684"/>
    </row>
    <row r="3" spans="1:11" ht="16.5">
      <c r="A3" s="2508" t="s">
        <v>662</v>
      </c>
      <c r="B3" s="2510">
        <f>项目基本情况!D3</f>
        <v>45005</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355043</v>
      </c>
      <c r="C5" s="2508">
        <f ca="1">IF(B5=D14,结果表!H102,ROUND(B5*10000/$B$1,0))</f>
        <v>15651</v>
      </c>
      <c r="D5" s="2508">
        <f ca="1">ROUND(B5*10000/$B$2,0)</f>
        <v>227076</v>
      </c>
      <c r="E5" s="2682"/>
      <c r="F5" s="2683"/>
      <c r="G5" s="2683"/>
      <c r="H5" s="2684"/>
      <c r="I5" s="2684"/>
      <c r="J5" s="2684"/>
      <c r="K5" s="2684"/>
    </row>
    <row r="6" spans="1:11" ht="16.5">
      <c r="A6" s="2508" t="s">
        <v>656</v>
      </c>
      <c r="B6" s="2508">
        <f>SUM(G14:G23)</f>
        <v>0</v>
      </c>
      <c r="C6" s="2508">
        <f ca="1">IF(B6=G14,结果表!H108,ROUND(B6*10000/$B$1,0))</f>
        <v>15475</v>
      </c>
      <c r="D6" s="2508">
        <f>ROUND(B6*10000/$B$2,0)</f>
        <v>0</v>
      </c>
      <c r="E6" s="2682"/>
      <c r="F6" s="2683"/>
      <c r="G6" s="2683"/>
      <c r="H6" s="2684"/>
      <c r="I6" s="2684"/>
      <c r="J6" s="2684"/>
      <c r="K6" s="2684"/>
    </row>
    <row r="7" spans="1:11" ht="16.5">
      <c r="A7" s="2508" t="s">
        <v>664</v>
      </c>
      <c r="B7" s="2508">
        <f>SUM(H14:H23)</f>
        <v>0</v>
      </c>
      <c r="C7" s="2508" t="str">
        <f>IF(B7=H14,结果表!H110,ROUND(B7*10000/$B$1,0))</f>
        <v>——</v>
      </c>
      <c r="D7" s="2508">
        <f>ROUND(B7*10000/$B$2,0)</f>
        <v>0</v>
      </c>
      <c r="E7" s="2682"/>
      <c r="F7" s="2683"/>
      <c r="G7" s="2683"/>
      <c r="H7" s="2684"/>
      <c r="I7" s="2684"/>
      <c r="J7" s="2684"/>
      <c r="K7" s="2684"/>
    </row>
    <row r="8" spans="1:11" ht="16.5">
      <c r="A8" s="2508" t="s">
        <v>587</v>
      </c>
      <c r="B8" s="2508">
        <f>SUM(I14:I23)</f>
        <v>0</v>
      </c>
      <c r="C8" s="2508" t="str">
        <f>IF(B8=I14,结果表!H112,ROUND(B8*10000/$B$1,0))</f>
        <v>——</v>
      </c>
      <c r="D8" s="2508">
        <f>ROUND(B8*10000/$B$2,0)</f>
        <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3361</v>
      </c>
      <c r="D10" s="2508" t="s">
        <v>3362</v>
      </c>
      <c r="E10" s="3437"/>
      <c r="F10" s="3441" t="s">
        <v>3363</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f>结果表!B118</f>
        <v>226846.22999999989</v>
      </c>
      <c r="C14" s="2514">
        <f>结果表!C118</f>
        <v>15635.46</v>
      </c>
      <c r="D14" s="2514">
        <f ca="1">结果表!H118</f>
        <v>355043</v>
      </c>
      <c r="E14" s="2514">
        <f ca="1">ROUND(D14*10000/B14,0)</f>
        <v>15651</v>
      </c>
      <c r="F14" s="2514">
        <f ca="1">ROUND(D14*10000/C14,0)</f>
        <v>227076</v>
      </c>
      <c r="G14" s="2514"/>
      <c r="H14" s="2514"/>
      <c r="I14" s="2514"/>
      <c r="J14" s="2683"/>
      <c r="K14" s="2684"/>
    </row>
    <row r="15" spans="1:11" ht="16.5">
      <c r="A15" s="2513" t="s">
        <v>649</v>
      </c>
      <c r="B15" s="2515"/>
      <c r="C15" s="2515"/>
      <c r="D15" s="2515"/>
      <c r="E15" s="2514" t="e">
        <f t="shared" ref="E15:E23" si="0">ROUND(D15*10000/B15,0)</f>
        <v>#DIV/0!</v>
      </c>
      <c r="F15" s="2514" t="e">
        <f t="shared" ref="F15:F23" si="1">ROUND(D15*10000/C15,0)</f>
        <v>#DIV/0!</v>
      </c>
      <c r="G15" s="1327"/>
      <c r="H15" s="1327"/>
      <c r="I15" s="2515"/>
      <c r="J15" s="2683"/>
      <c r="K15" s="2684"/>
    </row>
    <row r="16" spans="1:11" ht="16.5">
      <c r="A16" s="2513" t="s">
        <v>648</v>
      </c>
      <c r="B16" s="2515"/>
      <c r="C16" s="2515"/>
      <c r="D16" s="2515"/>
      <c r="E16" s="2514" t="e">
        <f t="shared" si="0"/>
        <v>#DIV/0!</v>
      </c>
      <c r="F16" s="2514" t="e">
        <f t="shared" si="1"/>
        <v>#DIV/0!</v>
      </c>
      <c r="G16" s="1327"/>
      <c r="H16" s="1327"/>
      <c r="I16" s="2515"/>
      <c r="J16" s="2684"/>
      <c r="K16" s="2684"/>
    </row>
    <row r="17" spans="1:11" ht="16.5">
      <c r="A17" s="2513" t="s">
        <v>647</v>
      </c>
      <c r="B17" s="2515"/>
      <c r="C17" s="2515"/>
      <c r="D17" s="2515"/>
      <c r="E17" s="2514" t="e">
        <f t="shared" si="0"/>
        <v>#DIV/0!</v>
      </c>
      <c r="F17" s="2514" t="e">
        <f t="shared" si="1"/>
        <v>#DIV/0!</v>
      </c>
      <c r="G17" s="1327"/>
      <c r="H17" s="1327"/>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1" zoomScale="80" zoomScaleNormal="100" zoomScaleSheetLayoutView="80" zoomScalePageLayoutView="80" workbookViewId="0">
      <selection activeCell="K105" sqref="K105"/>
    </sheetView>
  </sheetViews>
  <sheetFormatPr defaultColWidth="12.625" defaultRowHeight="21.75" customHeight="1"/>
  <cols>
    <col min="1" max="2" width="12.625" style="1749"/>
    <col min="3" max="4" width="12.625" style="1749" customWidth="1"/>
    <col min="5" max="9" width="12.625" style="1749"/>
    <col min="10" max="11" width="12.625" style="725" customWidth="1"/>
    <col min="12" max="12" width="12.625" style="725"/>
    <col min="13" max="13" width="14.125" style="725" bestFit="1" customWidth="1"/>
    <col min="14" max="26" width="12.625" style="725"/>
    <col min="27" max="35" width="12.625" style="1748"/>
    <col min="36" max="16384" width="12.625" style="1749"/>
  </cols>
  <sheetData>
    <row r="1" spans="1:12" ht="21.75" customHeight="1" thickBot="1">
      <c r="A1" s="1633" t="s">
        <v>1262</v>
      </c>
      <c r="B1" s="1743"/>
      <c r="C1" s="1744"/>
      <c r="D1" s="1743"/>
      <c r="E1" s="1743"/>
      <c r="F1" s="1745" t="s">
        <v>1263</v>
      </c>
      <c r="G1" s="1557"/>
      <c r="H1" s="1746" t="str">
        <f>IF(G1="现房","——","估价对象范围")</f>
        <v>估价对象范围</v>
      </c>
      <c r="I1" s="1747"/>
    </row>
    <row r="2" spans="1:12" ht="21.75" customHeight="1" thickBot="1">
      <c r="A2" s="3671" t="str">
        <f>项目基本情况!S2</f>
        <v>房地产</v>
      </c>
      <c r="B2" s="3672"/>
      <c r="C2" s="3672"/>
      <c r="D2" s="3672"/>
      <c r="E2" s="3672"/>
      <c r="F2" s="3672"/>
      <c r="G2" s="3672"/>
      <c r="H2" s="3672"/>
      <c r="I2" s="3673"/>
    </row>
    <row r="3" spans="1:12" ht="12.75">
      <c r="A3" s="3675" t="s">
        <v>1264</v>
      </c>
      <c r="B3" s="3676"/>
      <c r="C3" s="3676"/>
      <c r="D3" s="3676"/>
      <c r="E3" s="3676"/>
      <c r="F3" s="3676"/>
      <c r="G3" s="3676"/>
      <c r="H3" s="3676"/>
      <c r="I3" s="3676"/>
    </row>
    <row r="4" spans="1:12" ht="14.25">
      <c r="A4" s="1750" t="s">
        <v>1265</v>
      </c>
      <c r="B4" s="1751" t="s">
        <v>1266</v>
      </c>
      <c r="C4" s="1752" t="s">
        <v>3956</v>
      </c>
      <c r="D4" s="1752" t="s">
        <v>3957</v>
      </c>
      <c r="E4" s="3680" t="s">
        <v>1267</v>
      </c>
      <c r="F4" s="3681"/>
      <c r="G4" s="3681"/>
      <c r="H4" s="3681"/>
      <c r="I4" s="3682"/>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619" t="s">
        <v>1268</v>
      </c>
      <c r="B5" s="3674">
        <v>25</v>
      </c>
      <c r="C5" s="3677"/>
      <c r="D5" s="3665"/>
      <c r="E5" s="131" t="s">
        <v>1269</v>
      </c>
      <c r="F5" s="1753"/>
      <c r="G5" s="1753"/>
      <c r="H5" s="1753"/>
      <c r="I5" s="1369"/>
    </row>
    <row r="6" spans="1:12" ht="12.75">
      <c r="A6" s="3619"/>
      <c r="B6" s="3674"/>
      <c r="C6" s="3679"/>
      <c r="D6" s="3665"/>
      <c r="E6" s="131" t="s">
        <v>1270</v>
      </c>
      <c r="F6" s="1753"/>
      <c r="G6" s="1753"/>
      <c r="H6" s="1753"/>
      <c r="I6" s="1369"/>
    </row>
    <row r="7" spans="1:12" ht="12.75">
      <c r="A7" s="3619"/>
      <c r="B7" s="3674"/>
      <c r="C7" s="3678"/>
      <c r="D7" s="3665"/>
      <c r="E7" s="131" t="s">
        <v>1271</v>
      </c>
      <c r="F7" s="1753"/>
      <c r="G7" s="1753"/>
      <c r="H7" s="1753"/>
      <c r="I7" s="1369"/>
    </row>
    <row r="8" spans="1:12" ht="12.75">
      <c r="A8" s="3619" t="s">
        <v>1272</v>
      </c>
      <c r="B8" s="3674">
        <v>15</v>
      </c>
      <c r="C8" s="3677"/>
      <c r="D8" s="3665"/>
      <c r="E8" s="131" t="s">
        <v>1273</v>
      </c>
      <c r="F8" s="1753"/>
      <c r="G8" s="1753"/>
      <c r="H8" s="1753"/>
      <c r="I8" s="1369"/>
    </row>
    <row r="9" spans="1:12" ht="12.75">
      <c r="A9" s="3619"/>
      <c r="B9" s="3674"/>
      <c r="C9" s="3678"/>
      <c r="D9" s="3665"/>
      <c r="E9" s="131" t="s">
        <v>1274</v>
      </c>
      <c r="F9" s="1753"/>
      <c r="G9" s="1753"/>
      <c r="H9" s="1753"/>
      <c r="I9" s="1369"/>
    </row>
    <row r="10" spans="1:12" ht="12.75">
      <c r="A10" s="3619" t="s">
        <v>1275</v>
      </c>
      <c r="B10" s="3674">
        <v>15</v>
      </c>
      <c r="C10" s="3677"/>
      <c r="D10" s="3665"/>
      <c r="E10" s="131" t="s">
        <v>1276</v>
      </c>
      <c r="F10" s="1753"/>
      <c r="G10" s="1753"/>
      <c r="H10" s="1753"/>
      <c r="I10" s="1369"/>
    </row>
    <row r="11" spans="1:12" ht="12.75">
      <c r="A11" s="3619"/>
      <c r="B11" s="3674"/>
      <c r="C11" s="3678"/>
      <c r="D11" s="3665"/>
      <c r="E11" s="131" t="s">
        <v>1277</v>
      </c>
      <c r="F11" s="1753"/>
      <c r="G11" s="1753"/>
      <c r="H11" s="1753"/>
      <c r="I11" s="1369"/>
    </row>
    <row r="12" spans="1:12" ht="12.75">
      <c r="A12" s="3619" t="s">
        <v>1278</v>
      </c>
      <c r="B12" s="3674">
        <v>15</v>
      </c>
      <c r="C12" s="3677"/>
      <c r="D12" s="3665"/>
      <c r="E12" s="131" t="s">
        <v>1279</v>
      </c>
      <c r="F12" s="1753"/>
      <c r="G12" s="1753"/>
      <c r="H12" s="1753"/>
      <c r="I12" s="1369"/>
    </row>
    <row r="13" spans="1:12" ht="12.75">
      <c r="A13" s="3619"/>
      <c r="B13" s="3674"/>
      <c r="C13" s="3678"/>
      <c r="D13" s="3665"/>
      <c r="E13" s="131" t="s">
        <v>1280</v>
      </c>
      <c r="F13" s="1753"/>
      <c r="G13" s="1753"/>
      <c r="H13" s="1753"/>
      <c r="I13" s="1369"/>
    </row>
    <row r="14" spans="1:12" ht="12.75">
      <c r="A14" s="3619" t="s">
        <v>1281</v>
      </c>
      <c r="B14" s="3674">
        <v>30</v>
      </c>
      <c r="C14" s="3677">
        <v>5</v>
      </c>
      <c r="D14" s="3665">
        <v>5</v>
      </c>
      <c r="E14" s="131" t="s">
        <v>1282</v>
      </c>
      <c r="F14" s="1753"/>
      <c r="G14" s="1753"/>
      <c r="H14" s="1753"/>
      <c r="I14" s="1369"/>
    </row>
    <row r="15" spans="1:12" ht="12.75">
      <c r="A15" s="3619"/>
      <c r="B15" s="3674"/>
      <c r="C15" s="3679"/>
      <c r="D15" s="3665"/>
      <c r="E15" s="131" t="s">
        <v>1283</v>
      </c>
      <c r="F15" s="1753"/>
      <c r="G15" s="1753"/>
      <c r="H15" s="1753"/>
      <c r="I15" s="1369"/>
    </row>
    <row r="16" spans="1:12" ht="12.75">
      <c r="A16" s="3619"/>
      <c r="B16" s="3674"/>
      <c r="C16" s="3678"/>
      <c r="D16" s="3665"/>
      <c r="E16" s="131" t="s">
        <v>1284</v>
      </c>
      <c r="F16" s="1753"/>
      <c r="G16" s="1753"/>
      <c r="H16" s="1753"/>
      <c r="I16" s="1369"/>
    </row>
    <row r="17" spans="1:36" ht="15">
      <c r="A17" s="1754" t="s">
        <v>1285</v>
      </c>
      <c r="B17" s="56"/>
      <c r="C17" s="132">
        <f>SUM(C5:C16)</f>
        <v>5</v>
      </c>
      <c r="D17" s="132">
        <f>SUM(D5:D16)</f>
        <v>5</v>
      </c>
      <c r="E17" s="129"/>
      <c r="F17" s="129"/>
      <c r="G17" s="129"/>
      <c r="H17" s="129"/>
      <c r="I17" s="129"/>
      <c r="K17" s="302"/>
      <c r="L17" s="302" t="s">
        <v>1286</v>
      </c>
      <c r="M17" s="302" t="s">
        <v>1287</v>
      </c>
    </row>
    <row r="18" spans="1:36" ht="31.9" customHeight="1" thickBot="1">
      <c r="A18" s="1755" t="s">
        <v>1288</v>
      </c>
      <c r="B18" s="1756"/>
      <c r="C18" s="133">
        <f>ROUND(C17/SUM(C17:D17),2)</f>
        <v>0.5</v>
      </c>
      <c r="D18" s="133">
        <f>1-C18</f>
        <v>0.5</v>
      </c>
      <c r="E18" s="3696" t="s">
        <v>2130</v>
      </c>
      <c r="F18" s="3697"/>
      <c r="G18" s="3697"/>
      <c r="H18" s="3697"/>
      <c r="I18" s="3697"/>
      <c r="K18" s="302" t="s">
        <v>1289</v>
      </c>
      <c r="L18" s="302">
        <f>IF(C1="",'数据-汇总表'!E3,SUMIF(项目类型,C1,'数据-汇总表'!E17:E26)+SUMIF(项目类型,C1,'数据-汇总表'!I17:I26))</f>
        <v>226846.22999999989</v>
      </c>
      <c r="M18" s="302">
        <f>IF(C1="",'数据-汇总表'!E3,SUMIF(项目类型,C1,'数据-汇总表'!E17:E26))</f>
        <v>226846.22999999989</v>
      </c>
    </row>
    <row r="19" spans="1:36" ht="15">
      <c r="A19" s="1757" t="s">
        <v>1290</v>
      </c>
      <c r="B19" s="1758" t="s">
        <v>1291</v>
      </c>
      <c r="C19" s="134">
        <f ca="1">SUMIF(INDIRECT("'"&amp;C4&amp;"'"&amp;"!A:A"),结果表!B19,INDIRECT("'"&amp;C4&amp;"'"&amp;"!B:B"))</f>
        <v>363698</v>
      </c>
      <c r="D19" s="135">
        <f ca="1">SUMIF(INDIRECT("'"&amp;D4&amp;"'"&amp;"!A:A"),结果表!B19,INDIRECT("'"&amp;D4&amp;"'"&amp;"!B:B"))</f>
        <v>346387</v>
      </c>
      <c r="E19" s="1757" t="s">
        <v>1292</v>
      </c>
      <c r="F19" s="1758" t="s">
        <v>1291</v>
      </c>
      <c r="G19" s="136">
        <f ca="1">ROUND(C19*$C$18+D19*$D$18,0)</f>
        <v>355043</v>
      </c>
      <c r="H19" s="1759" t="s">
        <v>1293</v>
      </c>
      <c r="I19" s="129"/>
      <c r="K19" s="302" t="s">
        <v>1294</v>
      </c>
      <c r="L19" s="302">
        <f>IF(C1="",'数据-汇总表'!D3,SUMIF(项目类型,C1,'数据-汇总表'!D17:D26)+SUMIF(项目类型,C1,'数据-汇总表'!H17:H27))</f>
        <v>15635.46</v>
      </c>
      <c r="M19" s="302">
        <f>IF(C1="",'数据-汇总表'!D3,SUMIF(项目类型,C1,'数据-汇总表'!D17:D26))</f>
        <v>15635.46</v>
      </c>
    </row>
    <row r="20" spans="1:36" ht="15">
      <c r="A20" s="1760"/>
      <c r="B20" s="1023" t="s">
        <v>1295</v>
      </c>
      <c r="C20" s="137">
        <f ca="1">SUMIF(INDIRECT("'"&amp;C4&amp;"'"&amp;"!A:A"),结果表!B20,INDIRECT("'"&amp;C4&amp;"'"&amp;"!B:B"))</f>
        <v>16033</v>
      </c>
      <c r="D20" s="138">
        <f ca="1">SUMIF(INDIRECT("'"&amp;D4&amp;"'"&amp;"!A:A"),结果表!B20,INDIRECT("'"&amp;D4&amp;"'"&amp;"!B:B"))</f>
        <v>15270</v>
      </c>
      <c r="E20" s="1760"/>
      <c r="F20" s="1023" t="s">
        <v>1295</v>
      </c>
      <c r="G20" s="139">
        <f ca="1">ROUND(C20*$C$18+D20*$D$18,0)</f>
        <v>15652</v>
      </c>
      <c r="H20" s="805" t="s">
        <v>1296</v>
      </c>
      <c r="I20" s="129"/>
    </row>
    <row r="21" spans="1:36" ht="15" customHeight="1" thickBot="1">
      <c r="A21" s="825"/>
      <c r="B21" s="1761" t="s">
        <v>1297</v>
      </c>
      <c r="C21" s="719">
        <f ca="1">ROUND(C19*10000/L19,0)</f>
        <v>232611</v>
      </c>
      <c r="D21" s="720">
        <f ca="1">ROUND(D19*10000/L19,0)</f>
        <v>221539</v>
      </c>
      <c r="E21" s="825"/>
      <c r="F21" s="1761" t="s">
        <v>1297</v>
      </c>
      <c r="G21" s="140">
        <f ca="1">ROUND(G19*10000/L19,0)</f>
        <v>227076</v>
      </c>
      <c r="H21" s="1762" t="s">
        <v>1296</v>
      </c>
      <c r="I21" s="129"/>
    </row>
    <row r="22" spans="1:36" ht="15" thickBot="1">
      <c r="A22" s="1684" t="s">
        <v>1298</v>
      </c>
      <c r="B22" s="1763"/>
      <c r="C22" s="1764"/>
      <c r="D22" s="721">
        <f ca="1">IF(C19&lt;D19,D19/C19-1,C19/D19-1)</f>
        <v>4.9975894014498312E-2</v>
      </c>
      <c r="E22" s="129"/>
      <c r="F22" s="129"/>
      <c r="G22" s="129"/>
      <c r="H22" s="129"/>
      <c r="I22" s="129"/>
    </row>
    <row r="23" spans="1:36" ht="13.5" thickBot="1">
      <c r="A23" s="1743"/>
      <c r="B23" s="1743"/>
      <c r="C23" s="1743"/>
      <c r="D23" s="1743"/>
      <c r="E23" s="129"/>
      <c r="F23" s="129"/>
      <c r="G23" s="129"/>
      <c r="H23" s="129"/>
      <c r="I23" s="129"/>
    </row>
    <row r="24" spans="1:36" ht="14.25">
      <c r="A24" s="3689" t="s">
        <v>1299</v>
      </c>
      <c r="B24" s="1758" t="s">
        <v>1291</v>
      </c>
      <c r="C24" s="136">
        <f>IF(B30=0,0,D30)</f>
        <v>0</v>
      </c>
      <c r="D24" s="1765"/>
      <c r="E24" s="129"/>
      <c r="F24" s="129"/>
      <c r="G24" s="129"/>
      <c r="H24" s="129"/>
      <c r="I24" s="129"/>
    </row>
    <row r="25" spans="1:36" ht="14.25">
      <c r="A25" s="3690"/>
      <c r="B25" s="1023" t="s">
        <v>1295</v>
      </c>
      <c r="C25" s="141">
        <f>IF(B30=0,0,C30)</f>
        <v>0</v>
      </c>
      <c r="D25" s="1766"/>
      <c r="E25" s="129"/>
      <c r="F25" s="129"/>
      <c r="G25" s="129"/>
      <c r="H25" s="129"/>
      <c r="I25" s="129"/>
    </row>
    <row r="26" spans="1:36" ht="13.5" customHeight="1">
      <c r="A26" s="1767" t="s">
        <v>1300</v>
      </c>
      <c r="B26" s="142" t="s">
        <v>1301</v>
      </c>
      <c r="C26" s="142" t="s">
        <v>1302</v>
      </c>
      <c r="D26" s="143" t="s">
        <v>1303</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1304</v>
      </c>
      <c r="B30" s="142"/>
      <c r="C30" s="142"/>
      <c r="D30" s="142"/>
      <c r="E30" s="2299" t="s">
        <v>2131</v>
      </c>
      <c r="F30" s="129"/>
      <c r="G30" s="129"/>
      <c r="H30" s="129"/>
      <c r="I30" s="129"/>
    </row>
    <row r="31" spans="1:36" s="2305" customFormat="1" ht="26.45" customHeight="1" thickTop="1" thickBot="1">
      <c r="A31" s="2300"/>
      <c r="B31" s="2301"/>
      <c r="C31" s="2301"/>
      <c r="D31" s="2301"/>
      <c r="E31" s="2301"/>
      <c r="F31" s="2301"/>
      <c r="G31" s="2301"/>
      <c r="H31" s="2301"/>
      <c r="I31" s="2302" t="s">
        <v>2132</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1305</v>
      </c>
      <c r="B32" s="1770"/>
      <c r="C32" s="144">
        <f ca="1">IF(D32="总价",G19-C24,G20-C25)</f>
        <v>355043</v>
      </c>
      <c r="D32" s="1771" t="s">
        <v>3984</v>
      </c>
      <c r="E32" s="129"/>
      <c r="F32" s="129"/>
      <c r="G32" s="129"/>
      <c r="H32" s="129"/>
      <c r="I32" s="129"/>
    </row>
    <row r="33" spans="1:15" ht="15">
      <c r="A33" s="783" t="s">
        <v>1306</v>
      </c>
      <c r="B33" s="1772"/>
      <c r="C33" s="1773" t="s">
        <v>3985</v>
      </c>
      <c r="D33" s="1774" t="s">
        <v>3956</v>
      </c>
      <c r="E33" s="1775" t="s">
        <v>1307</v>
      </c>
      <c r="F33" s="1776" t="str">
        <f>IF(D32="楼面单价","取值（单价）","取值（总价）")</f>
        <v>取值（总价）</v>
      </c>
      <c r="G33" s="129"/>
      <c r="H33" s="129"/>
      <c r="I33" s="129"/>
    </row>
    <row r="34" spans="1:15" ht="15">
      <c r="A34" s="1777"/>
      <c r="B34" s="1778" t="s">
        <v>1308</v>
      </c>
      <c r="C34" s="148">
        <f ca="1">IF(C33="自定义",F34,C32-C35)</f>
        <v>77754</v>
      </c>
      <c r="D34" s="858">
        <f ca="1">IF(C33="自定义",ROUND(C34/C32,3),IF(C33="收益比率",SUMIF(INDIRECT("'"&amp;D33&amp;"'"&amp;"!b:b"),"土地收益比率",INDIRECT("'"&amp;D33&amp;"'"&amp;"!c:c")),SUMIF(INDIRECT("'"&amp;D33&amp;"'"&amp;"!b:b"),"土地成本比率",INDIRECT("'"&amp;D33&amp;"'"&amp;"!c:c"))))</f>
        <v>0.21899999999999997</v>
      </c>
      <c r="E34" s="1779" t="s">
        <v>1309</v>
      </c>
      <c r="F34" s="1326"/>
      <c r="G34" s="129"/>
      <c r="H34" s="129"/>
      <c r="I34" s="129"/>
    </row>
    <row r="35" spans="1:15" ht="15.75" thickBot="1">
      <c r="A35" s="1780"/>
      <c r="B35" s="1781" t="s">
        <v>1310</v>
      </c>
      <c r="C35" s="1167">
        <f ca="1">IF(C33="自定义",F35,ROUND(C32*D35,0))</f>
        <v>277289</v>
      </c>
      <c r="D35" s="1168">
        <f ca="1">IF(C33="自定义",ROUND(C35/C32,3),IF(C33="收益比率",SUMIF(INDIRECT("'"&amp;D33&amp;"'"&amp;"!b:b"),"建筑物收益比率",INDIRECT("'"&amp;D33&amp;"'"&amp;"!c:c")),SUMIF(INDIRECT("'"&amp;D33&amp;"'"&amp;"!b:b"),"建筑物成本比率",INDIRECT("'"&amp;D33&amp;"'"&amp;"!c:c"))))</f>
        <v>0.78100000000000003</v>
      </c>
      <c r="E35" s="1782" t="s">
        <v>1311</v>
      </c>
      <c r="F35" s="154"/>
      <c r="G35" s="129"/>
      <c r="H35" s="129"/>
      <c r="I35" s="129"/>
    </row>
    <row r="36" spans="1:15" ht="15.75" thickBot="1">
      <c r="A36" s="3666" t="s">
        <v>1312</v>
      </c>
      <c r="B36" s="1783" t="s">
        <v>1313</v>
      </c>
      <c r="C36" s="145"/>
      <c r="D36" s="1784"/>
      <c r="E36" s="1785"/>
      <c r="F36" s="1786"/>
      <c r="G36" s="129"/>
      <c r="H36" s="129"/>
      <c r="I36" s="129"/>
    </row>
    <row r="37" spans="1:15" ht="15.75" thickBot="1">
      <c r="A37" s="3667"/>
      <c r="B37" s="1670" t="s">
        <v>1314</v>
      </c>
      <c r="C37" s="147">
        <v>4000</v>
      </c>
      <c r="D37" s="1136"/>
      <c r="E37" s="1136"/>
      <c r="F37" s="1786"/>
      <c r="G37" s="129"/>
      <c r="H37" s="129"/>
      <c r="I37" s="129"/>
    </row>
    <row r="38" spans="1:15" ht="15.75" thickBot="1">
      <c r="A38" s="3668"/>
      <c r="B38" s="1787" t="s">
        <v>1315</v>
      </c>
      <c r="C38" s="674"/>
      <c r="D38" s="1788" t="s">
        <v>1316</v>
      </c>
      <c r="E38" s="1136"/>
      <c r="F38" s="1786"/>
      <c r="G38" s="129"/>
      <c r="H38" s="129"/>
      <c r="I38" s="129"/>
    </row>
    <row r="39" spans="1:15" ht="15">
      <c r="A39" s="1760" t="s">
        <v>1317</v>
      </c>
      <c r="B39" s="1789" t="s">
        <v>1318</v>
      </c>
      <c r="C39" s="1790" t="s">
        <v>1319</v>
      </c>
      <c r="D39" s="1790" t="s">
        <v>1320</v>
      </c>
      <c r="E39" s="1791" t="s">
        <v>1321</v>
      </c>
      <c r="F39" s="1786"/>
      <c r="G39" s="129"/>
      <c r="H39" s="129"/>
      <c r="I39" s="129"/>
    </row>
    <row r="40" spans="1:15" ht="14.25">
      <c r="A40" s="1792" t="s">
        <v>1322</v>
      </c>
      <c r="B40" s="149"/>
      <c r="C40" s="150"/>
      <c r="D40" s="150"/>
      <c r="E40" s="151"/>
      <c r="F40" s="1786"/>
      <c r="G40" s="129"/>
      <c r="H40" s="129"/>
      <c r="I40" s="129"/>
    </row>
    <row r="41" spans="1:15" ht="14.25">
      <c r="A41" s="1792" t="s">
        <v>1323</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686" t="s">
        <v>1326</v>
      </c>
      <c r="B45" s="3687"/>
      <c r="C45" s="3688"/>
      <c r="D45" s="155">
        <f ca="1">ROUND(H101*F45,0)</f>
        <v>355043</v>
      </c>
      <c r="E45" s="156" t="s">
        <v>1327</v>
      </c>
      <c r="F45" s="157">
        <v>1</v>
      </c>
      <c r="G45" s="158" t="s">
        <v>1328</v>
      </c>
      <c r="H45" s="129"/>
      <c r="I45" s="129"/>
      <c r="J45" s="3606" t="s">
        <v>1329</v>
      </c>
      <c r="K45" s="3606"/>
      <c r="L45" s="3606"/>
      <c r="M45" s="3606"/>
      <c r="N45" s="3606"/>
      <c r="O45" s="3606"/>
    </row>
    <row r="46" spans="1:15" ht="14.25" customHeight="1">
      <c r="A46" s="3683" t="s">
        <v>1330</v>
      </c>
      <c r="B46" s="3684"/>
      <c r="C46" s="3684"/>
      <c r="D46" s="3684"/>
      <c r="E46" s="3684"/>
      <c r="F46" s="3684"/>
      <c r="G46" s="3685"/>
      <c r="H46" s="1802"/>
      <c r="I46" s="159"/>
      <c r="J46" s="2519">
        <v>1</v>
      </c>
      <c r="K46" s="3607" t="s">
        <v>1331</v>
      </c>
      <c r="L46" s="3607"/>
      <c r="M46" s="3608"/>
      <c r="N46" s="3608"/>
      <c r="O46" s="3608"/>
    </row>
    <row r="47" spans="1:15" ht="12" customHeight="1">
      <c r="A47" s="160" t="s">
        <v>1332</v>
      </c>
      <c r="B47" s="161"/>
      <c r="C47" s="162"/>
      <c r="D47" s="1084" t="s">
        <v>1333</v>
      </c>
      <c r="E47" s="302" t="s">
        <v>1334</v>
      </c>
      <c r="F47" s="163" t="s">
        <v>1335</v>
      </c>
      <c r="G47" s="2542" t="s">
        <v>1336</v>
      </c>
      <c r="H47" s="2543"/>
      <c r="I47" s="159"/>
      <c r="J47" s="2519">
        <v>2</v>
      </c>
      <c r="K47" s="3607" t="s">
        <v>1337</v>
      </c>
      <c r="L47" s="3607"/>
      <c r="M47" s="3609">
        <f>'数据-取费表'!B2</f>
        <v>45005</v>
      </c>
      <c r="N47" s="3609"/>
      <c r="O47" s="3609"/>
    </row>
    <row r="48" spans="1:15" ht="25.5">
      <c r="A48" s="3669" t="s">
        <v>1338</v>
      </c>
      <c r="B48" s="3670"/>
      <c r="C48" s="3670"/>
      <c r="D48" s="2320" t="b">
        <f>IF(H48="情况1",0,IF(H48="情况2",D52,IF(H48="情况3",D53,IF(H48="情况4",D54))))</f>
        <v>0</v>
      </c>
      <c r="E48" s="2330" t="str">
        <f>IF(H48="情况4","(销售额-原购置价)×税（费）率","销售额×税（费）率")</f>
        <v>销售额×税（费）率</v>
      </c>
      <c r="F48" s="2544">
        <f>IF(H48="情况1","免征",'数据-取费表'!B41)</f>
        <v>5.6000000000000001E-2</v>
      </c>
      <c r="G48" s="2545" t="s">
        <v>1339</v>
      </c>
      <c r="H48" s="2546"/>
      <c r="I48" s="1802"/>
      <c r="J48" s="2519">
        <v>3</v>
      </c>
      <c r="K48" s="3607" t="s">
        <v>1340</v>
      </c>
      <c r="L48" s="3607"/>
      <c r="M48" s="3610">
        <f ca="1">H101</f>
        <v>355043</v>
      </c>
      <c r="N48" s="3610"/>
      <c r="O48" s="3610"/>
    </row>
    <row r="49" spans="1:35" ht="25.5" customHeight="1">
      <c r="A49" s="2329" t="s">
        <v>1341</v>
      </c>
      <c r="B49" s="3655" t="s">
        <v>1342</v>
      </c>
      <c r="C49" s="3655"/>
      <c r="D49" s="1586">
        <v>0</v>
      </c>
      <c r="E49" s="324" t="s">
        <v>1343</v>
      </c>
      <c r="F49" s="2420" t="s">
        <v>28</v>
      </c>
      <c r="G49" s="3638"/>
      <c r="H49" s="2306" t="s">
        <v>2133</v>
      </c>
      <c r="I49" s="2307"/>
      <c r="J49" s="2519">
        <v>4</v>
      </c>
      <c r="K49" s="3607" t="str">
        <f>IF(项目基本情况!E8="房地产抵押价值","房地产抵押价值","抵押担保权已注销时的房地产抵押价值")</f>
        <v>房地产抵押价值</v>
      </c>
      <c r="L49" s="3607"/>
      <c r="M49" s="3610">
        <f ca="1">IF(项目基本情况!E8="房地产抵押价值",H107,H109)</f>
        <v>351043</v>
      </c>
      <c r="N49" s="3610"/>
      <c r="O49" s="3610"/>
    </row>
    <row r="50" spans="1:35" ht="25.5" customHeight="1">
      <c r="A50" s="2547"/>
      <c r="B50" s="3655" t="s">
        <v>1344</v>
      </c>
      <c r="C50" s="3655"/>
      <c r="D50" s="2548"/>
      <c r="E50" s="332"/>
      <c r="F50" s="2420"/>
      <c r="G50" s="3639"/>
      <c r="H50" s="2308" t="s">
        <v>2134</v>
      </c>
      <c r="I50" s="2307"/>
      <c r="J50" s="3606" t="s">
        <v>1345</v>
      </c>
      <c r="K50" s="3606"/>
      <c r="L50" s="3606"/>
      <c r="M50" s="3606"/>
      <c r="N50" s="3606"/>
      <c r="O50" s="3606"/>
    </row>
    <row r="51" spans="1:35" ht="20.45" customHeight="1">
      <c r="A51" s="2549"/>
      <c r="B51" s="3655" t="s">
        <v>1346</v>
      </c>
      <c r="C51" s="3655"/>
      <c r="D51" s="1084"/>
      <c r="E51" s="327"/>
      <c r="F51" s="2420"/>
      <c r="G51" s="3640"/>
      <c r="H51" s="2308" t="s">
        <v>2135</v>
      </c>
      <c r="I51" s="2307"/>
      <c r="J51" s="2520" t="s">
        <v>1347</v>
      </c>
      <c r="K51" s="3607" t="s">
        <v>1348</v>
      </c>
      <c r="L51" s="3607"/>
      <c r="M51" s="2520" t="s">
        <v>1349</v>
      </c>
      <c r="N51" s="2520" t="s">
        <v>1350</v>
      </c>
      <c r="O51" s="2520" t="s">
        <v>1351</v>
      </c>
    </row>
    <row r="52" spans="1:35" ht="24" customHeight="1">
      <c r="A52" s="2331" t="s">
        <v>1352</v>
      </c>
      <c r="B52" s="3655" t="s">
        <v>1353</v>
      </c>
      <c r="C52" s="3655"/>
      <c r="D52" s="1084">
        <f ca="1">ROUND(D45*'数据-取费表'!B41/(1+'数据-取费表'!C42),0)</f>
        <v>18936</v>
      </c>
      <c r="E52" s="2330" t="s">
        <v>1354</v>
      </c>
      <c r="F52" s="2550">
        <f>'数据-取费表'!B41</f>
        <v>5.6000000000000001E-2</v>
      </c>
      <c r="G52" s="2551"/>
      <c r="H52" s="2540"/>
      <c r="I52" s="1803"/>
      <c r="J52" s="2519">
        <v>1</v>
      </c>
      <c r="K52" s="3632" t="s">
        <v>1355</v>
      </c>
      <c r="L52" s="3632"/>
      <c r="M52" s="2521" t="b">
        <f>D48</f>
        <v>0</v>
      </c>
      <c r="N52" s="2519" t="str">
        <f>E48</f>
        <v>销售额×税（费）率</v>
      </c>
      <c r="O52" s="2522">
        <f>F48</f>
        <v>5.6000000000000001E-2</v>
      </c>
    </row>
    <row r="53" spans="1:35" ht="12" customHeight="1">
      <c r="A53" s="2331" t="s">
        <v>1356</v>
      </c>
      <c r="B53" s="3656" t="s">
        <v>2290</v>
      </c>
      <c r="C53" s="3657"/>
      <c r="D53" s="1084">
        <f ca="1">ROUND(D45*'数据-取费表'!B41/(1+'数据-取费表'!C42),0)</f>
        <v>18936</v>
      </c>
      <c r="E53" s="2330" t="s">
        <v>1354</v>
      </c>
      <c r="F53" s="2550">
        <f>'数据-取费表'!B41</f>
        <v>5.6000000000000001E-2</v>
      </c>
      <c r="G53" s="2551"/>
      <c r="H53" s="2540"/>
      <c r="I53" s="1803"/>
      <c r="J53" s="2519">
        <v>2</v>
      </c>
      <c r="K53" s="3632" t="s">
        <v>1357</v>
      </c>
      <c r="L53" s="3632"/>
      <c r="M53" s="2521">
        <f t="shared" ref="M53:O54" ca="1" si="0">D55</f>
        <v>178</v>
      </c>
      <c r="N53" s="2519" t="str">
        <f t="shared" si="0"/>
        <v>销售额×税（费）率</v>
      </c>
      <c r="O53" s="2522" t="str">
        <f t="shared" si="0"/>
        <v>免征</v>
      </c>
    </row>
    <row r="54" spans="1:35" ht="12" customHeight="1">
      <c r="A54" s="2331" t="s">
        <v>1358</v>
      </c>
      <c r="B54" s="3656" t="s">
        <v>2291</v>
      </c>
      <c r="C54" s="3657"/>
      <c r="D54" s="1084">
        <f ca="1">C68</f>
        <v>18936</v>
      </c>
      <c r="E54" s="327" t="s">
        <v>1359</v>
      </c>
      <c r="F54" s="2550">
        <f>'数据-取费表'!B41</f>
        <v>5.6000000000000001E-2</v>
      </c>
      <c r="G54" s="2551"/>
      <c r="H54" s="2552"/>
      <c r="I54" s="1803"/>
      <c r="J54" s="2519">
        <v>3</v>
      </c>
      <c r="K54" s="3632" t="s">
        <v>1360</v>
      </c>
      <c r="L54" s="3632"/>
      <c r="M54" s="2521">
        <f t="shared" ca="1" si="0"/>
        <v>200954</v>
      </c>
      <c r="N54" s="2519" t="str">
        <f t="shared" si="0"/>
        <v>增值额×税（费）率</v>
      </c>
      <c r="O54" s="2523" t="str">
        <f t="shared" si="0"/>
        <v>免征</v>
      </c>
    </row>
    <row r="55" spans="1:35" ht="24" customHeight="1">
      <c r="A55" s="3692" t="s">
        <v>1361</v>
      </c>
      <c r="B55" s="3670"/>
      <c r="C55" s="3670"/>
      <c r="D55" s="2320">
        <f ca="1">IF(H55="个人住宅",0,ROUND(D45*I55,0))</f>
        <v>178</v>
      </c>
      <c r="E55" s="2330" t="s">
        <v>1362</v>
      </c>
      <c r="F55" s="2550" t="str">
        <f>IF(H55="正常",I55,"免征")</f>
        <v>免征</v>
      </c>
      <c r="G55" s="2551"/>
      <c r="H55" s="2546"/>
      <c r="I55" s="165">
        <f>'数据-取费表'!B49</f>
        <v>5.0000000000000001E-4</v>
      </c>
      <c r="J55" s="2519">
        <f>IF(H59="非个人房产","",4)</f>
        <v>4</v>
      </c>
      <c r="K55" s="3632" t="str">
        <f>IF(H59="非个人房产","——","个人所得税")</f>
        <v>个人所得税</v>
      </c>
      <c r="L55" s="3632"/>
      <c r="M55" s="2524">
        <f ca="1">D59</f>
        <v>3381</v>
      </c>
      <c r="N55" s="2036" t="str">
        <f>E59</f>
        <v>差额计税</v>
      </c>
      <c r="O55" s="2525">
        <f>F59</f>
        <v>0.01</v>
      </c>
    </row>
    <row r="56" spans="1:35" ht="24.75">
      <c r="A56" s="3692" t="s">
        <v>1363</v>
      </c>
      <c r="B56" s="3670"/>
      <c r="C56" s="3670"/>
      <c r="D56" s="2320">
        <f ca="1">IF(H56="个人住宅",D57,D58)</f>
        <v>200954</v>
      </c>
      <c r="E56" s="2330" t="s">
        <v>1364</v>
      </c>
      <c r="F56" s="2550" t="str">
        <f>IF(H56="正常",F58,"免征")</f>
        <v>免征</v>
      </c>
      <c r="G56" s="2553" t="s">
        <v>1365</v>
      </c>
      <c r="H56" s="2554"/>
      <c r="I56" s="1804"/>
      <c r="J56" s="2519" t="str">
        <f>IF(项目基本情况!K6="上海银行",IF(J55="",4,J55+1),"")</f>
        <v/>
      </c>
      <c r="K56" s="3613" t="str">
        <f>IF(项目基本情况!K6="上海银行","其他处置费用","")</f>
        <v/>
      </c>
      <c r="L56" s="3614"/>
      <c r="M56" s="2521" t="str">
        <f>IF(项目基本情况!K6="上海银行",M69,"")</f>
        <v/>
      </c>
      <c r="N56" s="3613" t="str">
        <f>IF(项目基本情况!K6="上海银行","包含处置中涉及的律师、诉讼、拍卖、评估等费用","")</f>
        <v/>
      </c>
      <c r="O56" s="3616"/>
    </row>
    <row r="57" spans="1:35" ht="12.75">
      <c r="A57" s="2331" t="s">
        <v>1341</v>
      </c>
      <c r="B57" s="3656" t="s">
        <v>1366</v>
      </c>
      <c r="C57" s="3657"/>
      <c r="D57" s="1586">
        <v>0</v>
      </c>
      <c r="E57" s="324" t="s">
        <v>1343</v>
      </c>
      <c r="F57" s="302"/>
      <c r="G57" s="2551"/>
      <c r="H57" s="2555"/>
      <c r="I57" s="1804"/>
      <c r="J57" s="3632">
        <f>IF(AND(J55="",J56=""),4,IF(项目基本情况!K6="上海银行",结果表!J56+1,结果表!J55+1))</f>
        <v>5</v>
      </c>
      <c r="K57" s="3632" t="s">
        <v>1367</v>
      </c>
      <c r="L57" s="2526" t="s">
        <v>1368</v>
      </c>
      <c r="M57" s="2527"/>
      <c r="N57" s="2528">
        <f ca="1">SUMIF(M52:M56,"&lt;9e307")</f>
        <v>204513</v>
      </c>
      <c r="O57" s="2529"/>
      <c r="P57" s="2686">
        <f ca="1">N57/M49</f>
        <v>0.58258674863193394</v>
      </c>
    </row>
    <row r="58" spans="1:35" ht="24.75">
      <c r="A58" s="2331" t="s">
        <v>1352</v>
      </c>
      <c r="B58" s="3656" t="s">
        <v>1369</v>
      </c>
      <c r="C58" s="3655"/>
      <c r="D58" s="2320">
        <f ca="1">IF(H58="转让取得",C81,C97)</f>
        <v>200954</v>
      </c>
      <c r="E58" s="2330" t="s">
        <v>1364</v>
      </c>
      <c r="F58" s="302" t="s">
        <v>28</v>
      </c>
      <c r="G58" s="2551"/>
      <c r="H58" s="2554"/>
      <c r="I58" s="1804"/>
      <c r="J58" s="3632"/>
      <c r="K58" s="3632"/>
      <c r="L58" s="2526" t="s">
        <v>1370</v>
      </c>
      <c r="M58" s="2530"/>
      <c r="N58" s="2531" t="str">
        <f ca="1">NUMBERSTRING(INT(N57*10000),2)&amp;"元整"</f>
        <v>贰拾亿肆仟伍佰壹拾叁万元整</v>
      </c>
      <c r="O58" s="2532"/>
    </row>
    <row r="59" spans="1:35" ht="24.75" thickBot="1">
      <c r="A59" s="3636" t="s">
        <v>1371</v>
      </c>
      <c r="B59" s="3637"/>
      <c r="C59" s="3637"/>
      <c r="D59" s="2556">
        <f ca="1">IF(H59="非个人房产","——",IF(H59="个人住宅（满五唯一有凭证）",0,IF(H59="个人其他（无凭证）",ROUND(D45*F59,0),ROUND(C67*F59,0))))</f>
        <v>3381</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0"/>
      <c r="I59" s="2309" t="s">
        <v>2136</v>
      </c>
      <c r="J59" s="3634">
        <f>J57+1</f>
        <v>6</v>
      </c>
      <c r="K59" s="3632" t="s">
        <v>1372</v>
      </c>
      <c r="L59" s="2519" t="s">
        <v>1368</v>
      </c>
      <c r="M59" s="2533"/>
      <c r="N59" s="2534">
        <f ca="1">M49-N57</f>
        <v>146530</v>
      </c>
      <c r="O59" s="2535"/>
    </row>
    <row r="60" spans="1:35" ht="12" customHeight="1">
      <c r="A60" s="1805"/>
      <c r="B60" s="1743"/>
      <c r="C60" s="1743"/>
      <c r="D60" s="1743"/>
      <c r="E60" s="1574"/>
      <c r="F60" s="1804"/>
      <c r="G60" s="1804"/>
      <c r="H60" s="1806"/>
      <c r="I60" s="129"/>
      <c r="J60" s="3635"/>
      <c r="K60" s="3632"/>
      <c r="L60" s="2526" t="s">
        <v>1370</v>
      </c>
      <c r="M60" s="2530"/>
      <c r="N60" s="2531" t="str">
        <f ca="1">NUMBERSTRING(INT(N59*10000),2)&amp;"元整"</f>
        <v>壹拾肆亿陆仟伍佰叁拾万元整</v>
      </c>
      <c r="O60" s="2532"/>
    </row>
    <row r="61" spans="1:35" ht="13.5" thickBot="1">
      <c r="A61" s="3691" t="s">
        <v>1373</v>
      </c>
      <c r="B61" s="3691"/>
      <c r="C61" s="3691"/>
      <c r="D61" s="3691"/>
      <c r="E61" s="3691"/>
      <c r="F61" s="1804"/>
      <c r="G61" s="1804"/>
      <c r="H61" s="1806"/>
      <c r="I61" s="129"/>
      <c r="J61" s="2519">
        <f>J59+1</f>
        <v>7</v>
      </c>
      <c r="K61" s="3632" t="s">
        <v>1374</v>
      </c>
      <c r="L61" s="3632"/>
      <c r="M61" s="2536"/>
      <c r="N61" s="2537">
        <f ca="1">ROUND(N59*10000/'数据-汇总表'!E3,0)</f>
        <v>6459</v>
      </c>
      <c r="O61" s="2538"/>
    </row>
    <row r="62" spans="1:35" ht="12.75">
      <c r="A62" s="3651" t="s">
        <v>1375</v>
      </c>
      <c r="B62" s="3652"/>
      <c r="C62" s="2017"/>
      <c r="D62" s="2017" t="s">
        <v>1376</v>
      </c>
      <c r="E62" s="166" t="s">
        <v>1377</v>
      </c>
      <c r="F62" s="1804"/>
      <c r="G62" s="1804"/>
      <c r="H62" s="1806"/>
      <c r="I62" s="129"/>
    </row>
    <row r="63" spans="1:35" ht="12.75">
      <c r="A63" s="173" t="s">
        <v>330</v>
      </c>
      <c r="B63" s="167" t="s">
        <v>1378</v>
      </c>
      <c r="C63" s="2560">
        <f ca="1">ROUND((C64+C65)/(1+'数据-取费表'!C42),0)</f>
        <v>338136</v>
      </c>
      <c r="D63" s="167"/>
      <c r="E63" s="168"/>
      <c r="F63" s="1804"/>
      <c r="G63" s="1804"/>
      <c r="H63" s="1806"/>
      <c r="I63" s="129"/>
      <c r="J63" s="3615" t="s">
        <v>1379</v>
      </c>
      <c r="K63" s="1328" t="s">
        <v>1380</v>
      </c>
      <c r="L63" s="1328">
        <f ca="1">IF(M49&gt;10000,M49*0.5%,IF(AND(M49&gt;1000,M49&lt;=10000),M49*1%,IF(AND(M49&gt;100,M49&lt;=1000),M49*3%,IF(AND(M49&gt;10,M49&lt;=100),M49*5%,M49*8%))))</f>
        <v>1755.2150000000001</v>
      </c>
      <c r="M63" s="302">
        <f ca="1">ROUND(L63,1)</f>
        <v>1755.2</v>
      </c>
      <c r="N63" s="2539"/>
      <c r="Z63" s="1748"/>
      <c r="AI63" s="1749"/>
    </row>
    <row r="64" spans="1:35" ht="14.25" customHeight="1">
      <c r="A64" s="169" t="s">
        <v>325</v>
      </c>
      <c r="B64" s="170" t="s">
        <v>1381</v>
      </c>
      <c r="C64" s="2561">
        <f ca="1">D45</f>
        <v>355043</v>
      </c>
      <c r="D64" s="170" t="s">
        <v>26</v>
      </c>
      <c r="E64" s="172"/>
      <c r="F64" s="1804"/>
      <c r="G64" s="1804"/>
      <c r="H64" s="1806"/>
      <c r="I64" s="129"/>
      <c r="J64" s="3615"/>
      <c r="K64" s="1328" t="s">
        <v>1382</v>
      </c>
      <c r="L64" s="1328">
        <f ca="1">IF(M49&gt;2000,M49*0.5%,IF(AND(M49&gt;1000,M49&lt;=2000),M49*0.6%,IF(AND(M49&gt;500,M49&lt;=1000),M49*0.7%,IF(AND(M49&gt;200,M49&lt;=500),M49*0.8%,IF(AND(M49&gt;100,M49&lt;=200),M49*0.9%,IF(AND(M49&gt;50,M49&lt;=100),M49*1%,IF(AND(M49&gt;20,M49&lt;=50),M49*1.5%,IF(AND(M49&gt;10,M49&lt;=20),M49*2%,IF(AND(M49&gt;1,M49&lt;=10),M49*2.5%)))))))))</f>
        <v>1755.2150000000001</v>
      </c>
      <c r="M64" s="302">
        <f t="shared" ref="M64:M65" ca="1" si="1">ROUND(L64,1)</f>
        <v>1755.2</v>
      </c>
      <c r="N64" s="2540" t="s">
        <v>1383</v>
      </c>
      <c r="Z64" s="1748"/>
      <c r="AI64" s="1749"/>
    </row>
    <row r="65" spans="1:35" ht="14.25" customHeight="1">
      <c r="A65" s="169" t="s">
        <v>326</v>
      </c>
      <c r="B65" s="170" t="s">
        <v>1384</v>
      </c>
      <c r="C65" s="2562"/>
      <c r="D65" s="170"/>
      <c r="E65" s="172"/>
      <c r="F65" s="1804"/>
      <c r="G65" s="1804"/>
      <c r="H65" s="1806"/>
      <c r="I65" s="129"/>
      <c r="J65" s="3615"/>
      <c r="K65" s="1328" t="s">
        <v>1385</v>
      </c>
      <c r="L65" s="1328">
        <f ca="1">IF(M49&gt;1000,M49*0.1%,IF(AND(M49&gt;500,M49&lt;=1000),M49*0.5%,IF(AND(M49&gt;50,M49&lt;=500),M49*1%,IF(AND(M49&gt;1,M49&lt;=50),M49*1.5%))))</f>
        <v>351.04300000000001</v>
      </c>
      <c r="M65" s="302">
        <f t="shared" ca="1" si="1"/>
        <v>351</v>
      </c>
      <c r="N65" s="2540" t="s">
        <v>1383</v>
      </c>
      <c r="Z65" s="1748"/>
      <c r="AI65" s="1749"/>
    </row>
    <row r="66" spans="1:35" ht="14.25" customHeight="1">
      <c r="A66" s="173" t="s">
        <v>327</v>
      </c>
      <c r="B66" s="174" t="s">
        <v>1386</v>
      </c>
      <c r="C66" s="2563"/>
      <c r="D66" s="174" t="s">
        <v>26</v>
      </c>
      <c r="E66" s="1334" t="s">
        <v>671</v>
      </c>
      <c r="F66" s="1804"/>
      <c r="G66" s="1804"/>
      <c r="H66" s="1806"/>
      <c r="I66" s="129"/>
      <c r="J66" s="3615"/>
      <c r="K66" s="1328" t="s">
        <v>1387</v>
      </c>
      <c r="L66" s="1328">
        <f ca="1">M49*0.5%</f>
        <v>1755.2150000000001</v>
      </c>
      <c r="M66" s="302">
        <f ca="1">IF(L66&gt;0.5,0.5,ROUND(L66,0))</f>
        <v>0.5</v>
      </c>
      <c r="N66" s="2540" t="s">
        <v>1388</v>
      </c>
      <c r="Z66" s="1748"/>
      <c r="AI66" s="1749"/>
    </row>
    <row r="67" spans="1:35" ht="14.25" customHeight="1">
      <c r="A67" s="173" t="s">
        <v>328</v>
      </c>
      <c r="B67" s="174" t="s">
        <v>1389</v>
      </c>
      <c r="C67" s="2564">
        <f ca="1">C63-C66</f>
        <v>338136</v>
      </c>
      <c r="D67" s="170" t="s">
        <v>26</v>
      </c>
      <c r="E67" s="172"/>
      <c r="F67" s="1804"/>
      <c r="G67" s="1804"/>
      <c r="H67" s="1806"/>
      <c r="I67" s="129"/>
      <c r="J67" s="3615"/>
      <c r="K67" s="1328" t="s">
        <v>1390</v>
      </c>
      <c r="L67" s="1328">
        <f ca="1">IF(M49&gt;=10000,(8.25+(M49-10000)*0.01%),IF(AND(M49&gt;=8000,M49&lt;10000),(7.85+(M49-8000)*0.02%),IF(AND(M49&gt;=5000,M49&lt;8000),(6.65+(M49-5000)*0.04%),IF(AND(M49&gt;=2000,M49&lt;5000),(4.25+(PM49-2000)*0.08%),IF(AND(M49&gt;=1000,M49&lt;2000),(2.75+(M49-1000)*0.15%),IF(AND(M49&gt;=100,M49&lt;1000),(0.5+(M49-100)*0.25%),IF(AND(M49&gt;0,M49&lt;100),M49*0.5%)))))))</f>
        <v>42.354300000000002</v>
      </c>
      <c r="M67" s="302">
        <f ca="1">ROUND(L67*0.9,1)</f>
        <v>38.1</v>
      </c>
      <c r="N67" s="2539"/>
      <c r="Z67" s="1748"/>
      <c r="AI67" s="1749"/>
    </row>
    <row r="68" spans="1:35" ht="14.25" customHeight="1" thickBot="1">
      <c r="A68" s="176" t="s">
        <v>329</v>
      </c>
      <c r="B68" s="177" t="s">
        <v>1391</v>
      </c>
      <c r="C68" s="2565">
        <f ca="1">IF(C67&lt;=0,0,ROUND(C67*D68,0))</f>
        <v>18936</v>
      </c>
      <c r="D68" s="2566">
        <f>'数据-取费表'!B41</f>
        <v>5.6000000000000001E-2</v>
      </c>
      <c r="E68" s="178"/>
      <c r="F68" s="1804"/>
      <c r="G68" s="1804"/>
      <c r="H68" s="1806"/>
      <c r="I68" s="129"/>
      <c r="J68" s="3615"/>
      <c r="K68" s="1328" t="s">
        <v>1392</v>
      </c>
      <c r="L68" s="1328">
        <f ca="1">IF(M49&gt;10000,M49*0.5%,IF(AND(M49&gt;5000,M49&lt;=10000),M49*1%,IF(AND(M49&gt;1000,M49&lt;=5000),M49*2%,IF(AND(M49&gt;200,M49&lt;=1000),M49*3%,M49*5%))))</f>
        <v>1755.2150000000001</v>
      </c>
      <c r="M68" s="302">
        <f ca="1">ROUND(L68,1)</f>
        <v>1755.2</v>
      </c>
      <c r="N68" s="2539"/>
      <c r="Z68" s="1748"/>
      <c r="AI68" s="1749"/>
    </row>
    <row r="69" spans="1:35" s="1768" customFormat="1" ht="16.5" customHeight="1">
      <c r="A69" s="1807"/>
      <c r="B69" s="1808"/>
      <c r="C69" s="1809"/>
      <c r="D69" s="1810"/>
      <c r="E69" s="1811"/>
      <c r="F69" s="1574"/>
      <c r="G69" s="1574"/>
      <c r="H69" s="1573"/>
      <c r="I69" s="1743"/>
      <c r="J69" s="3615"/>
      <c r="K69" s="1328" t="s">
        <v>1393</v>
      </c>
      <c r="L69" s="1328"/>
      <c r="M69" s="302">
        <f ca="1">ROUND(SUM(M63:M68),0)</f>
        <v>5655</v>
      </c>
      <c r="N69" s="2541">
        <f ca="1">M69/M49</f>
        <v>1.6109137627014353E-2</v>
      </c>
      <c r="O69" s="725"/>
      <c r="P69" s="725"/>
      <c r="Q69" s="725"/>
      <c r="R69" s="725"/>
      <c r="S69" s="725"/>
      <c r="T69" s="725"/>
      <c r="U69" s="725"/>
      <c r="V69" s="725"/>
      <c r="W69" s="725"/>
      <c r="X69" s="725"/>
      <c r="Y69" s="725"/>
      <c r="Z69" s="1748"/>
      <c r="AA69" s="1748"/>
      <c r="AB69" s="1748"/>
      <c r="AC69" s="1748"/>
      <c r="AD69" s="1748"/>
      <c r="AE69" s="1748"/>
      <c r="AF69" s="1748"/>
      <c r="AG69" s="1748"/>
      <c r="AH69" s="1748"/>
    </row>
    <row r="70" spans="1:35" s="1813" customFormat="1" ht="15" thickBot="1">
      <c r="A70" s="3659" t="s">
        <v>1394</v>
      </c>
      <c r="B70" s="3660"/>
      <c r="C70" s="3660"/>
      <c r="D70" s="3660"/>
      <c r="E70" s="3660"/>
      <c r="F70" s="3660"/>
      <c r="G70" s="3660"/>
      <c r="H70" s="3660"/>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651" t="s">
        <v>1375</v>
      </c>
      <c r="B71" s="3652"/>
      <c r="C71" s="2017"/>
      <c r="D71" s="2017" t="s">
        <v>1376</v>
      </c>
      <c r="E71" s="179" t="s">
        <v>1377</v>
      </c>
      <c r="F71" s="180"/>
      <c r="G71" s="180"/>
      <c r="H71" s="181"/>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3" t="s">
        <v>330</v>
      </c>
      <c r="B72" s="174" t="s">
        <v>1395</v>
      </c>
      <c r="C72" s="2564">
        <f ca="1">ROUND(D45/(1+'数据-取费表'!C42),0)</f>
        <v>338136</v>
      </c>
      <c r="D72" s="170" t="s">
        <v>26</v>
      </c>
      <c r="E72" s="2327"/>
      <c r="F72" s="2326"/>
      <c r="G72" s="2326"/>
      <c r="H72" s="182"/>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3" t="s">
        <v>327</v>
      </c>
      <c r="B73" s="163" t="s">
        <v>1396</v>
      </c>
      <c r="C73" s="2564">
        <f ca="1">C74+C78</f>
        <v>2029</v>
      </c>
      <c r="D73" s="170" t="s">
        <v>26</v>
      </c>
      <c r="E73" s="2327"/>
      <c r="F73" s="2326"/>
      <c r="G73" s="2326"/>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9" t="s">
        <v>325</v>
      </c>
      <c r="B74" s="170" t="s">
        <v>1397</v>
      </c>
      <c r="C74" s="170">
        <f>ROUND(IF(G77="2016年5月1日后购买",C75/(1+'数据-取费表'!C42)+C76+C77,C75+C76+C77),0)</f>
        <v>0</v>
      </c>
      <c r="D74" s="170" t="s">
        <v>26</v>
      </c>
      <c r="E74" s="2327"/>
      <c r="F74" s="2326"/>
      <c r="G74" s="2326"/>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9" t="s">
        <v>331</v>
      </c>
      <c r="B75" s="170" t="s">
        <v>1398</v>
      </c>
      <c r="C75" s="2567"/>
      <c r="D75" s="170" t="s">
        <v>26</v>
      </c>
      <c r="E75" s="184" t="s">
        <v>1399</v>
      </c>
      <c r="F75" s="2568"/>
      <c r="G75" s="184" t="s">
        <v>1400</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9" t="s">
        <v>332</v>
      </c>
      <c r="B76" s="185" t="s">
        <v>1401</v>
      </c>
      <c r="C76" s="170">
        <f>IF(F75="购房发票",ROUND(C75*H75*D76,0),0)</f>
        <v>0</v>
      </c>
      <c r="D76" s="2570">
        <v>0.05</v>
      </c>
      <c r="E76" s="3656" t="s">
        <v>1402</v>
      </c>
      <c r="F76" s="3655"/>
      <c r="G76" s="3655"/>
      <c r="H76" s="3658"/>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9" t="s">
        <v>333</v>
      </c>
      <c r="B77" s="170" t="s">
        <v>1403</v>
      </c>
      <c r="C77" s="170">
        <f>ROUND(IF(G77="个人住宅",0,IF(G77="2016年5月1日前购买",C75*D77,C75*D77/(1+'数据-取费表'!C42))),0)</f>
        <v>0</v>
      </c>
      <c r="D77" s="2571">
        <f>'数据-取费表'!B48+'数据-取费表'!B49</f>
        <v>3.0499999999999999E-2</v>
      </c>
      <c r="E77" s="2320" t="s">
        <v>1404</v>
      </c>
      <c r="F77" s="186"/>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9" t="s">
        <v>326</v>
      </c>
      <c r="B78" s="170" t="s">
        <v>1405</v>
      </c>
      <c r="C78" s="2572">
        <f ca="1">ROUND(D45*D78/(1+'数据-取费表'!C42),0)</f>
        <v>2029</v>
      </c>
      <c r="D78" s="2573">
        <f>'数据-取费表'!B43</f>
        <v>6.000000000000001E-3</v>
      </c>
      <c r="E78" s="3648" t="s">
        <v>1406</v>
      </c>
      <c r="F78" s="3649"/>
      <c r="G78" s="3649"/>
      <c r="H78" s="3650"/>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3" t="s">
        <v>334</v>
      </c>
      <c r="B79" s="174" t="s">
        <v>1407</v>
      </c>
      <c r="C79" s="2564">
        <f ca="1">C72-C73</f>
        <v>336107</v>
      </c>
      <c r="D79" s="170" t="s">
        <v>26</v>
      </c>
      <c r="E79" s="2327"/>
      <c r="F79" s="2326"/>
      <c r="G79" s="2326"/>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3" t="s">
        <v>335</v>
      </c>
      <c r="B80" s="174" t="s">
        <v>1408</v>
      </c>
      <c r="C80" s="2574">
        <f ca="1">IF(C79&lt;=0,0,C79/C73)</f>
        <v>165.6515524889108</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6" t="s">
        <v>336</v>
      </c>
      <c r="B81" s="177" t="s">
        <v>1409</v>
      </c>
      <c r="C81" s="2575">
        <f ca="1">ROUND(IF(C79&lt;=0,0,IF(C80&gt;=200%,C79*60%-C73*35%,IF(C80&gt;=100%,C79*50%-C73*15%,IF(C80&gt;=50%,C79*40%-C73*5%,IF(C80&lt;50%,C79*30%,0))))),0)</f>
        <v>200954</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80"/>
      <c r="B82" s="681"/>
      <c r="C82" s="4"/>
      <c r="D82" s="4"/>
      <c r="E82" s="681"/>
      <c r="F82" s="681"/>
      <c r="G82" s="681"/>
      <c r="H82" s="682"/>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659" t="s">
        <v>1410</v>
      </c>
      <c r="B83" s="3660"/>
      <c r="C83" s="3660"/>
      <c r="D83" s="3660"/>
      <c r="E83" s="3660"/>
      <c r="F83" s="3660"/>
      <c r="G83" s="3660"/>
      <c r="H83" s="3660"/>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651" t="s">
        <v>1375</v>
      </c>
      <c r="B84" s="3652"/>
      <c r="C84" s="2017"/>
      <c r="D84" s="2017" t="s">
        <v>1376</v>
      </c>
      <c r="E84" s="179" t="s">
        <v>1377</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3" t="s">
        <v>330</v>
      </c>
      <c r="B85" s="174" t="s">
        <v>1395</v>
      </c>
      <c r="C85" s="2564">
        <f ca="1">ROUND(D45/(1+'数据-取费表'!C42),0)</f>
        <v>338136</v>
      </c>
      <c r="D85" s="170" t="s">
        <v>26</v>
      </c>
      <c r="E85" s="2327"/>
      <c r="F85" s="2326"/>
      <c r="G85" s="2326"/>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3" t="s">
        <v>327</v>
      </c>
      <c r="B86" s="163" t="s">
        <v>1396</v>
      </c>
      <c r="C86" s="2564">
        <f ca="1">IF(H88="仅含出让金",C87+C90+C91+C92+C93+C94,C87+C91+C92+C93+C94)</f>
        <v>2029</v>
      </c>
      <c r="D86" s="2577"/>
      <c r="E86" s="2327"/>
      <c r="F86" s="2326"/>
      <c r="G86" s="2326"/>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9" t="s">
        <v>325</v>
      </c>
      <c r="B87" s="170" t="s">
        <v>1411</v>
      </c>
      <c r="C87" s="2572">
        <f>C88+C89</f>
        <v>0</v>
      </c>
      <c r="D87" s="2573"/>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9" t="s">
        <v>331</v>
      </c>
      <c r="B88" s="170" t="s">
        <v>1412</v>
      </c>
      <c r="C88" s="2578"/>
      <c r="D88" s="2573"/>
      <c r="E88" s="193" t="s">
        <v>1413</v>
      </c>
      <c r="F88" s="2323"/>
      <c r="G88" s="194" t="s">
        <v>1414</v>
      </c>
      <c r="H88" s="1820"/>
      <c r="I88" s="1817"/>
      <c r="J88" s="2517" t="s">
        <v>2287</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9" t="s">
        <v>332</v>
      </c>
      <c r="B89" s="170" t="s">
        <v>1403</v>
      </c>
      <c r="C89" s="2572">
        <f>ROUND(C88*D89,0)</f>
        <v>0</v>
      </c>
      <c r="D89" s="2573">
        <f>'数据-取费表'!B48+'数据-取费表'!B49</f>
        <v>3.0499999999999999E-2</v>
      </c>
      <c r="E89" s="193" t="s">
        <v>1415</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9" t="s">
        <v>326</v>
      </c>
      <c r="B90" s="170" t="s">
        <v>1416</v>
      </c>
      <c r="C90" s="2578"/>
      <c r="D90" s="2573"/>
      <c r="E90" s="193" t="str">
        <f>IF(H88="-","土地取得成本中已包含该笔费用"," ")</f>
        <v xml:space="preserve"> </v>
      </c>
      <c r="F90" s="2323"/>
      <c r="G90" s="3617" t="s">
        <v>2128</v>
      </c>
      <c r="H90" s="3618"/>
      <c r="I90" s="1817"/>
      <c r="J90" s="2517" t="s">
        <v>2288</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9" t="s">
        <v>1417</v>
      </c>
      <c r="B91" s="170" t="s">
        <v>1418</v>
      </c>
      <c r="C91" s="2572">
        <f>IF(H91="——",成本法!C33,I91)</f>
        <v>0</v>
      </c>
      <c r="D91" s="2573"/>
      <c r="E91" s="3648" t="s">
        <v>1419</v>
      </c>
      <c r="F91" s="3649"/>
      <c r="G91" s="3649"/>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9" t="s">
        <v>1420</v>
      </c>
      <c r="B92" s="170" t="s">
        <v>1421</v>
      </c>
      <c r="C92" s="2572">
        <f>ROUND((C87+C90+C91)*D92,0)</f>
        <v>0</v>
      </c>
      <c r="D92" s="2579"/>
      <c r="E92" s="3648" t="s">
        <v>1422</v>
      </c>
      <c r="F92" s="3649"/>
      <c r="G92" s="3649"/>
      <c r="H92" s="3650"/>
      <c r="I92" s="1817"/>
      <c r="J92" s="2518" t="s">
        <v>2289</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9" t="s">
        <v>1423</v>
      </c>
      <c r="B93" s="170" t="s">
        <v>1405</v>
      </c>
      <c r="C93" s="2572">
        <f ca="1">ROUND(D45*D93/(1+'数据-取费表'!C42),0)</f>
        <v>2029</v>
      </c>
      <c r="D93" s="2573">
        <f>'数据-取费表'!B43</f>
        <v>6.000000000000001E-3</v>
      </c>
      <c r="E93" s="3648" t="s">
        <v>1406</v>
      </c>
      <c r="F93" s="3649"/>
      <c r="G93" s="3649"/>
      <c r="H93" s="3650"/>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9" t="s">
        <v>1424</v>
      </c>
      <c r="B94" s="170" t="s">
        <v>1425</v>
      </c>
      <c r="C94" s="2578">
        <f>ROUND((C87+C90+C91)*D94,0)</f>
        <v>0</v>
      </c>
      <c r="D94" s="2573">
        <v>0.2</v>
      </c>
      <c r="E94" s="3693" t="s">
        <v>1426</v>
      </c>
      <c r="F94" s="3694"/>
      <c r="G94" s="3694"/>
      <c r="H94" s="3695"/>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3" t="s">
        <v>334</v>
      </c>
      <c r="B95" s="174" t="s">
        <v>1407</v>
      </c>
      <c r="C95" s="2564">
        <f ca="1">ROUND(C85-C86,0)</f>
        <v>336107</v>
      </c>
      <c r="D95" s="170" t="s">
        <v>26</v>
      </c>
      <c r="E95" s="2327"/>
      <c r="F95" s="2326"/>
      <c r="G95" s="2326"/>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3" t="s">
        <v>335</v>
      </c>
      <c r="B96" s="174" t="s">
        <v>1408</v>
      </c>
      <c r="C96" s="2574">
        <f ca="1">IF(C95&lt;=0,0,C95/C86)</f>
        <v>165.6515524889108</v>
      </c>
      <c r="D96" s="170"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6" t="s">
        <v>336</v>
      </c>
      <c r="B97" s="177" t="s">
        <v>1409</v>
      </c>
      <c r="C97" s="2575">
        <f ca="1">ROUND(IF(C95&lt;=0,0,IF(C96&gt;=200%,C95*60%-C86*35%,IF(C96&gt;=100%,C95*50%-C86*15%,IF(C96&gt;=50%,C95*40%-C86*5%,IF(C96&lt;50%,C95*30%,0))))),0)</f>
        <v>200954</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9"/>
    </row>
    <row r="99" spans="1:35" ht="21.75" customHeight="1" thickBot="1">
      <c r="A99" s="1796" t="s">
        <v>1427</v>
      </c>
      <c r="B99" s="1743"/>
      <c r="C99" s="1743"/>
      <c r="D99" s="1743"/>
      <c r="E99" s="1574"/>
      <c r="F99" s="1574"/>
      <c r="G99" s="1574"/>
      <c r="H99" s="1573"/>
      <c r="I99" s="129"/>
    </row>
    <row r="100" spans="1:35" ht="18.75" customHeight="1">
      <c r="A100" s="3598" t="s">
        <v>1428</v>
      </c>
      <c r="B100" s="3599"/>
      <c r="C100" s="3599"/>
      <c r="D100" s="3633"/>
      <c r="E100" s="3599" t="s">
        <v>1429</v>
      </c>
      <c r="F100" s="3599"/>
      <c r="G100" s="3599"/>
      <c r="H100" s="3633"/>
      <c r="I100" s="129"/>
    </row>
    <row r="101" spans="1:35" ht="18.75" customHeight="1">
      <c r="A101" s="3641" t="s">
        <v>1430</v>
      </c>
      <c r="B101" s="3642"/>
      <c r="C101" s="2581" t="str">
        <f>C4</f>
        <v>成本法</v>
      </c>
      <c r="D101" s="2582" t="str">
        <f>D4</f>
        <v>假设开发法</v>
      </c>
      <c r="E101" s="3611" t="s">
        <v>1431</v>
      </c>
      <c r="F101" s="3612"/>
      <c r="G101" s="1823" t="s">
        <v>1432</v>
      </c>
      <c r="H101" s="2591">
        <f ca="1">H118</f>
        <v>355043</v>
      </c>
      <c r="I101" s="129"/>
    </row>
    <row r="102" spans="1:35" ht="18.75" customHeight="1">
      <c r="A102" s="3643" t="s">
        <v>1433</v>
      </c>
      <c r="B102" s="2580" t="s">
        <v>1432</v>
      </c>
      <c r="C102" s="2581">
        <f ca="1">IF(D32="楼面单价",ROUND(C19,0),C19)</f>
        <v>363698</v>
      </c>
      <c r="D102" s="2582">
        <f ca="1">IF(D32="楼面单价",ROUND(D19,0),D19)</f>
        <v>346387</v>
      </c>
      <c r="E102" s="3611"/>
      <c r="F102" s="3612"/>
      <c r="G102" s="1823" t="s">
        <v>1434</v>
      </c>
      <c r="H102" s="2551">
        <f ca="1">I118</f>
        <v>15651</v>
      </c>
      <c r="I102" s="129"/>
    </row>
    <row r="103" spans="1:35" ht="42.75" customHeight="1">
      <c r="A103" s="3643"/>
      <c r="B103" s="2580" t="s">
        <v>1434</v>
      </c>
      <c r="C103" s="2583">
        <f ca="1">C20</f>
        <v>16033</v>
      </c>
      <c r="D103" s="2584">
        <f ca="1">D20</f>
        <v>15270</v>
      </c>
      <c r="E103" s="3604" t="s">
        <v>1435</v>
      </c>
      <c r="F103" s="3605"/>
      <c r="G103" s="1824" t="s">
        <v>1436</v>
      </c>
      <c r="H103" s="2591">
        <f>IF(D36="正常操作",H104+H105+H106,H105+H106)</f>
        <v>4000</v>
      </c>
      <c r="I103" s="129"/>
    </row>
    <row r="104" spans="1:35" ht="18.75" customHeight="1">
      <c r="A104" s="3643" t="s">
        <v>1437</v>
      </c>
      <c r="B104" s="2585" t="s">
        <v>1432</v>
      </c>
      <c r="C104" s="2586">
        <f ca="1">H118</f>
        <v>355043</v>
      </c>
      <c r="D104" s="2587"/>
      <c r="E104" s="1670" t="s">
        <v>1438</v>
      </c>
      <c r="F104" s="1662"/>
      <c r="G104" s="1824" t="s">
        <v>1436</v>
      </c>
      <c r="H104" s="2592">
        <f>IF(D36="同一抵押权人同一抵押物续贷",C36&amp;"（续贷，未扣减，详见特别提示）",C36)</f>
        <v>0</v>
      </c>
      <c r="I104" s="129"/>
    </row>
    <row r="105" spans="1:35" ht="18.75" customHeight="1" thickBot="1">
      <c r="A105" s="3653"/>
      <c r="B105" s="2588" t="s">
        <v>1434</v>
      </c>
      <c r="C105" s="2589">
        <f ca="1">I118</f>
        <v>15651</v>
      </c>
      <c r="D105" s="2590"/>
      <c r="E105" s="1670" t="s">
        <v>1439</v>
      </c>
      <c r="F105" s="1662"/>
      <c r="G105" s="1824" t="s">
        <v>1436</v>
      </c>
      <c r="H105" s="2593">
        <f>C37</f>
        <v>4000</v>
      </c>
      <c r="I105" s="129"/>
    </row>
    <row r="106" spans="1:35" ht="18.75" customHeight="1">
      <c r="A106" s="1743" t="s">
        <v>1440</v>
      </c>
      <c r="B106" s="1743"/>
      <c r="C106" s="1743"/>
      <c r="D106" s="1743"/>
      <c r="E106" s="1825" t="s">
        <v>1441</v>
      </c>
      <c r="F106" s="1662"/>
      <c r="G106" s="1824" t="s">
        <v>1436</v>
      </c>
      <c r="H106" s="2593">
        <f>C38</f>
        <v>0</v>
      </c>
      <c r="I106" s="129"/>
    </row>
    <row r="107" spans="1:35" ht="18.75" customHeight="1">
      <c r="A107" s="129"/>
      <c r="B107" s="129"/>
      <c r="C107" s="129"/>
      <c r="D107" s="129"/>
      <c r="E107" s="3644" t="str">
        <f>IF(项目基本情况!E8="已注销","——","3.房地产抵押价值")</f>
        <v>3.房地产抵押价值</v>
      </c>
      <c r="F107" s="3612"/>
      <c r="G107" s="1823" t="s">
        <v>1432</v>
      </c>
      <c r="H107" s="2591">
        <f ca="1">IF(E107="——","——",H101-H103)</f>
        <v>351043</v>
      </c>
      <c r="I107" s="129"/>
    </row>
    <row r="108" spans="1:35" ht="18.75" customHeight="1">
      <c r="A108" s="129"/>
      <c r="B108" s="129"/>
      <c r="C108" s="129"/>
      <c r="D108" s="129"/>
      <c r="E108" s="3644"/>
      <c r="F108" s="3612"/>
      <c r="G108" s="1823" t="s">
        <v>1434</v>
      </c>
      <c r="H108" s="2551">
        <f ca="1">IF(H107=H101,H102,ROUND(H107*10000/'数据-汇总表'!E3,0))</f>
        <v>15475</v>
      </c>
      <c r="I108" s="129"/>
    </row>
    <row r="109" spans="1:35" ht="18.75" customHeight="1">
      <c r="A109" s="129"/>
      <c r="B109" s="129"/>
      <c r="C109" s="129"/>
      <c r="D109" s="129"/>
      <c r="E109" s="3644" t="str">
        <f>IF(项目基本情况!E8="已注销及未注销","4.抵押担保权已注销时的房地产抵押价值",IF(项目基本情况!E8="已注销","3.抵押担保权已注销时的房地产抵押价值","——"))</f>
        <v>——</v>
      </c>
      <c r="F109" s="3612"/>
      <c r="G109" s="1823" t="s">
        <v>1432</v>
      </c>
      <c r="H109" s="2594" t="str">
        <f>IF(E109="——","——",H101-H105-H106)</f>
        <v>——</v>
      </c>
      <c r="I109" s="129"/>
    </row>
    <row r="110" spans="1:35" ht="18.75" customHeight="1">
      <c r="A110" s="129"/>
      <c r="B110" s="129"/>
      <c r="C110" s="129"/>
      <c r="D110" s="129"/>
      <c r="E110" s="3644"/>
      <c r="F110" s="3612"/>
      <c r="G110" s="1823" t="s">
        <v>1434</v>
      </c>
      <c r="H110" s="2551" t="str">
        <f>IF(H109="——","——",ROUND(H109*10000/'数据-汇总表'!E3,0))</f>
        <v>——</v>
      </c>
      <c r="I110" s="129"/>
    </row>
    <row r="111" spans="1:35" ht="18.75" customHeight="1">
      <c r="A111" s="129"/>
      <c r="B111" s="129"/>
      <c r="C111" s="129"/>
      <c r="D111" s="129"/>
      <c r="E111" s="3645" t="str">
        <f>IF(项目基本情况!E9="抵押净值",IF(OR(项目基本情况!E8="已注销",项目基本情况!E8="房地产抵押价值"),"4.抵押净值","5.抵押净值"),"——")</f>
        <v>——</v>
      </c>
      <c r="F111" s="3631"/>
      <c r="G111" s="1823" t="s">
        <v>1432</v>
      </c>
      <c r="H111" s="2591" t="str">
        <f>IF(E111="——","——",N59)</f>
        <v>——</v>
      </c>
      <c r="I111" s="129"/>
    </row>
    <row r="112" spans="1:35" ht="18.75" customHeight="1" thickBot="1">
      <c r="A112" s="129"/>
      <c r="B112" s="129"/>
      <c r="C112" s="129"/>
      <c r="D112" s="129"/>
      <c r="E112" s="3646"/>
      <c r="F112" s="3647"/>
      <c r="G112" s="1826" t="s">
        <v>1434</v>
      </c>
      <c r="H112" s="2595" t="str">
        <f>IF(E111="——","——",N61)</f>
        <v>——</v>
      </c>
      <c r="I112" s="129"/>
    </row>
    <row r="113" spans="1:27" ht="18.75" customHeight="1">
      <c r="A113" s="129"/>
      <c r="B113" s="129"/>
      <c r="C113" s="129"/>
      <c r="D113" s="129"/>
      <c r="E113" s="3654" t="s">
        <v>1440</v>
      </c>
      <c r="F113" s="3654"/>
      <c r="G113" s="3654"/>
      <c r="H113" s="3654"/>
      <c r="I113" s="129"/>
    </row>
    <row r="114" spans="1:27" ht="3.75" customHeight="1">
      <c r="A114" s="1743"/>
      <c r="B114" s="1743"/>
      <c r="C114" s="1743"/>
      <c r="D114" s="1743"/>
      <c r="E114" s="1805"/>
      <c r="F114" s="1805"/>
      <c r="G114" s="1805"/>
      <c r="H114" s="1805"/>
      <c r="I114" s="1743"/>
    </row>
    <row r="115" spans="1:27" ht="18.75" customHeight="1">
      <c r="A115" s="3662" t="s">
        <v>1442</v>
      </c>
      <c r="B115" s="3663"/>
      <c r="C115" s="3663"/>
      <c r="D115" s="3663"/>
      <c r="E115" s="3663"/>
      <c r="F115" s="3663"/>
      <c r="G115" s="3663"/>
      <c r="H115" s="3663"/>
      <c r="I115" s="3664"/>
    </row>
    <row r="116" spans="1:27" ht="27" customHeight="1">
      <c r="A116" s="3619" t="s">
        <v>1443</v>
      </c>
      <c r="B116" s="3623" t="s">
        <v>1444</v>
      </c>
      <c r="C116" s="3623" t="s">
        <v>1445</v>
      </c>
      <c r="D116" s="3629" t="s">
        <v>1446</v>
      </c>
      <c r="E116" s="3630"/>
      <c r="F116" s="3661" t="s">
        <v>1447</v>
      </c>
      <c r="G116" s="3661"/>
      <c r="H116" s="3619" t="s">
        <v>1448</v>
      </c>
      <c r="I116" s="3619"/>
    </row>
    <row r="117" spans="1:27" ht="18.75" customHeight="1">
      <c r="A117" s="3619"/>
      <c r="B117" s="3624"/>
      <c r="C117" s="3624"/>
      <c r="D117" s="2325" t="s">
        <v>1449</v>
      </c>
      <c r="E117" s="2325" t="s">
        <v>1450</v>
      </c>
      <c r="F117" s="2325" t="s">
        <v>1449</v>
      </c>
      <c r="G117" s="2325" t="s">
        <v>1451</v>
      </c>
      <c r="H117" s="2325" t="s">
        <v>1449</v>
      </c>
      <c r="I117" s="2325" t="s">
        <v>1451</v>
      </c>
    </row>
    <row r="118" spans="1:27" ht="24.75" customHeight="1">
      <c r="A118" s="2596" t="str">
        <f>项目基本情况!S2</f>
        <v>房地产</v>
      </c>
      <c r="B118" s="2325">
        <f>M18</f>
        <v>226846.22999999989</v>
      </c>
      <c r="C118" s="2325">
        <f>M19</f>
        <v>15635.46</v>
      </c>
      <c r="D118" s="2325">
        <f ca="1">ROUND(IF(D32="总价",C34,E118*B118/10000),0)</f>
        <v>77754</v>
      </c>
      <c r="E118" s="2325">
        <f ca="1">ROUND(IF(C33="自定义",IF(D32="楼面单价",C34,D118*10000/B118),I118-G118),0)</f>
        <v>3427</v>
      </c>
      <c r="F118" s="2325">
        <f ca="1">ROUND(IF(D32="总价",C35,G118*B118/10000),0)</f>
        <v>277289</v>
      </c>
      <c r="G118" s="2325">
        <f ca="1">ROUND(IF(D32="楼面单价",C35,F118*10000/B118),0)</f>
        <v>12224</v>
      </c>
      <c r="H118" s="2325">
        <f ca="1">ROUND(IF(D32="总价",C32,I118*B118/10000),0)</f>
        <v>355043</v>
      </c>
      <c r="I118" s="2325">
        <f ca="1">ROUND(IF(D32="楼面单价",C32,H118*10000/B118),0)</f>
        <v>15651</v>
      </c>
    </row>
    <row r="119" spans="1:27" ht="18.75" customHeight="1">
      <c r="A119" s="3619" t="s">
        <v>1452</v>
      </c>
      <c r="B119" s="3619"/>
      <c r="C119" s="3619"/>
      <c r="D119" s="3625" t="str">
        <f ca="1">NUMBERSTRING(INT(D118*10000),2)&amp;"元整"</f>
        <v>柒亿柒仟柒佰伍拾肆万元整</v>
      </c>
      <c r="E119" s="3626"/>
      <c r="F119" s="3625" t="str">
        <f ca="1">NUMBERSTRING(INT(F118*10000),2)&amp;"元整"</f>
        <v>贰拾柒亿柒仟贰佰捌拾玖万元整</v>
      </c>
      <c r="G119" s="3626"/>
      <c r="H119" s="3625" t="str">
        <f ca="1">NUMBERSTRING(INT(H118*10000),2)&amp;"元整"</f>
        <v>叁拾伍亿伍仟零肆拾叁万元整</v>
      </c>
      <c r="I119" s="3626"/>
    </row>
    <row r="120" spans="1:27" ht="18.75" customHeight="1">
      <c r="A120" s="3620" t="str">
        <f>IF(项目基本情况!B9="房地产市场价值","",MID(E103,3,LEN(E103)-2))</f>
        <v>估价师知悉的法定优先受偿款</v>
      </c>
      <c r="B120" s="3621"/>
      <c r="C120" s="3622"/>
      <c r="D120" s="3620">
        <f>H103</f>
        <v>4000</v>
      </c>
      <c r="E120" s="3621"/>
      <c r="F120" s="3621"/>
      <c r="G120" s="3621"/>
      <c r="H120" s="3621"/>
      <c r="I120" s="3622"/>
      <c r="J120" s="1748"/>
      <c r="K120" s="1748" t="str">
        <f>IF(D120=0,"故，本次评估不存在"&amp;A120,"故，本次评估"&amp;A120&amp;"为人民币"&amp;D120&amp;"万元整。")</f>
        <v>故，本次评估估价师知悉的法定优先受偿款为人民币4000万元整。</v>
      </c>
      <c r="L120" s="1748"/>
      <c r="M120" s="1748"/>
      <c r="N120" s="1748"/>
      <c r="O120" s="1748"/>
      <c r="P120" s="1748"/>
      <c r="Q120" s="1748"/>
      <c r="R120" s="1748"/>
      <c r="S120" s="1748"/>
    </row>
    <row r="121" spans="1:27" ht="18.75" customHeight="1">
      <c r="A121" s="3625" t="s">
        <v>1452</v>
      </c>
      <c r="B121" s="3627"/>
      <c r="C121" s="3626"/>
      <c r="D121" s="3625" t="str">
        <f>IF(D120=0,"零元整",NUMBERSTRING(INT(D120*10000),2)&amp;"元整")</f>
        <v>肆仟万元整</v>
      </c>
      <c r="E121" s="3627"/>
      <c r="F121" s="3627"/>
      <c r="G121" s="3627"/>
      <c r="H121" s="3627"/>
      <c r="I121" s="3626"/>
      <c r="AA121" s="725"/>
    </row>
    <row r="122" spans="1:27" ht="18.75" customHeight="1">
      <c r="A122" s="3631" t="str">
        <f>IF(项目基本情况!B9="房地产市场价值","",MID(E107,3,LEN(E107)-2))</f>
        <v>房地产抵押价值</v>
      </c>
      <c r="B122" s="3631"/>
      <c r="C122" s="3631"/>
      <c r="D122" s="3620">
        <f ca="1">H107</f>
        <v>351043</v>
      </c>
      <c r="E122" s="3621"/>
      <c r="F122" s="3621"/>
      <c r="G122" s="3621"/>
      <c r="H122" s="3621"/>
      <c r="I122" s="3622"/>
      <c r="AA122" s="725"/>
    </row>
    <row r="123" spans="1:27" ht="18.75" customHeight="1">
      <c r="A123" s="3619" t="s">
        <v>1452</v>
      </c>
      <c r="B123" s="3619"/>
      <c r="C123" s="3619"/>
      <c r="D123" s="3625" t="str">
        <f ca="1">NUMBERSTRING(INT(D122*10000),2)&amp;"元整"</f>
        <v>叁拾伍亿壹仟零肆拾叁万元整</v>
      </c>
      <c r="E123" s="3627"/>
      <c r="F123" s="3627"/>
      <c r="G123" s="3627"/>
      <c r="H123" s="3627"/>
      <c r="I123" s="3626"/>
      <c r="AA123" s="725"/>
    </row>
    <row r="124" spans="1:27" ht="18.75" customHeight="1">
      <c r="A124" s="3631" t="str">
        <f>IF(项目基本情况!B9="房地产市场价值","",MID(E109,3,LEN(E109)-2))</f>
        <v/>
      </c>
      <c r="B124" s="3631"/>
      <c r="C124" s="3631"/>
      <c r="D124" s="3620" t="str">
        <f>H109</f>
        <v>——</v>
      </c>
      <c r="E124" s="3621"/>
      <c r="F124" s="3621"/>
      <c r="G124" s="3621"/>
      <c r="H124" s="3621"/>
      <c r="I124" s="3622"/>
      <c r="AA124" s="725"/>
    </row>
    <row r="125" spans="1:27" ht="18.75" customHeight="1">
      <c r="A125" s="3619" t="s">
        <v>1452</v>
      </c>
      <c r="B125" s="3619"/>
      <c r="C125" s="3619"/>
      <c r="D125" s="3625" t="e">
        <f>NUMBERSTRING(INT(D124*10000),2)&amp;"元整"</f>
        <v>#VALUE!</v>
      </c>
      <c r="E125" s="3627"/>
      <c r="F125" s="3627"/>
      <c r="G125" s="3627"/>
      <c r="H125" s="3627"/>
      <c r="I125" s="3626"/>
      <c r="AA125" s="725"/>
    </row>
    <row r="126" spans="1:27" ht="18.75" customHeight="1">
      <c r="A126" s="3631" t="str">
        <f>IF(项目基本情况!B9="房地产市场价值","",MID(E111,3,LEN(E111)-2))</f>
        <v/>
      </c>
      <c r="B126" s="3631"/>
      <c r="C126" s="3631"/>
      <c r="D126" s="3620" t="str">
        <f>H111</f>
        <v>——</v>
      </c>
      <c r="E126" s="3621"/>
      <c r="F126" s="3621"/>
      <c r="G126" s="3621"/>
      <c r="H126" s="3621"/>
      <c r="I126" s="3622"/>
      <c r="AA126" s="725"/>
    </row>
    <row r="127" spans="1:27" ht="18.75" customHeight="1">
      <c r="A127" s="3619" t="s">
        <v>1452</v>
      </c>
      <c r="B127" s="3619"/>
      <c r="C127" s="3619"/>
      <c r="D127" s="3625" t="e">
        <f>NUMBERSTRING(INT(D126*10000),2)&amp;"元整"</f>
        <v>#VALUE!</v>
      </c>
      <c r="E127" s="3627"/>
      <c r="F127" s="3627"/>
      <c r="G127" s="3627"/>
      <c r="H127" s="3627"/>
      <c r="I127" s="3626"/>
      <c r="AA127" s="725"/>
    </row>
    <row r="128" spans="1:27" ht="21.75" customHeight="1">
      <c r="A128" s="3628" t="s">
        <v>1453</v>
      </c>
      <c r="B128" s="3628"/>
      <c r="C128" s="3628"/>
      <c r="D128" s="3628"/>
      <c r="E128" s="3628"/>
      <c r="F128" s="3628"/>
      <c r="G128" s="3628"/>
      <c r="H128" s="3628"/>
      <c r="I128" s="3628"/>
      <c r="AA128" s="725"/>
    </row>
    <row r="129" spans="1:35" ht="21.75" customHeight="1">
      <c r="A129" s="1827" t="s">
        <v>1454</v>
      </c>
      <c r="B129" s="1828"/>
      <c r="C129" s="1829" t="s">
        <v>1455</v>
      </c>
      <c r="D129" s="1830"/>
      <c r="E129" s="1830"/>
      <c r="F129" s="1830"/>
      <c r="G129" s="1830"/>
      <c r="H129" s="1831"/>
      <c r="I129" s="1832"/>
      <c r="AA129" s="725"/>
    </row>
    <row r="130" spans="1:35" ht="21.75" customHeight="1">
      <c r="A130" s="1833">
        <v>1</v>
      </c>
      <c r="B130" s="1834"/>
      <c r="C130" s="1834"/>
      <c r="D130" s="1835"/>
      <c r="E130" s="1835"/>
      <c r="F130" s="1835"/>
      <c r="G130" s="1835"/>
      <c r="H130" s="1836"/>
      <c r="I130" s="1837"/>
      <c r="AA130" s="725"/>
    </row>
    <row r="131" spans="1:35" ht="21.75" customHeight="1">
      <c r="A131" s="1833">
        <v>2</v>
      </c>
      <c r="B131" s="1834"/>
      <c r="C131" s="1834"/>
      <c r="D131" s="1835"/>
      <c r="E131" s="1835"/>
      <c r="F131" s="1835"/>
      <c r="G131" s="1835"/>
      <c r="H131" s="1836"/>
      <c r="I131" s="1837"/>
      <c r="AA131" s="725"/>
    </row>
    <row r="132" spans="1:35" ht="21.75" customHeight="1">
      <c r="A132" s="1833">
        <v>3</v>
      </c>
      <c r="B132" s="1834"/>
      <c r="C132" s="1834"/>
      <c r="D132" s="1835"/>
      <c r="E132" s="1835"/>
      <c r="F132" s="1835"/>
      <c r="G132" s="1835"/>
      <c r="H132" s="1836"/>
      <c r="I132" s="1837"/>
      <c r="AA132" s="725"/>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5"/>
    </row>
    <row r="135" spans="1:35" ht="21.75" customHeight="1">
      <c r="A135" s="725"/>
      <c r="B135" s="725"/>
      <c r="C135" s="725"/>
      <c r="D135" s="725"/>
      <c r="E135" s="725"/>
      <c r="F135" s="1843" t="s">
        <v>1456</v>
      </c>
      <c r="G135" s="1844"/>
      <c r="H135" s="1844"/>
      <c r="I135" s="1845" t="s">
        <v>1457</v>
      </c>
    </row>
    <row r="136" spans="1:35" ht="21.75" customHeight="1">
      <c r="A136" s="725"/>
      <c r="B136" s="1846"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4"/>
      <c r="C138" s="1844"/>
      <c r="D138" s="1844"/>
      <c r="E138" s="1844"/>
      <c r="F138" s="1844"/>
      <c r="G138" s="1844"/>
      <c r="H138" s="1844"/>
      <c r="I138" s="1845" t="s">
        <v>1459</v>
      </c>
    </row>
    <row r="139" spans="1:35" ht="21.75" customHeight="1">
      <c r="A139" s="725"/>
      <c r="B139" s="1846" t="s">
        <v>1460</v>
      </c>
      <c r="C139" s="725"/>
      <c r="D139" s="725"/>
      <c r="E139" s="725"/>
      <c r="F139" s="725"/>
      <c r="G139" s="725"/>
      <c r="H139" s="725"/>
      <c r="I139" s="725"/>
    </row>
    <row r="140" spans="1:35" ht="21.75" customHeight="1">
      <c r="A140" s="725"/>
      <c r="B140" s="1846"/>
      <c r="C140" s="725"/>
      <c r="D140" s="725"/>
      <c r="E140" s="725"/>
      <c r="F140" s="725"/>
      <c r="G140" s="725"/>
      <c r="H140" s="725"/>
      <c r="I140" s="725"/>
    </row>
    <row r="141" spans="1:35" ht="21.75" customHeight="1">
      <c r="A141" s="725"/>
      <c r="B141" s="1844"/>
      <c r="C141" s="1844"/>
      <c r="D141" s="1844"/>
      <c r="E141" s="1844"/>
      <c r="F141" s="1844"/>
      <c r="G141" s="1844"/>
      <c r="H141" s="1844"/>
      <c r="I141" s="1845" t="s">
        <v>1459</v>
      </c>
    </row>
    <row r="142" spans="1:35" ht="21.75" customHeight="1">
      <c r="A142" s="725"/>
      <c r="B142" s="1846"/>
      <c r="C142" s="1847"/>
      <c r="D142" s="1848"/>
      <c r="E142" s="1848"/>
      <c r="F142" s="1737"/>
      <c r="G142" s="725"/>
      <c r="H142" s="725"/>
      <c r="I142" s="725"/>
    </row>
    <row r="143" spans="1:35" s="130" customFormat="1" ht="21.75" customHeight="1">
      <c r="A143" s="725"/>
      <c r="B143" s="1846"/>
      <c r="C143" s="1847"/>
      <c r="D143" s="1848"/>
      <c r="E143" s="1848"/>
      <c r="F143" s="1737"/>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8"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8"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8"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8"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8"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8"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8"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8"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8"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8"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8"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8"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8"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8"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8"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8"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8"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8"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8"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8"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8"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8"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8"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8"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8"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8"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8"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8"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8"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8"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8"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8"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8"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8"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8"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8"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8"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8"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8"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8"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8"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8"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8"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8"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8"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8"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8"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8"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8"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8"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8"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8"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8"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8"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8"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8"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8"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8"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8"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8"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8"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8"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8"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8"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8"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8"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8"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8"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8"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8"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8"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8"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8"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8"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8"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8"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8"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8"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8"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8"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8"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8"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8"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8"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8"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8"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8"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8"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8"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8"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8"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8"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8"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8"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8"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8"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8"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8"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8"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8"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8"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8"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8"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8"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509" t="str">
        <f>项目基本情况!B1</f>
        <v>房地产抵押价值预评估</v>
      </c>
      <c r="C37" s="3509"/>
      <c r="D37" s="3509"/>
      <c r="E37" s="3509"/>
      <c r="F37" s="3509"/>
      <c r="G37" s="3509"/>
      <c r="H37" s="3509"/>
      <c r="I37" s="3509"/>
    </row>
    <row r="38" spans="1:9">
      <c r="A38" s="841"/>
      <c r="B38" s="841"/>
    </row>
    <row r="39" spans="1:9">
      <c r="A39" s="839" t="s">
        <v>371</v>
      </c>
      <c r="B39" s="839" t="s">
        <v>373</v>
      </c>
    </row>
    <row r="40" spans="1:9">
      <c r="A40" s="839"/>
      <c r="B40" s="1470">
        <f>项目基本情况!B5</f>
        <v>0</v>
      </c>
    </row>
    <row r="41" spans="1:9">
      <c r="A41" s="839"/>
      <c r="B41" s="839"/>
    </row>
    <row r="42" spans="1:9">
      <c r="A42" s="839" t="s">
        <v>371</v>
      </c>
      <c r="B42" s="839" t="s">
        <v>374</v>
      </c>
    </row>
    <row r="43" spans="1:9">
      <c r="A43" s="839"/>
      <c r="B43" s="1470" t="s">
        <v>375</v>
      </c>
    </row>
    <row r="44" spans="1:9">
      <c r="A44" s="839"/>
      <c r="B44" s="839"/>
    </row>
    <row r="45" spans="1:9">
      <c r="A45" s="839" t="s">
        <v>371</v>
      </c>
      <c r="B45" s="839" t="s">
        <v>376</v>
      </c>
    </row>
    <row r="46" spans="1:9" s="839" customFormat="1" ht="12.75">
      <c r="B46" s="1470" t="str">
        <f>项目基本情况!K4</f>
        <v>（注册号：0)、（注册号：0)</v>
      </c>
    </row>
    <row r="47" spans="1:9">
      <c r="A47" s="839"/>
      <c r="B47" s="839" t="str">
        <f>项目基本情况!K5</f>
        <v>（注册号：0)、（注册号：0)</v>
      </c>
    </row>
    <row r="48" spans="1:9">
      <c r="A48" s="839" t="s">
        <v>371</v>
      </c>
      <c r="B48" s="839"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B1" zoomScale="70" zoomScaleNormal="70" zoomScaleSheetLayoutView="70" workbookViewId="0">
      <selection activeCell="C10" sqref="C10"/>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6"/>
      <c r="C1" s="198"/>
      <c r="D1" s="198"/>
      <c r="E1" s="198"/>
      <c r="F1" s="198"/>
      <c r="G1" s="1123">
        <f>MATCH(B1,'数据-取费表'!A6:A16,0)+5</f>
        <v>10</v>
      </c>
    </row>
    <row r="2" spans="1:9" s="200" customFormat="1" ht="18" customHeight="1">
      <c r="A2" s="201" t="s">
        <v>1462</v>
      </c>
      <c r="B2" s="202">
        <f ca="1">IF(D2="——",C52,C52-E2)</f>
        <v>363698</v>
      </c>
      <c r="C2" s="199" t="s">
        <v>1463</v>
      </c>
      <c r="D2" s="1849" t="s">
        <v>43</v>
      </c>
      <c r="E2" s="1166" t="e">
        <f ca="1">SUMIF(INDIRECT("'"&amp;G2&amp;"'"&amp;"!A:A"),"承租人权益价值",INDIRECT("'"&amp;G2&amp;"'"&amp;"!c:c"))</f>
        <v>#REF!</v>
      </c>
      <c r="F2" s="1850" t="s">
        <v>1463</v>
      </c>
      <c r="G2" s="1851"/>
    </row>
    <row r="3" spans="1:9" s="200" customFormat="1" ht="18" customHeight="1" thickBot="1">
      <c r="A3" s="203" t="s">
        <v>1464</v>
      </c>
      <c r="B3" s="204">
        <f ca="1">ROUND(B2*10000/(IF(B1="",'数据-汇总表'!E3,INDIRECT("'数据-取费表'!k"&amp;$G$1))),0)</f>
        <v>16033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56511</v>
      </c>
      <c r="D5" s="211" t="s">
        <v>1469</v>
      </c>
      <c r="E5" s="212" t="s">
        <v>1470</v>
      </c>
      <c r="F5" s="212" t="s">
        <v>1471</v>
      </c>
      <c r="G5" s="213"/>
    </row>
    <row r="6" spans="1:9" s="214" customFormat="1" ht="13.5" customHeight="1">
      <c r="A6" s="775" t="s">
        <v>1472</v>
      </c>
      <c r="B6" s="215" t="s">
        <v>1473</v>
      </c>
      <c r="C6" s="216">
        <f>'土地比较法-住宅、综合'!B2</f>
        <v>51536</v>
      </c>
      <c r="D6" s="217"/>
      <c r="E6" s="218"/>
      <c r="F6" s="218"/>
      <c r="G6" s="219"/>
    </row>
    <row r="7" spans="1:9" s="214" customFormat="1" ht="13.5" customHeight="1">
      <c r="A7" s="775" t="s">
        <v>1474</v>
      </c>
      <c r="B7" s="215" t="s">
        <v>1475</v>
      </c>
      <c r="C7" s="220">
        <f>ROUND(C6*F7,0)</f>
        <v>1572</v>
      </c>
      <c r="D7" s="220"/>
      <c r="E7" s="218"/>
      <c r="F7" s="221">
        <f>IF(项目基本情况!B8="出让",0,'数据-取费表'!B48+'数据-取费表'!B49)</f>
        <v>3.0499999999999999E-2</v>
      </c>
      <c r="G7" s="219"/>
    </row>
    <row r="8" spans="1:9" s="223" customFormat="1">
      <c r="A8" s="775" t="s">
        <v>1476</v>
      </c>
      <c r="B8" s="215" t="s">
        <v>1477</v>
      </c>
      <c r="C8" s="220">
        <f ca="1">IF(G8="已包含在土地购买价格中","0",IF(B1="",'数据-取费表'!B29,IF(G9="全部缴纳",C9+C10,H9)))</f>
        <v>3403</v>
      </c>
      <c r="D8" s="222"/>
      <c r="E8" s="220"/>
      <c r="F8" s="221"/>
      <c r="G8" s="1852" t="s">
        <v>3932</v>
      </c>
    </row>
    <row r="9" spans="1:9" s="214" customFormat="1" ht="13.5" customHeight="1">
      <c r="A9" s="776" t="s">
        <v>355</v>
      </c>
      <c r="B9" s="224" t="s">
        <v>1478</v>
      </c>
      <c r="C9" s="225">
        <f ca="1">ROUND(D9*E9/10000,0)</f>
        <v>0</v>
      </c>
      <c r="D9" s="842">
        <f ca="1">IF(B1="",'数据-汇总表'!E5,IF(INDIRECT("'数据-取费表'!c"&amp;$G$1)="住宅",INDIRECT("'数据-取费表'!k"&amp;$G$1),0))</f>
        <v>0</v>
      </c>
      <c r="E9" s="225">
        <f>'数据-取费表'!B27</f>
        <v>150</v>
      </c>
      <c r="F9" s="221"/>
      <c r="G9" s="1853" t="s">
        <v>3933</v>
      </c>
      <c r="H9" s="1134"/>
      <c r="I9" s="1854" t="s">
        <v>1479</v>
      </c>
    </row>
    <row r="10" spans="1:9" s="214" customFormat="1" ht="13.5" customHeight="1">
      <c r="A10" s="776" t="s">
        <v>356</v>
      </c>
      <c r="B10" s="224" t="s">
        <v>1480</v>
      </c>
      <c r="C10" s="225">
        <f ca="1">ROUND(D10*E10/10000,0)</f>
        <v>3403</v>
      </c>
      <c r="D10" s="842">
        <f ca="1">IF(B1="",'数据-汇总表'!E6,IF(INDIRECT("'数据-取费表'!c"&amp;$G$1)="住宅",INDIRECT("'数据-取费表'!s"&amp;$G$1),INDIRECT("'数据-取费表'!k"&amp;$G$1)+INDIRECT("'数据-取费表'!s"&amp;$G$1)))</f>
        <v>226846.22999999989</v>
      </c>
      <c r="E10" s="225">
        <f>'数据-取费表'!B28</f>
        <v>150</v>
      </c>
      <c r="F10" s="221"/>
      <c r="G10" s="226"/>
    </row>
    <row r="11" spans="1:9" s="214" customFormat="1" ht="13.5" hidden="1" customHeight="1">
      <c r="A11" s="227" t="s">
        <v>4</v>
      </c>
      <c r="B11" s="215" t="s">
        <v>1481</v>
      </c>
      <c r="C11" s="211"/>
      <c r="D11" s="844"/>
      <c r="E11" s="218"/>
      <c r="F11" s="218"/>
      <c r="G11" s="219"/>
    </row>
    <row r="12" spans="1:9" s="214" customFormat="1" ht="13.5" hidden="1" customHeight="1">
      <c r="A12" s="227" t="s">
        <v>5</v>
      </c>
      <c r="B12" s="215" t="s">
        <v>1482</v>
      </c>
      <c r="C12" s="211">
        <v>0</v>
      </c>
      <c r="D12" s="844"/>
      <c r="E12" s="228"/>
      <c r="F12" s="221">
        <v>3.0499999999999999E-2</v>
      </c>
      <c r="G12" s="219"/>
    </row>
    <row r="13" spans="1:9" s="214" customFormat="1" ht="13.5" hidden="1" customHeight="1">
      <c r="A13" s="227" t="s">
        <v>6</v>
      </c>
      <c r="B13" s="215" t="s">
        <v>1483</v>
      </c>
      <c r="C13" s="211"/>
      <c r="D13" s="844"/>
      <c r="E13" s="218"/>
      <c r="F13" s="218"/>
      <c r="G13" s="219"/>
    </row>
    <row r="14" spans="1:9" s="214" customFormat="1" ht="13.5" hidden="1" customHeight="1">
      <c r="A14" s="227" t="s">
        <v>7</v>
      </c>
      <c r="B14" s="215" t="s">
        <v>1484</v>
      </c>
      <c r="C14" s="211"/>
      <c r="D14" s="844"/>
      <c r="E14" s="218"/>
      <c r="F14" s="218"/>
      <c r="G14" s="219" t="s">
        <v>1485</v>
      </c>
    </row>
    <row r="15" spans="1:9" s="214" customFormat="1" ht="13.5" hidden="1" customHeight="1">
      <c r="A15" s="227" t="s">
        <v>8</v>
      </c>
      <c r="B15" s="215" t="s">
        <v>1486</v>
      </c>
      <c r="C15" s="220"/>
      <c r="D15" s="844"/>
      <c r="E15" s="218"/>
      <c r="F15" s="218"/>
      <c r="G15" s="219" t="s">
        <v>1487</v>
      </c>
    </row>
    <row r="16" spans="1:9" s="214" customFormat="1" ht="13.5" hidden="1" customHeight="1">
      <c r="A16" s="227" t="s">
        <v>9</v>
      </c>
      <c r="B16" s="215" t="s">
        <v>1484</v>
      </c>
      <c r="C16" s="220"/>
      <c r="D16" s="844"/>
      <c r="E16" s="218"/>
      <c r="F16" s="218"/>
      <c r="G16" s="219"/>
    </row>
    <row r="17" spans="1:7" s="214" customFormat="1" ht="13.5" hidden="1" customHeight="1">
      <c r="A17" s="227" t="s">
        <v>10</v>
      </c>
      <c r="B17" s="215" t="s">
        <v>1488</v>
      </c>
      <c r="C17" s="229"/>
      <c r="D17" s="845"/>
      <c r="E17" s="229"/>
      <c r="F17" s="229"/>
      <c r="G17" s="219" t="s">
        <v>1487</v>
      </c>
    </row>
    <row r="18" spans="1:7" s="214" customFormat="1" ht="13.5" hidden="1" customHeight="1">
      <c r="A18" s="227" t="s">
        <v>11</v>
      </c>
      <c r="B18" s="215" t="s">
        <v>1489</v>
      </c>
      <c r="C18" s="220">
        <v>0</v>
      </c>
      <c r="D18" s="844"/>
      <c r="E18" s="218"/>
      <c r="F18" s="221">
        <v>3.0499999999999999E-2</v>
      </c>
      <c r="G18" s="219" t="s">
        <v>1490</v>
      </c>
    </row>
    <row r="19" spans="1:7" s="223" customFormat="1" ht="13.5" customHeight="1">
      <c r="A19" s="255" t="s">
        <v>1491</v>
      </c>
      <c r="B19" s="210" t="s">
        <v>1492</v>
      </c>
      <c r="C19" s="211" t="str">
        <f>IF(G19="已包含在土地取得成本中","0",ROUND(D19*E19/10000,0))</f>
        <v>0</v>
      </c>
      <c r="D19" s="846">
        <f ca="1">D9+D10</f>
        <v>226846.22999999989</v>
      </c>
      <c r="E19" s="211">
        <f>'数据-取费表'!B31</f>
        <v>200</v>
      </c>
      <c r="F19" s="231"/>
      <c r="G19" s="1852" t="s">
        <v>3934</v>
      </c>
    </row>
    <row r="20" spans="1:7" s="214" customFormat="1" ht="13.5" customHeight="1">
      <c r="A20" s="255" t="s">
        <v>1493</v>
      </c>
      <c r="B20" s="210" t="s">
        <v>1494</v>
      </c>
      <c r="C20" s="232">
        <f ca="1">ROUND((C5+C19)*F20,0)</f>
        <v>1130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1">
        <f ca="1">ROUND(SUM(C23:C25),0)</f>
        <v>7010</v>
      </c>
      <c r="D22" s="235">
        <f ca="1">C26</f>
        <v>1.1999999999999999E-3</v>
      </c>
      <c r="E22" s="236" t="s">
        <v>1498</v>
      </c>
      <c r="F22" s="237">
        <f ca="1">'数据-取费表'!B40</f>
        <v>4.1499999999999995E-2</v>
      </c>
      <c r="G22" s="234" t="str">
        <f>IF('数据-取费表'!B22&lt;=1,"单利计息","复利计息")</f>
        <v>复利计息</v>
      </c>
    </row>
    <row r="23" spans="1:7" s="214" customFormat="1" ht="13.5" customHeight="1">
      <c r="A23" s="777" t="s">
        <v>1502</v>
      </c>
      <c r="B23" s="215" t="s">
        <v>1503</v>
      </c>
      <c r="C23" s="1102">
        <f ca="1">ROUND(IF('数据-取费表'!B22&lt;=1,C5*F22*'数据-取费表'!B23,C5*(POWER((1+F22),'数据-取费表'!B23)-1)),0)</f>
        <v>6943</v>
      </c>
      <c r="D23" s="238"/>
      <c r="E23" s="238"/>
      <c r="F23" s="239"/>
      <c r="G23" s="240" t="s">
        <v>1504</v>
      </c>
    </row>
    <row r="24" spans="1:7" s="214" customFormat="1" ht="13.5" customHeight="1">
      <c r="A24" s="777" t="s">
        <v>1505</v>
      </c>
      <c r="B24" s="215" t="s">
        <v>1506</v>
      </c>
      <c r="C24" s="1102">
        <f ca="1">ROUND(IF('数据-取费表'!B22&lt;=1,C19*F22*('数据-取费表'!B19/2+'数据-取费表'!B21),C19*(POWER((1+F22),('数据-取费表'!B19/2+'数据-取费表'!B21))-1)),0)</f>
        <v>0</v>
      </c>
      <c r="D24" s="238"/>
      <c r="E24" s="238"/>
      <c r="F24" s="239"/>
      <c r="G24" s="240" t="s">
        <v>1507</v>
      </c>
    </row>
    <row r="25" spans="1:7" s="214" customFormat="1" ht="24">
      <c r="A25" s="777" t="s">
        <v>1508</v>
      </c>
      <c r="B25" s="215" t="s">
        <v>1509</v>
      </c>
      <c r="C25" s="1102">
        <f ca="1">ROUND(IF('数据-取费表'!B22&lt;=1,C20*F22*'数据-取费表'!B23/2,C20*(POWER((1+F22),'数据-取费表'!B23/2)-1)),0)</f>
        <v>67</v>
      </c>
      <c r="D25" s="238"/>
      <c r="E25" s="241"/>
      <c r="F25" s="239"/>
      <c r="G25" s="242" t="s">
        <v>1510</v>
      </c>
    </row>
    <row r="26" spans="1:7" s="214" customFormat="1">
      <c r="A26" s="777" t="s">
        <v>350</v>
      </c>
      <c r="B26" s="215" t="s">
        <v>1511</v>
      </c>
      <c r="C26" s="238">
        <f ca="1">ROUND(IF('数据-取费表'!B22&lt;=1,F21*F22*'数据-取费表'!B23/2,F21*(POWER((1+F22),'数据-取费表'!B23/2)-1)),4)</f>
        <v>1.1999999999999999E-3</v>
      </c>
      <c r="D26" s="238"/>
      <c r="E26" s="241"/>
      <c r="F26" s="239"/>
      <c r="G26" s="243"/>
    </row>
    <row r="27" spans="1:7" s="214" customFormat="1" ht="24.75">
      <c r="A27" s="255" t="s">
        <v>1512</v>
      </c>
      <c r="B27" s="244" t="s">
        <v>1513</v>
      </c>
      <c r="C27" s="245">
        <f ca="1">C28</f>
        <v>8761</v>
      </c>
      <c r="D27" s="235">
        <f ca="1">C29</f>
        <v>3.0000000000000001E-3</v>
      </c>
      <c r="E27" s="236" t="s">
        <v>1514</v>
      </c>
      <c r="F27" s="246">
        <f ca="1">IF(B1="",'数据-取费表'!Q16,INDIRECT("'数据-取费表'!q"&amp;$G$1))</f>
        <v>0.16</v>
      </c>
      <c r="G27" s="247" t="s">
        <v>1515</v>
      </c>
    </row>
    <row r="28" spans="1:7" s="214" customFormat="1" ht="13.5" customHeight="1">
      <c r="A28" s="777" t="s">
        <v>346</v>
      </c>
      <c r="B28" s="248" t="s">
        <v>1516</v>
      </c>
      <c r="C28" s="249">
        <f ca="1">ROUND((C5+C19+C20)*F27*'数据-取费表'!B21/'数据-取费表'!B20,0)</f>
        <v>8761</v>
      </c>
      <c r="D28" s="235"/>
      <c r="E28" s="236"/>
      <c r="F28" s="246"/>
      <c r="G28" s="247"/>
    </row>
    <row r="29" spans="1:7" s="214" customFormat="1" ht="13.5" customHeight="1">
      <c r="A29" s="777"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79579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210637</v>
      </c>
      <c r="D33" s="232"/>
      <c r="E33" s="212"/>
      <c r="F33" s="241"/>
      <c r="G33" s="234"/>
    </row>
    <row r="34" spans="1:7" s="258" customFormat="1" ht="13.5" customHeight="1">
      <c r="A34" s="777" t="s">
        <v>346</v>
      </c>
      <c r="B34" s="215" t="s">
        <v>1525</v>
      </c>
      <c r="C34" s="220">
        <f ca="1">IF(B1="",IF(F34=100%,'数据-取费表'!M16,'数据-取费表'!O16),IF(F34=100%,INDIRECT("'数据-取费表'!m"&amp;$G$1)+INDIRECT("'数据-取费表'!t"&amp;$G$1),INDIRECT("'数据-取费表'!o"&amp;$G$1)+INDIRECT("'数据-取费表'!aq"&amp;$G$1)))</f>
        <v>197442</v>
      </c>
      <c r="D34" s="217"/>
      <c r="E34" s="220"/>
      <c r="F34" s="257">
        <f ca="1">IF('数据-取费表'!B24=0,1,IF(B1="",'数据-取费表'!N16,INDIRECT("'数据-取费表'!n"&amp;$G$1)))</f>
        <v>0.95</v>
      </c>
      <c r="G34" s="219" t="s">
        <v>1526</v>
      </c>
    </row>
    <row r="35" spans="1:7" ht="13.5" customHeight="1">
      <c r="A35" s="777" t="s">
        <v>351</v>
      </c>
      <c r="B35" s="215" t="s">
        <v>1527</v>
      </c>
      <c r="C35" s="220">
        <f ca="1">ROUND(C34*F35,0)</f>
        <v>5923</v>
      </c>
      <c r="D35" s="220"/>
      <c r="E35" s="220"/>
      <c r="F35" s="259">
        <f>'数据-取费表'!B33</f>
        <v>0.03</v>
      </c>
      <c r="G35" s="219" t="s">
        <v>1528</v>
      </c>
    </row>
    <row r="36" spans="1:7" ht="24">
      <c r="A36" s="777"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7" t="s">
        <v>353</v>
      </c>
      <c r="B37" s="215" t="s">
        <v>1531</v>
      </c>
      <c r="C37" s="249">
        <f ca="1">ROUND(E37*D37*F34/10000,0)</f>
        <v>4310</v>
      </c>
      <c r="D37" s="217">
        <f ca="1">D19</f>
        <v>226846.22999999989</v>
      </c>
      <c r="E37" s="249">
        <f>'数据-取费表'!B35</f>
        <v>200</v>
      </c>
      <c r="F37" s="259"/>
      <c r="G37" s="261" t="s">
        <v>1532</v>
      </c>
    </row>
    <row r="38" spans="1:7" ht="13.5" customHeight="1">
      <c r="A38" s="777" t="s">
        <v>354</v>
      </c>
      <c r="B38" s="215" t="s">
        <v>1533</v>
      </c>
      <c r="C38" s="220">
        <f ca="1">ROUND(C34*F38,0)</f>
        <v>2962</v>
      </c>
      <c r="D38" s="220"/>
      <c r="E38" s="220"/>
      <c r="F38" s="259">
        <f>'数据-取费表'!B36</f>
        <v>1.4999999999999999E-2</v>
      </c>
      <c r="G38" s="219" t="s">
        <v>1528</v>
      </c>
    </row>
    <row r="39" spans="1:7" s="214" customFormat="1" ht="13.5" customHeight="1">
      <c r="A39" s="255" t="s">
        <v>1534</v>
      </c>
      <c r="B39" s="210" t="s">
        <v>1535</v>
      </c>
      <c r="C39" s="232">
        <f ca="1">ROUND(C33*F20,0)</f>
        <v>4213</v>
      </c>
      <c r="D39" s="232"/>
      <c r="E39" s="232"/>
      <c r="F39" s="233">
        <f>F20</f>
        <v>0.02</v>
      </c>
      <c r="G39" s="234" t="s">
        <v>1536</v>
      </c>
    </row>
    <row r="40" spans="1:7" s="214" customFormat="1" ht="13.5" customHeight="1">
      <c r="A40" s="255" t="s">
        <v>1537</v>
      </c>
      <c r="B40" s="210" t="s">
        <v>1538</v>
      </c>
      <c r="C40" s="1323">
        <f>F21</f>
        <v>0.02</v>
      </c>
      <c r="D40" s="236" t="s">
        <v>1539</v>
      </c>
      <c r="E40" s="232"/>
      <c r="F40" s="233">
        <f>F21</f>
        <v>0.02</v>
      </c>
      <c r="G40" s="234" t="s">
        <v>1540</v>
      </c>
    </row>
    <row r="41" spans="1:7" s="214" customFormat="1" ht="13.5" customHeight="1">
      <c r="A41" s="255" t="s">
        <v>1541</v>
      </c>
      <c r="B41" s="210" t="s">
        <v>1542</v>
      </c>
      <c r="C41" s="232">
        <f ca="1">ROUND(SUM(C42:C43),0)</f>
        <v>12817</v>
      </c>
      <c r="D41" s="235">
        <f ca="1">C44</f>
        <v>1.1999999999999999E-3</v>
      </c>
      <c r="E41" s="236" t="s">
        <v>1539</v>
      </c>
      <c r="F41" s="237">
        <f ca="1">F22</f>
        <v>4.1499999999999995E-2</v>
      </c>
      <c r="G41" s="234" t="str">
        <f>IF('数据-取费表'!B22&lt;=1,"单利计息","复利计息")</f>
        <v>复利计息</v>
      </c>
    </row>
    <row r="42" spans="1:7" ht="13.5" customHeight="1">
      <c r="A42" s="777" t="s">
        <v>346</v>
      </c>
      <c r="B42" s="215" t="s">
        <v>1543</v>
      </c>
      <c r="C42" s="238">
        <f ca="1">ROUND(IF('数据-取费表'!B22&lt;=1,C33*F22*'数据-取费表'!B21/2,C33*(POWER((1+F22),'数据-取费表'!B21/2)-1)),0)</f>
        <v>12566</v>
      </c>
      <c r="D42" s="238"/>
      <c r="E42" s="238"/>
      <c r="F42" s="239"/>
      <c r="G42" s="3698" t="s">
        <v>1544</v>
      </c>
    </row>
    <row r="43" spans="1:7" ht="13.5" customHeight="1">
      <c r="A43" s="777" t="s">
        <v>347</v>
      </c>
      <c r="B43" s="215" t="s">
        <v>1545</v>
      </c>
      <c r="C43" s="238">
        <f ca="1">ROUND(IF('数据-取费表'!B22&lt;=1,C39*F22*'数据-取费表'!B21/2,C39*(POWER((1+F22),'数据-取费表'!B21/2)-1)),0)</f>
        <v>251</v>
      </c>
      <c r="D43" s="238"/>
      <c r="E43" s="238"/>
      <c r="F43" s="239"/>
      <c r="G43" s="3699"/>
    </row>
    <row r="44" spans="1:7" ht="13.5" customHeight="1">
      <c r="A44" s="777" t="s">
        <v>348</v>
      </c>
      <c r="B44" s="215" t="s">
        <v>1546</v>
      </c>
      <c r="C44" s="238">
        <f ca="1">ROUND(IF('数据-取费表'!B22&lt;=1,C40*F22*'数据-取费表'!B21/2,C40*(POWER((1+F22),'数据-取费表'!B21/2)-1)),4)</f>
        <v>1.1999999999999999E-3</v>
      </c>
      <c r="D44" s="238"/>
      <c r="E44" s="238"/>
      <c r="F44" s="239"/>
      <c r="G44" s="3700"/>
    </row>
    <row r="45" spans="1:7" s="214" customFormat="1" ht="13.5" customHeight="1">
      <c r="A45" s="255" t="s">
        <v>1547</v>
      </c>
      <c r="B45" s="244" t="s">
        <v>1513</v>
      </c>
      <c r="C45" s="245">
        <f ca="1">C46</f>
        <v>34376</v>
      </c>
      <c r="D45" s="235">
        <f ca="1">C47</f>
        <v>3.2000000000000002E-3</v>
      </c>
      <c r="E45" s="236" t="s">
        <v>1539</v>
      </c>
      <c r="F45" s="246">
        <f ca="1">F27</f>
        <v>0.16</v>
      </c>
      <c r="G45" s="247" t="s">
        <v>1548</v>
      </c>
    </row>
    <row r="46" spans="1:7" s="214" customFormat="1" ht="13.5" customHeight="1">
      <c r="A46" s="777" t="s">
        <v>346</v>
      </c>
      <c r="B46" s="248" t="s">
        <v>1549</v>
      </c>
      <c r="C46" s="249">
        <f ca="1">ROUND((C33+C39)*F27,0)</f>
        <v>34376</v>
      </c>
      <c r="D46" s="263"/>
      <c r="E46" s="236"/>
      <c r="F46" s="246"/>
      <c r="G46" s="247"/>
    </row>
    <row r="47" spans="1:7" s="214" customFormat="1" ht="13.5" customHeight="1">
      <c r="A47" s="777" t="s">
        <v>347</v>
      </c>
      <c r="B47" s="248" t="s">
        <v>1550</v>
      </c>
      <c r="C47" s="238">
        <f ca="1">ROUND(C40*F27,4)</f>
        <v>3.2000000000000002E-3</v>
      </c>
      <c r="D47" s="263"/>
      <c r="E47" s="236"/>
      <c r="F47" s="246"/>
      <c r="G47" s="247"/>
    </row>
    <row r="48" spans="1:7" s="214" customFormat="1" ht="13.5" customHeight="1">
      <c r="A48" s="255" t="s">
        <v>1512</v>
      </c>
      <c r="B48" s="210" t="s">
        <v>1551</v>
      </c>
      <c r="C48" s="1323">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284119</v>
      </c>
      <c r="D49" s="232"/>
      <c r="E49" s="232"/>
      <c r="F49" s="264"/>
      <c r="G49" s="234" t="s">
        <v>1554</v>
      </c>
    </row>
    <row r="50" spans="1:7" s="258" customFormat="1" ht="24">
      <c r="A50" s="255" t="s">
        <v>1555</v>
      </c>
      <c r="B50" s="210" t="s">
        <v>1556</v>
      </c>
      <c r="C50" s="232"/>
      <c r="D50" s="232"/>
      <c r="E50" s="232"/>
      <c r="F50" s="264">
        <f>IF('数据-取费表'!B24=0,'数据-取费表'!N16,1)</f>
        <v>1</v>
      </c>
      <c r="G50" s="247" t="s">
        <v>1557</v>
      </c>
    </row>
    <row r="51" spans="1:7" ht="16.5" customHeight="1">
      <c r="A51" s="255" t="s">
        <v>1558</v>
      </c>
      <c r="B51" s="210" t="s">
        <v>1559</v>
      </c>
      <c r="C51" s="232">
        <f ca="1">ROUND(C49*F50,0)</f>
        <v>284119</v>
      </c>
      <c r="D51" s="232"/>
      <c r="E51" s="232"/>
      <c r="F51" s="264"/>
      <c r="G51" s="234" t="s">
        <v>1560</v>
      </c>
    </row>
    <row r="52" spans="1:7" s="208" customFormat="1" ht="16.5" thickBot="1">
      <c r="A52" s="265" t="s">
        <v>1561</v>
      </c>
      <c r="B52" s="266"/>
      <c r="C52" s="267">
        <f ca="1">C31+C51</f>
        <v>363698</v>
      </c>
      <c r="D52" s="266"/>
      <c r="E52" s="266"/>
      <c r="F52" s="266"/>
      <c r="G52" s="268"/>
    </row>
    <row r="55" spans="1:7" ht="15">
      <c r="B55" s="270" t="s">
        <v>1562</v>
      </c>
      <c r="C55" s="271"/>
    </row>
    <row r="56" spans="1:7">
      <c r="B56" s="273" t="s">
        <v>802</v>
      </c>
      <c r="C56" s="275">
        <f ca="1">1-C57</f>
        <v>0.21899999999999997</v>
      </c>
    </row>
    <row r="57" spans="1:7">
      <c r="B57" s="273" t="s">
        <v>803</v>
      </c>
      <c r="C57" s="274">
        <f ca="1">ROUND(C51/C52,3)</f>
        <v>0.78100000000000003</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L47" sqref="L4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6"/>
      <c r="C1" s="1855" t="s">
        <v>1563</v>
      </c>
      <c r="D1" s="198"/>
      <c r="E1" s="198"/>
      <c r="F1" s="198"/>
      <c r="G1" s="1123">
        <f>MATCH(B1,'数据-取费表'!A6:A16,0)+5</f>
        <v>10</v>
      </c>
      <c r="H1" s="1058" t="str">
        <f>IF(ISERROR(FIND("住宅",B1)),"非住宅","住宅")</f>
        <v>非住宅</v>
      </c>
    </row>
    <row r="2" spans="1:8" s="200" customFormat="1" ht="18" customHeight="1">
      <c r="A2" s="201" t="s">
        <v>1462</v>
      </c>
      <c r="B2" s="3420">
        <f ca="1">ROUND(IF(D2="——",C52/10000,C52/10000-E2),4)</f>
        <v>311211.45280000003</v>
      </c>
      <c r="C2" s="199" t="s">
        <v>1463</v>
      </c>
      <c r="D2" s="1849" t="s">
        <v>43</v>
      </c>
      <c r="E2" s="1166" t="e">
        <f ca="1">SUMIF(INDIRECT("'"&amp;G2&amp;"'"&amp;"!A:A"),"承租人权益价值",INDIRECT("'"&amp;G2&amp;"'"&amp;"!c:c"))</f>
        <v>#REF!</v>
      </c>
      <c r="F2" s="1850" t="s">
        <v>1463</v>
      </c>
      <c r="G2" s="1851"/>
    </row>
    <row r="3" spans="1:8" s="200" customFormat="1" ht="18" customHeight="1" thickBot="1">
      <c r="A3" s="203" t="s">
        <v>1464</v>
      </c>
      <c r="B3" s="204">
        <f ca="1">ROUND(B2*10000/(IF(B1="",'数据-汇总表'!E3,INDIRECT("'数据-取费表'!k"&amp;$G$1))),0)</f>
        <v>13719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34026935</v>
      </c>
      <c r="D5" s="211" t="s">
        <v>1469</v>
      </c>
      <c r="E5" s="212" t="s">
        <v>1470</v>
      </c>
      <c r="F5" s="212" t="s">
        <v>1471</v>
      </c>
      <c r="G5" s="213"/>
    </row>
    <row r="6" spans="1:8" s="214" customFormat="1" ht="13.5" customHeight="1">
      <c r="A6" s="775" t="s">
        <v>1472</v>
      </c>
      <c r="B6" s="215" t="s">
        <v>1473</v>
      </c>
      <c r="C6" s="216"/>
      <c r="D6" s="217"/>
      <c r="E6" s="218"/>
      <c r="F6" s="218"/>
      <c r="G6" s="219"/>
    </row>
    <row r="7" spans="1:8" s="214" customFormat="1" ht="13.5" customHeight="1">
      <c r="A7" s="775" t="s">
        <v>1474</v>
      </c>
      <c r="B7" s="215" t="s">
        <v>1475</v>
      </c>
      <c r="C7" s="220">
        <f>ROUND(C6*F7,0)</f>
        <v>0</v>
      </c>
      <c r="D7" s="220"/>
      <c r="E7" s="218"/>
      <c r="F7" s="221">
        <f>IF(项目基本情况!B8="出让",0,'数据-取费表'!B48+'数据-取费表'!B49)</f>
        <v>3.0499999999999999E-2</v>
      </c>
      <c r="G7" s="219"/>
    </row>
    <row r="8" spans="1:8" s="223" customFormat="1">
      <c r="A8" s="775" t="s">
        <v>1476</v>
      </c>
      <c r="B8" s="215" t="s">
        <v>1477</v>
      </c>
      <c r="C8" s="220">
        <f ca="1">IF(G8="已包含在土地购买价格中",0,C9+C10)</f>
        <v>34026935</v>
      </c>
      <c r="D8" s="222"/>
      <c r="E8" s="220"/>
      <c r="F8" s="221"/>
      <c r="G8" s="1852"/>
    </row>
    <row r="9" spans="1:8" s="214" customFormat="1" ht="13.5" customHeight="1">
      <c r="A9" s="776" t="s">
        <v>355</v>
      </c>
      <c r="B9" s="224" t="s">
        <v>1478</v>
      </c>
      <c r="C9" s="225">
        <f ca="1">ROUND(D9*E9,0)</f>
        <v>0</v>
      </c>
      <c r="D9" s="842">
        <f ca="1">IF(B1="",'数据-汇总表'!E5,IF(INDIRECT("'数据-取费表'!c"&amp;$G$1)="住宅",INDIRECT("'数据-取费表'!k"&amp;$G$1),0))</f>
        <v>0</v>
      </c>
      <c r="E9" s="225">
        <f>'数据-取费表'!B27</f>
        <v>150</v>
      </c>
      <c r="F9" s="221"/>
      <c r="G9" s="226"/>
    </row>
    <row r="10" spans="1:8" s="214" customFormat="1" ht="13.5" customHeight="1">
      <c r="A10" s="776" t="s">
        <v>356</v>
      </c>
      <c r="B10" s="224" t="s">
        <v>1480</v>
      </c>
      <c r="C10" s="225">
        <f ca="1">ROUND(D10*E10,0)</f>
        <v>34026935</v>
      </c>
      <c r="D10" s="842">
        <f ca="1">IF(B1="",'数据-汇总表'!E6,IF(INDIRECT("'数据-取费表'!c"&amp;$G$1)="住宅",INDIRECT("'数据-取费表'!s"&amp;$G$1),INDIRECT("'数据-取费表'!k"&amp;$G$1)+INDIRECT("'数据-取费表'!s"&amp;$G$1)))</f>
        <v>226846.22999999989</v>
      </c>
      <c r="E10" s="225">
        <f>'数据-取费表'!B28</f>
        <v>150</v>
      </c>
      <c r="F10" s="221"/>
      <c r="G10" s="226"/>
    </row>
    <row r="11" spans="1:8" s="214" customFormat="1" ht="13.5" hidden="1" customHeight="1">
      <c r="A11" s="227" t="s">
        <v>4</v>
      </c>
      <c r="B11" s="215" t="s">
        <v>1481</v>
      </c>
      <c r="C11" s="211"/>
      <c r="D11" s="844"/>
      <c r="E11" s="218"/>
      <c r="F11" s="218"/>
      <c r="G11" s="219"/>
    </row>
    <row r="12" spans="1:8" s="214" customFormat="1" ht="13.5" hidden="1" customHeight="1">
      <c r="A12" s="227" t="s">
        <v>5</v>
      </c>
      <c r="B12" s="215" t="s">
        <v>1564</v>
      </c>
      <c r="C12" s="211">
        <v>0</v>
      </c>
      <c r="D12" s="844"/>
      <c r="E12" s="228"/>
      <c r="F12" s="221">
        <v>3.0499999999999999E-2</v>
      </c>
      <c r="G12" s="219"/>
    </row>
    <row r="13" spans="1:8" s="214" customFormat="1" ht="13.5" hidden="1" customHeight="1">
      <c r="A13" s="227" t="s">
        <v>6</v>
      </c>
      <c r="B13" s="215" t="s">
        <v>1565</v>
      </c>
      <c r="C13" s="211"/>
      <c r="D13" s="844"/>
      <c r="E13" s="218"/>
      <c r="F13" s="218"/>
      <c r="G13" s="219"/>
    </row>
    <row r="14" spans="1:8" s="214" customFormat="1" ht="13.5" hidden="1" customHeight="1">
      <c r="A14" s="227" t="s">
        <v>7</v>
      </c>
      <c r="B14" s="215" t="s">
        <v>1477</v>
      </c>
      <c r="C14" s="211"/>
      <c r="D14" s="844"/>
      <c r="E14" s="218"/>
      <c r="F14" s="218"/>
      <c r="G14" s="219" t="s">
        <v>1566</v>
      </c>
    </row>
    <row r="15" spans="1:8" s="214" customFormat="1" ht="13.5" hidden="1" customHeight="1">
      <c r="A15" s="227" t="s">
        <v>8</v>
      </c>
      <c r="B15" s="215" t="s">
        <v>1567</v>
      </c>
      <c r="C15" s="220"/>
      <c r="D15" s="844"/>
      <c r="E15" s="218"/>
      <c r="F15" s="218"/>
      <c r="G15" s="219" t="s">
        <v>1568</v>
      </c>
    </row>
    <row r="16" spans="1:8" s="214" customFormat="1" ht="13.5" hidden="1" customHeight="1">
      <c r="A16" s="227" t="s">
        <v>9</v>
      </c>
      <c r="B16" s="215" t="s">
        <v>1477</v>
      </c>
      <c r="C16" s="220"/>
      <c r="D16" s="844"/>
      <c r="E16" s="218"/>
      <c r="F16" s="218"/>
      <c r="G16" s="219"/>
    </row>
    <row r="17" spans="1:7" s="214" customFormat="1" ht="13.5" hidden="1" customHeight="1">
      <c r="A17" s="227" t="s">
        <v>10</v>
      </c>
      <c r="B17" s="215" t="s">
        <v>1569</v>
      </c>
      <c r="C17" s="229"/>
      <c r="D17" s="845"/>
      <c r="E17" s="229"/>
      <c r="F17" s="229"/>
      <c r="G17" s="219" t="s">
        <v>1568</v>
      </c>
    </row>
    <row r="18" spans="1:7" s="214" customFormat="1" ht="13.5" hidden="1" customHeight="1">
      <c r="A18" s="227" t="s">
        <v>11</v>
      </c>
      <c r="B18" s="215" t="s">
        <v>1570</v>
      </c>
      <c r="C18" s="220">
        <v>0</v>
      </c>
      <c r="D18" s="844"/>
      <c r="E18" s="218"/>
      <c r="F18" s="221">
        <v>3.0499999999999999E-2</v>
      </c>
      <c r="G18" s="219" t="s">
        <v>1571</v>
      </c>
    </row>
    <row r="19" spans="1:7" s="223" customFormat="1" ht="13.5" customHeight="1">
      <c r="A19" s="255" t="s">
        <v>1572</v>
      </c>
      <c r="B19" s="210" t="s">
        <v>1573</v>
      </c>
      <c r="C19" s="211">
        <f ca="1">IF(G19="已包含在土地取得成本中","0",ROUND(D19*E19,0))</f>
        <v>45369246</v>
      </c>
      <c r="D19" s="846">
        <f ca="1">D9+D10</f>
        <v>226846.22999999989</v>
      </c>
      <c r="E19" s="211">
        <f>'数据-取费表'!B31</f>
        <v>200</v>
      </c>
      <c r="F19" s="231"/>
      <c r="G19" s="1852"/>
    </row>
    <row r="20" spans="1:7" s="214" customFormat="1" ht="13.5" customHeight="1">
      <c r="A20" s="255" t="s">
        <v>1574</v>
      </c>
      <c r="B20" s="210" t="s">
        <v>1575</v>
      </c>
      <c r="C20" s="232">
        <f ca="1">ROUND((C5+C19)*F20,0)</f>
        <v>1587924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4">
        <f ca="1">ROUND(SUM(C23:C25),0)</f>
        <v>10400586</v>
      </c>
      <c r="D22" s="235">
        <f ca="1">C26</f>
        <v>1.2999999999999999E-3</v>
      </c>
      <c r="E22" s="236" t="s">
        <v>1579</v>
      </c>
      <c r="F22" s="237">
        <f ca="1">'数据-取费表'!B40</f>
        <v>4.1499999999999995E-2</v>
      </c>
      <c r="G22" s="234" t="str">
        <f>IF('数据-取费表'!B22&lt;=1,"单利计息","复利计息")</f>
        <v>复利计息</v>
      </c>
    </row>
    <row r="23" spans="1:7" s="214" customFormat="1" ht="13.5" customHeight="1">
      <c r="A23" s="777" t="s">
        <v>1472</v>
      </c>
      <c r="B23" s="215" t="s">
        <v>1583</v>
      </c>
      <c r="C23" s="1125">
        <f ca="1">ROUND(IF('数据-取费表'!B22&lt;=1,C5*F22*'数据-取费表'!B22,C5*(POWER((1+F22),'数据-取费表'!B22)-1)),0)</f>
        <v>4414594</v>
      </c>
      <c r="D23" s="238"/>
      <c r="E23" s="238"/>
      <c r="F23" s="239"/>
      <c r="G23" s="240" t="s">
        <v>1584</v>
      </c>
    </row>
    <row r="24" spans="1:7" s="214" customFormat="1" ht="13.5" customHeight="1">
      <c r="A24" s="777" t="s">
        <v>1474</v>
      </c>
      <c r="B24" s="215" t="s">
        <v>1585</v>
      </c>
      <c r="C24" s="1125">
        <f ca="1">ROUND(IF('数据-取费表'!B22&lt;=1,C19*F22*('数据-取费表'!B19/2+'数据-取费表'!B20),C19*(POWER((1+F22),('数据-取费表'!B19/2+'数据-取费表'!B20))-1)),0)</f>
        <v>5886125</v>
      </c>
      <c r="D24" s="238"/>
      <c r="E24" s="238"/>
      <c r="F24" s="239"/>
      <c r="G24" s="240" t="s">
        <v>1586</v>
      </c>
    </row>
    <row r="25" spans="1:7" s="214" customFormat="1" ht="24">
      <c r="A25" s="777" t="s">
        <v>1476</v>
      </c>
      <c r="B25" s="215" t="s">
        <v>1587</v>
      </c>
      <c r="C25" s="1125">
        <f ca="1">ROUND(IF('数据-取费表'!B22&lt;=1,C20*F22*'数据-取费表'!B22/2,C20*(POWER((1+F22),'数据-取费表'!B22/2)-1)),0)</f>
        <v>99867</v>
      </c>
      <c r="D25" s="238"/>
      <c r="E25" s="241"/>
      <c r="F25" s="239"/>
      <c r="G25" s="242" t="s">
        <v>1588</v>
      </c>
    </row>
    <row r="26" spans="1:7" s="214" customFormat="1">
      <c r="A26" s="777" t="s">
        <v>350</v>
      </c>
      <c r="B26" s="215" t="s">
        <v>1511</v>
      </c>
      <c r="C26" s="238">
        <f ca="1">ROUND(IF('数据-取费表'!B22&lt;=1,F21*F22*'数据-取费表'!B22/2,F21*(POWER((1+F22),'数据-取费表'!B22/2)-1)),4)</f>
        <v>1.2999999999999999E-3</v>
      </c>
      <c r="D26" s="238"/>
      <c r="E26" s="241"/>
      <c r="F26" s="239"/>
      <c r="G26" s="243"/>
    </row>
    <row r="27" spans="1:7" s="214" customFormat="1" ht="24.75">
      <c r="A27" s="255" t="s">
        <v>1512</v>
      </c>
      <c r="B27" s="244" t="s">
        <v>1513</v>
      </c>
      <c r="C27" s="245">
        <f ca="1">C28</f>
        <v>12957457</v>
      </c>
      <c r="D27" s="235">
        <f ca="1">C29</f>
        <v>3.2000000000000002E-3</v>
      </c>
      <c r="E27" s="236" t="s">
        <v>1514</v>
      </c>
      <c r="F27" s="246">
        <f ca="1">IF(B1="",'数据-取费表'!Q16,INDIRECT("'数据-取费表'!q"&amp;$G$1))</f>
        <v>0.16</v>
      </c>
      <c r="G27" s="247" t="s">
        <v>1515</v>
      </c>
    </row>
    <row r="28" spans="1:7" s="214" customFormat="1" ht="13.5" customHeight="1">
      <c r="A28" s="777" t="s">
        <v>346</v>
      </c>
      <c r="B28" s="248" t="s">
        <v>1516</v>
      </c>
      <c r="C28" s="249">
        <f ca="1">ROUND((C5+C19+C20)*F27,0)</f>
        <v>12957457</v>
      </c>
      <c r="D28" s="235"/>
      <c r="E28" s="236"/>
      <c r="F28" s="246"/>
      <c r="G28" s="247"/>
    </row>
    <row r="29" spans="1:7" s="214" customFormat="1" ht="13.5" customHeight="1">
      <c r="A29" s="777" t="s">
        <v>347</v>
      </c>
      <c r="B29" s="248" t="s">
        <v>1517</v>
      </c>
      <c r="C29" s="238">
        <f ca="1">ROUND(C21*F27,4)</f>
        <v>3.2000000000000002E-3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113144815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2217221693</v>
      </c>
      <c r="D33" s="232"/>
      <c r="E33" s="212"/>
      <c r="F33" s="241"/>
      <c r="G33" s="234"/>
    </row>
    <row r="34" spans="1:7" s="258" customFormat="1" ht="13.5" customHeight="1">
      <c r="A34" s="777" t="s">
        <v>346</v>
      </c>
      <c r="B34" s="215" t="s">
        <v>1525</v>
      </c>
      <c r="C34" s="220">
        <f ca="1">ROUND(IF(B1="",SUMPRODUCT('数据-取费表'!K6:K14,'数据-取费表'!L6:L14),INDIRECT("'数据-取费表'!l"&amp;$G$1)*INDIRECT("'数据-取费表'!k"&amp;$G$1)+'数据-取费表'!L14*INDIRECT("'数据-取费表'!S"&amp;$G$1)),0)</f>
        <v>2078327700</v>
      </c>
      <c r="D34" s="217"/>
      <c r="E34" s="220"/>
      <c r="F34" s="257"/>
      <c r="G34" s="219"/>
    </row>
    <row r="35" spans="1:7" ht="13.5" customHeight="1">
      <c r="A35" s="777" t="s">
        <v>351</v>
      </c>
      <c r="B35" s="215" t="s">
        <v>1527</v>
      </c>
      <c r="C35" s="220">
        <f ca="1">ROUND(C34*F35,0)</f>
        <v>62349831</v>
      </c>
      <c r="D35" s="220"/>
      <c r="E35" s="220"/>
      <c r="F35" s="259">
        <f>'数据-取费表'!B33</f>
        <v>0.03</v>
      </c>
      <c r="G35" s="219" t="s">
        <v>1528</v>
      </c>
    </row>
    <row r="36" spans="1:7" ht="24">
      <c r="A36" s="777"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77" t="s">
        <v>353</v>
      </c>
      <c r="B37" s="215" t="s">
        <v>1531</v>
      </c>
      <c r="C37" s="249">
        <f ca="1">ROUND(E37*D37,0)</f>
        <v>45369246</v>
      </c>
      <c r="D37" s="217">
        <f ca="1">D19</f>
        <v>226846.22999999989</v>
      </c>
      <c r="E37" s="249">
        <f>'数据-取费表'!B35</f>
        <v>200</v>
      </c>
      <c r="F37" s="259"/>
      <c r="G37" s="261"/>
    </row>
    <row r="38" spans="1:7" ht="13.5" customHeight="1">
      <c r="A38" s="777" t="s">
        <v>354</v>
      </c>
      <c r="B38" s="215" t="s">
        <v>1533</v>
      </c>
      <c r="C38" s="220">
        <f ca="1">ROUND(C34*F38,0)</f>
        <v>31174916</v>
      </c>
      <c r="D38" s="220"/>
      <c r="E38" s="220"/>
      <c r="F38" s="259">
        <f>'数据-取费表'!B36</f>
        <v>1.4999999999999999E-2</v>
      </c>
      <c r="G38" s="219" t="s">
        <v>1528</v>
      </c>
    </row>
    <row r="39" spans="1:7" s="214" customFormat="1" ht="13.5" customHeight="1">
      <c r="A39" s="255" t="s">
        <v>1534</v>
      </c>
      <c r="B39" s="210" t="s">
        <v>1535</v>
      </c>
      <c r="C39" s="232">
        <f ca="1">ROUND(C33*F20,0)</f>
        <v>44344434</v>
      </c>
      <c r="D39" s="232"/>
      <c r="E39" s="232"/>
      <c r="F39" s="233">
        <f>F20</f>
        <v>0.02</v>
      </c>
      <c r="G39" s="234" t="s">
        <v>1536</v>
      </c>
    </row>
    <row r="40" spans="1:7" s="214" customFormat="1" ht="13.5" customHeight="1">
      <c r="A40" s="255" t="s">
        <v>1537</v>
      </c>
      <c r="B40" s="210" t="s">
        <v>1538</v>
      </c>
      <c r="C40" s="1323">
        <f>F21</f>
        <v>0.02</v>
      </c>
      <c r="D40" s="236" t="s">
        <v>1539</v>
      </c>
      <c r="E40" s="232"/>
      <c r="F40" s="233">
        <f>F21</f>
        <v>0.02</v>
      </c>
      <c r="G40" s="234" t="s">
        <v>1540</v>
      </c>
    </row>
    <row r="41" spans="1:7" s="214" customFormat="1" ht="13.5" customHeight="1">
      <c r="A41" s="255" t="s">
        <v>1541</v>
      </c>
      <c r="B41" s="210" t="s">
        <v>1542</v>
      </c>
      <c r="C41" s="232">
        <f ca="1">ROUND(SUM(C42:C43),0)</f>
        <v>142233162</v>
      </c>
      <c r="D41" s="235">
        <f ca="1">C44</f>
        <v>1.2999999999999999E-3</v>
      </c>
      <c r="E41" s="236" t="s">
        <v>1539</v>
      </c>
      <c r="F41" s="237">
        <f ca="1">F22</f>
        <v>4.1499999999999995E-2</v>
      </c>
      <c r="G41" s="234" t="str">
        <f>IF('数据-取费表'!B22&lt;=1,"单利计息","复利计息")</f>
        <v>复利计息</v>
      </c>
    </row>
    <row r="42" spans="1:7" ht="13.5" customHeight="1">
      <c r="A42" s="777" t="s">
        <v>346</v>
      </c>
      <c r="B42" s="215" t="s">
        <v>1543</v>
      </c>
      <c r="C42" s="238">
        <f ca="1">ROUND(IF('数据-取费表'!B22&lt;=1,C33*F22*'数据-取费表'!B20/2,C33*(POWER((1+F22),'数据-取费表'!B20/2)-1)),0)</f>
        <v>139444276</v>
      </c>
      <c r="D42" s="238"/>
      <c r="E42" s="238"/>
      <c r="F42" s="239"/>
      <c r="G42" s="3698" t="s">
        <v>1591</v>
      </c>
    </row>
    <row r="43" spans="1:7" ht="13.5" customHeight="1">
      <c r="A43" s="777" t="s">
        <v>347</v>
      </c>
      <c r="B43" s="215" t="s">
        <v>1545</v>
      </c>
      <c r="C43" s="238">
        <f ca="1">ROUND(IF('数据-取费表'!B22&lt;=1,C39*F22*'数据-取费表'!B20/2,C39*(POWER((1+F22),'数据-取费表'!B20/2)-1)),0)</f>
        <v>2788886</v>
      </c>
      <c r="D43" s="238"/>
      <c r="E43" s="238"/>
      <c r="F43" s="239"/>
      <c r="G43" s="3699"/>
    </row>
    <row r="44" spans="1:7" ht="13.5" customHeight="1">
      <c r="A44" s="777" t="s">
        <v>348</v>
      </c>
      <c r="B44" s="215" t="s">
        <v>1546</v>
      </c>
      <c r="C44" s="238">
        <f ca="1">ROUND(IF('数据-取费表'!B22&lt;=1,C40*F22*'数据-取费表'!B20/2,C40*(POWER((1+F22),'数据-取费表'!B20/2)-1)),4)</f>
        <v>1.2999999999999999E-3</v>
      </c>
      <c r="D44" s="238"/>
      <c r="E44" s="238"/>
      <c r="F44" s="239"/>
      <c r="G44" s="3700"/>
    </row>
    <row r="45" spans="1:7" s="214" customFormat="1" ht="13.5" customHeight="1">
      <c r="A45" s="255" t="s">
        <v>1547</v>
      </c>
      <c r="B45" s="244" t="s">
        <v>1513</v>
      </c>
      <c r="C45" s="245">
        <f ca="1">C46</f>
        <v>361850580</v>
      </c>
      <c r="D45" s="235">
        <f ca="1">C47</f>
        <v>3.2000000000000002E-3</v>
      </c>
      <c r="E45" s="236" t="s">
        <v>1539</v>
      </c>
      <c r="F45" s="246">
        <f ca="1">F27</f>
        <v>0.16</v>
      </c>
      <c r="G45" s="247" t="s">
        <v>1548</v>
      </c>
    </row>
    <row r="46" spans="1:7" s="214" customFormat="1" ht="13.5" customHeight="1">
      <c r="A46" s="777" t="s">
        <v>346</v>
      </c>
      <c r="B46" s="248" t="s">
        <v>1549</v>
      </c>
      <c r="C46" s="249">
        <f ca="1">ROUND((C33+C39)*F27,0)</f>
        <v>361850580</v>
      </c>
      <c r="D46" s="263"/>
      <c r="E46" s="236"/>
      <c r="F46" s="246"/>
      <c r="G46" s="247"/>
    </row>
    <row r="47" spans="1:7" s="214" customFormat="1" ht="13.5" customHeight="1">
      <c r="A47" s="777" t="s">
        <v>347</v>
      </c>
      <c r="B47" s="248" t="s">
        <v>1550</v>
      </c>
      <c r="C47" s="238">
        <f ca="1">ROUND(C40*F27,4)</f>
        <v>3.2000000000000002E-3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2998969713</v>
      </c>
      <c r="D49" s="232"/>
      <c r="E49" s="232"/>
      <c r="F49" s="264"/>
      <c r="G49" s="234" t="s">
        <v>1554</v>
      </c>
    </row>
    <row r="50" spans="1:7" s="258" customFormat="1">
      <c r="A50" s="255" t="s">
        <v>1555</v>
      </c>
      <c r="B50" s="210" t="s">
        <v>1556</v>
      </c>
      <c r="C50" s="232"/>
      <c r="D50" s="232"/>
      <c r="E50" s="232"/>
      <c r="F50" s="264">
        <f>IF('数据-取费表'!B24=0,'数据-取费表'!N16,1)</f>
        <v>1</v>
      </c>
      <c r="G50" s="247"/>
    </row>
    <row r="51" spans="1:7" ht="16.5" customHeight="1">
      <c r="A51" s="255" t="s">
        <v>1558</v>
      </c>
      <c r="B51" s="210" t="s">
        <v>1593</v>
      </c>
      <c r="C51" s="232">
        <f ca="1">ROUND(C49*F50,0)</f>
        <v>2998969713</v>
      </c>
      <c r="D51" s="232"/>
      <c r="E51" s="232"/>
      <c r="F51" s="264"/>
      <c r="G51" s="234" t="s">
        <v>1560</v>
      </c>
    </row>
    <row r="52" spans="1:7" s="208" customFormat="1" ht="16.5" thickBot="1">
      <c r="A52" s="265" t="s">
        <v>1561</v>
      </c>
      <c r="B52" s="266"/>
      <c r="C52" s="267">
        <f ca="1">C31+C51</f>
        <v>3112114528</v>
      </c>
      <c r="D52" s="266"/>
      <c r="E52" s="266"/>
      <c r="F52" s="266"/>
      <c r="G52" s="268"/>
    </row>
    <row r="55" spans="1:7" ht="15">
      <c r="B55" s="270" t="s">
        <v>1562</v>
      </c>
      <c r="C55" s="271"/>
    </row>
    <row r="56" spans="1:7">
      <c r="B56" s="273" t="s">
        <v>802</v>
      </c>
      <c r="C56" s="275">
        <f ca="1">1-C57</f>
        <v>3.6000000000000032E-2</v>
      </c>
    </row>
    <row r="57" spans="1:7">
      <c r="B57" s="273" t="s">
        <v>803</v>
      </c>
      <c r="C57" s="274">
        <f ca="1">ROUND(C51/C52,3)</f>
        <v>0.96399999999999997</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B4" zoomScale="60" zoomScaleNormal="60" workbookViewId="0">
      <selection activeCell="B15" sqref="B15"/>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f>F65</f>
        <v>51536</v>
      </c>
      <c r="C2" s="904"/>
      <c r="D2" s="904"/>
      <c r="E2" s="905"/>
      <c r="F2" s="906"/>
      <c r="G2" s="905"/>
      <c r="H2" s="905"/>
      <c r="I2" s="905"/>
      <c r="J2" s="905"/>
      <c r="K2" s="907"/>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1464</v>
      </c>
      <c r="B3" s="558">
        <f>ROUND(IF(D3="",B2*10000/'数据-汇总表'!E3,B2*10000/D3),0)</f>
        <v>2272</v>
      </c>
      <c r="C3" s="203" t="s">
        <v>1869</v>
      </c>
      <c r="D3" s="1189"/>
      <c r="E3" s="905"/>
      <c r="F3" s="906"/>
      <c r="G3" s="905"/>
      <c r="H3" s="905"/>
      <c r="I3" s="905"/>
      <c r="J3" s="905"/>
      <c r="K3" s="907"/>
      <c r="L3" s="2730"/>
      <c r="M3" s="2731"/>
      <c r="N3" s="2731"/>
      <c r="O3" s="2731"/>
      <c r="P3" s="699"/>
      <c r="Q3" s="699"/>
      <c r="R3" s="699"/>
      <c r="S3" s="699"/>
      <c r="T3" s="699"/>
      <c r="U3" s="699"/>
      <c r="V3" s="699"/>
      <c r="W3" s="699"/>
      <c r="X3" s="699"/>
      <c r="Y3" s="699"/>
      <c r="Z3" s="699"/>
      <c r="AA3" s="699"/>
      <c r="AB3" s="716"/>
      <c r="AC3" s="713"/>
    </row>
    <row r="4" spans="1:30" ht="15">
      <c r="A4" s="355" t="s">
        <v>1769</v>
      </c>
      <c r="B4" s="356"/>
      <c r="C4" s="3719" t="s">
        <v>1770</v>
      </c>
      <c r="D4" s="3720"/>
      <c r="E4" s="3721" t="s">
        <v>1771</v>
      </c>
      <c r="F4" s="3722"/>
      <c r="G4" s="3719" t="s">
        <v>1772</v>
      </c>
      <c r="H4" s="3720"/>
      <c r="I4" s="3719" t="s">
        <v>1773</v>
      </c>
      <c r="J4" s="3720"/>
      <c r="K4" s="559" t="s">
        <v>1774</v>
      </c>
      <c r="L4" s="2711"/>
      <c r="M4" s="2712"/>
      <c r="N4" s="2712"/>
      <c r="O4" s="2712"/>
      <c r="P4" s="3723" t="s">
        <v>1775</v>
      </c>
      <c r="Q4" s="3724"/>
      <c r="R4" s="3706" t="s">
        <v>1771</v>
      </c>
      <c r="S4" s="3707"/>
      <c r="T4" s="3706" t="s">
        <v>1772</v>
      </c>
      <c r="U4" s="3707"/>
      <c r="V4" s="3731" t="s">
        <v>1773</v>
      </c>
      <c r="W4" s="3731"/>
      <c r="X4" s="1351"/>
      <c r="Y4" s="3706" t="s">
        <v>1775</v>
      </c>
      <c r="Z4" s="3707"/>
      <c r="AA4" s="3701" t="s">
        <v>1771</v>
      </c>
      <c r="AB4" s="3702" t="s">
        <v>1772</v>
      </c>
      <c r="AC4" s="3701" t="s">
        <v>1773</v>
      </c>
    </row>
    <row r="5" spans="1:30" ht="27.75" customHeight="1">
      <c r="A5" s="358"/>
      <c r="B5" s="359"/>
      <c r="C5" s="3712" t="s">
        <v>1673</v>
      </c>
      <c r="D5" s="3713"/>
      <c r="E5" s="3710" t="str">
        <f>Sheet2!A2</f>
        <v>高新区鱼化街道天谷三路以南,云水三路以西,云水四路以东</v>
      </c>
      <c r="F5" s="3711"/>
      <c r="G5" s="3712" t="str">
        <f>Sheet2!A6</f>
        <v>高新区锦业路与丈八五路十字东南角</v>
      </c>
      <c r="H5" s="3713"/>
      <c r="I5" s="3712" t="str">
        <f>Sheet2!A26</f>
        <v>长安南路以西、朱雀路以东、南三环以南</v>
      </c>
      <c r="J5" s="3713"/>
      <c r="K5" s="559"/>
      <c r="L5" s="2711"/>
      <c r="M5" s="2712"/>
      <c r="N5" s="2712"/>
      <c r="O5" s="2712"/>
      <c r="P5" s="3725"/>
      <c r="Q5" s="3726"/>
      <c r="R5" s="3708"/>
      <c r="S5" s="3709"/>
      <c r="T5" s="3708"/>
      <c r="U5" s="3709"/>
      <c r="V5" s="3731"/>
      <c r="W5" s="3731"/>
      <c r="X5" s="1351"/>
      <c r="Y5" s="3708"/>
      <c r="Z5" s="3709"/>
      <c r="AA5" s="3702"/>
      <c r="AB5" s="3702"/>
      <c r="AC5" s="3702"/>
    </row>
    <row r="6" spans="1:30" ht="15.75" thickBot="1">
      <c r="A6" s="360"/>
      <c r="B6" s="361"/>
      <c r="C6" s="3714" t="s">
        <v>1677</v>
      </c>
      <c r="D6" s="3715"/>
      <c r="E6" s="3716" t="s">
        <v>1677</v>
      </c>
      <c r="F6" s="3717"/>
      <c r="G6" s="3714" t="s">
        <v>1677</v>
      </c>
      <c r="H6" s="3715"/>
      <c r="I6" s="3714" t="s">
        <v>1677</v>
      </c>
      <c r="J6" s="3715"/>
      <c r="K6" s="559" t="s">
        <v>1678</v>
      </c>
      <c r="L6" s="2711"/>
      <c r="M6" s="2712"/>
      <c r="N6" s="2712"/>
      <c r="O6" s="2712"/>
      <c r="P6" s="3727"/>
      <c r="Q6" s="3728"/>
      <c r="R6" s="3708"/>
      <c r="S6" s="3709"/>
      <c r="T6" s="3729"/>
      <c r="U6" s="3730"/>
      <c r="V6" s="3731"/>
      <c r="W6" s="3731"/>
      <c r="X6" s="1351"/>
      <c r="Y6" s="3729"/>
      <c r="Z6" s="3730"/>
      <c r="AA6" s="3703"/>
      <c r="AB6" s="3703"/>
      <c r="AC6" s="3703"/>
    </row>
    <row r="7" spans="1:30" s="108" customFormat="1" ht="15.75" thickBot="1">
      <c r="A7" s="362" t="s">
        <v>1679</v>
      </c>
      <c r="B7" s="363"/>
      <c r="C7" s="364">
        <f>'数据-取费表'!B2</f>
        <v>45005</v>
      </c>
      <c r="D7" s="365">
        <v>100</v>
      </c>
      <c r="E7" s="366" t="str">
        <f>Sheet2!H2</f>
        <v>2023-01-16</v>
      </c>
      <c r="F7" s="367">
        <f>SUMIF(69:69,YEAR(E7)&amp;"-"&amp;INT((MONTH(E7)+2)/3),70:70)</f>
        <v>100</v>
      </c>
      <c r="G7" s="1970" t="str">
        <f>Sheet2!H6</f>
        <v>2022-10-17</v>
      </c>
      <c r="H7" s="365">
        <f>SUMIF(69:69,YEAR(G7)&amp;"-"&amp;INT((MONTH(G7)+2)/3),70:70)</f>
        <v>99.5</v>
      </c>
      <c r="I7" s="1970" t="str">
        <f>Sheet2!H26</f>
        <v>2020-09-29</v>
      </c>
      <c r="J7" s="365">
        <f>SUMIF(69:69,YEAR(I7)&amp;"-"&amp;INT((MONTH(I7)+2)/3),70:70)</f>
        <v>95</v>
      </c>
      <c r="K7" s="560"/>
      <c r="L7" s="2713"/>
      <c r="M7" s="2714"/>
      <c r="N7" s="2714"/>
      <c r="O7" s="2714"/>
      <c r="P7" s="3704" t="s">
        <v>1680</v>
      </c>
      <c r="Q7" s="3732"/>
      <c r="R7" s="701" t="s">
        <v>14</v>
      </c>
      <c r="S7" s="702">
        <f t="shared" ref="S7:S15" si="0">F7</f>
        <v>100</v>
      </c>
      <c r="T7" s="701" t="s">
        <v>14</v>
      </c>
      <c r="U7" s="702">
        <f t="shared" ref="U7:U15" si="1">H7</f>
        <v>99.5</v>
      </c>
      <c r="V7" s="701" t="s">
        <v>14</v>
      </c>
      <c r="W7" s="702">
        <f t="shared" ref="W7:W15" si="2">J7</f>
        <v>95</v>
      </c>
      <c r="X7" s="703"/>
      <c r="Y7" s="3704" t="s">
        <v>1680</v>
      </c>
      <c r="Z7" s="3705"/>
      <c r="AA7" s="704">
        <f>D7/F7</f>
        <v>1</v>
      </c>
      <c r="AB7" s="704">
        <f>D7/H7</f>
        <v>1.0050251256281406</v>
      </c>
      <c r="AC7" s="704">
        <f>D7/J7</f>
        <v>1.0526315789473684</v>
      </c>
    </row>
    <row r="8" spans="1:30" s="108" customFormat="1" ht="15.75" thickBot="1">
      <c r="A8" s="362" t="s">
        <v>1681</v>
      </c>
      <c r="B8" s="363"/>
      <c r="C8" s="368" t="s">
        <v>1682</v>
      </c>
      <c r="D8" s="365">
        <v>100</v>
      </c>
      <c r="E8" s="3484" t="s">
        <v>3922</v>
      </c>
      <c r="F8" s="367">
        <f>SUMIF(72:72,E8,73:73)-SUMIF(72:72,C8,73:73)+100</f>
        <v>100</v>
      </c>
      <c r="G8" s="3484" t="s">
        <v>3922</v>
      </c>
      <c r="H8" s="365">
        <f>SUMIF(72:72,G8,73:73)-SUMIF(72:72,C8,73:73)+100</f>
        <v>100</v>
      </c>
      <c r="I8" s="3484" t="s">
        <v>3922</v>
      </c>
      <c r="J8" s="365">
        <f>SUMIF(72:72,I8,73:73)-SUMIF(72:72,C8,73:73)+100</f>
        <v>100</v>
      </c>
      <c r="K8" s="560"/>
      <c r="L8" s="2713"/>
      <c r="M8" s="2714"/>
      <c r="N8" s="2714"/>
      <c r="O8" s="2714"/>
      <c r="P8" s="3704" t="s">
        <v>1683</v>
      </c>
      <c r="Q8" s="3705"/>
      <c r="R8" s="701" t="s">
        <v>14</v>
      </c>
      <c r="S8" s="702">
        <f t="shared" si="0"/>
        <v>100</v>
      </c>
      <c r="T8" s="701" t="s">
        <v>14</v>
      </c>
      <c r="U8" s="702">
        <f t="shared" si="1"/>
        <v>100</v>
      </c>
      <c r="V8" s="701" t="s">
        <v>14</v>
      </c>
      <c r="W8" s="702">
        <f t="shared" si="2"/>
        <v>100</v>
      </c>
      <c r="X8" s="703"/>
      <c r="Y8" s="3704" t="s">
        <v>1683</v>
      </c>
      <c r="Z8" s="3705"/>
      <c r="AA8" s="704">
        <f t="shared" ref="AA8:AA45" si="3">D8/F8</f>
        <v>1</v>
      </c>
      <c r="AB8" s="704">
        <f t="shared" ref="AB8:AB45" si="4">D8/H8</f>
        <v>1</v>
      </c>
      <c r="AC8" s="704">
        <f t="shared" ref="AC8:AC45" si="5">D8/J8</f>
        <v>1</v>
      </c>
    </row>
    <row r="9" spans="1:30" s="108" customFormat="1">
      <c r="A9" s="369" t="s">
        <v>1684</v>
      </c>
      <c r="B9" s="63" t="s">
        <v>1685</v>
      </c>
      <c r="C9" s="1973"/>
      <c r="D9" s="126">
        <v>100</v>
      </c>
      <c r="E9" s="1973"/>
      <c r="F9" s="126">
        <f>SUMIF(74:74,E9,75:75)-SUMIF(74:74,C9,75:75)+100</f>
        <v>100</v>
      </c>
      <c r="G9" s="1973"/>
      <c r="H9" s="126">
        <f>SUMIF(74:74,G9,75:75)-SUMIF(74:74,C9,75:75)+100</f>
        <v>100</v>
      </c>
      <c r="I9" s="1973"/>
      <c r="J9" s="126">
        <f>SUMIF(74:74,I9,75:75)-SUMIF(74:74,C9,75:75)+100</f>
        <v>100</v>
      </c>
      <c r="K9" s="560"/>
      <c r="L9" s="2713"/>
      <c r="M9" s="2714"/>
      <c r="N9" s="2714"/>
      <c r="O9" s="2768"/>
      <c r="P9" s="3718" t="s">
        <v>1686</v>
      </c>
      <c r="Q9" s="1339" t="str">
        <f t="shared" ref="Q9:Q15" si="6">B9</f>
        <v>用途</v>
      </c>
      <c r="R9" s="701" t="s">
        <v>14</v>
      </c>
      <c r="S9" s="702">
        <f t="shared" si="0"/>
        <v>100</v>
      </c>
      <c r="T9" s="701" t="s">
        <v>14</v>
      </c>
      <c r="U9" s="702">
        <f t="shared" si="1"/>
        <v>100</v>
      </c>
      <c r="V9" s="701" t="s">
        <v>14</v>
      </c>
      <c r="W9" s="702">
        <f t="shared" si="2"/>
        <v>100</v>
      </c>
      <c r="X9" s="703"/>
      <c r="Y9" s="3674"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114</v>
      </c>
      <c r="G10" s="414"/>
      <c r="H10" s="127">
        <f>ROUND(100/'数据-取费表'!G16,0)</f>
        <v>114</v>
      </c>
      <c r="I10" s="414"/>
      <c r="J10" s="127">
        <f>ROUND(100/'数据-取费表'!G16,0)</f>
        <v>114</v>
      </c>
      <c r="K10" s="620"/>
      <c r="L10" s="2715"/>
      <c r="M10" s="2716"/>
      <c r="N10" s="2716"/>
      <c r="O10" s="2769"/>
      <c r="P10" s="3718"/>
      <c r="Q10" s="1339" t="str">
        <f t="shared" si="6"/>
        <v>土地使用年限（年）</v>
      </c>
      <c r="R10" s="701" t="s">
        <v>14</v>
      </c>
      <c r="S10" s="702">
        <f t="shared" si="0"/>
        <v>114</v>
      </c>
      <c r="T10" s="701" t="s">
        <v>14</v>
      </c>
      <c r="U10" s="702">
        <f t="shared" si="1"/>
        <v>114</v>
      </c>
      <c r="V10" s="701" t="s">
        <v>14</v>
      </c>
      <c r="W10" s="702">
        <f t="shared" si="2"/>
        <v>114</v>
      </c>
      <c r="X10" s="703"/>
      <c r="Y10" s="3674"/>
      <c r="Z10" s="52" t="str">
        <f t="shared" si="7"/>
        <v>土地使用年限（年）</v>
      </c>
      <c r="AA10" s="704">
        <f t="shared" si="3"/>
        <v>0.8771929824561403</v>
      </c>
      <c r="AB10" s="704">
        <f t="shared" si="4"/>
        <v>0.8771929824561403</v>
      </c>
      <c r="AC10" s="704">
        <f t="shared" si="5"/>
        <v>0.8771929824561403</v>
      </c>
    </row>
    <row r="11" spans="1:30" ht="15">
      <c r="A11" s="379"/>
      <c r="B11" s="375" t="s">
        <v>1689</v>
      </c>
      <c r="C11" s="380">
        <v>11</v>
      </c>
      <c r="D11" s="127">
        <v>100</v>
      </c>
      <c r="E11" s="380">
        <v>2.5</v>
      </c>
      <c r="F11" s="127">
        <f>LOOKUP(E11,79:79,80:80)-LOOKUP(C11,79:79,80:80)+100</f>
        <v>108</v>
      </c>
      <c r="G11" s="381">
        <v>7</v>
      </c>
      <c r="H11" s="127">
        <f>LOOKUP(G11,79:79,80:80)-LOOKUP(C11,79:79,80:80)+100</f>
        <v>104</v>
      </c>
      <c r="I11" s="380">
        <v>5.5</v>
      </c>
      <c r="J11" s="127">
        <f>LOOKUP(I11,79:79,80:80)-LOOKUP(C11,79:79,80:80)+100</f>
        <v>106</v>
      </c>
      <c r="K11" s="621">
        <v>2</v>
      </c>
      <c r="L11" s="2717"/>
      <c r="M11" s="2712"/>
      <c r="N11" s="2712"/>
      <c r="O11" s="2770"/>
      <c r="P11" s="3718"/>
      <c r="Q11" s="1339" t="str">
        <f t="shared" si="6"/>
        <v>容积率</v>
      </c>
      <c r="R11" s="701" t="s">
        <v>14</v>
      </c>
      <c r="S11" s="702">
        <f t="shared" si="0"/>
        <v>108</v>
      </c>
      <c r="T11" s="701" t="s">
        <v>14</v>
      </c>
      <c r="U11" s="702">
        <f t="shared" si="1"/>
        <v>104</v>
      </c>
      <c r="V11" s="701" t="s">
        <v>14</v>
      </c>
      <c r="W11" s="702">
        <f t="shared" si="2"/>
        <v>106</v>
      </c>
      <c r="X11" s="703"/>
      <c r="Y11" s="3674"/>
      <c r="Z11" s="52" t="str">
        <f t="shared" si="7"/>
        <v>容积率</v>
      </c>
      <c r="AA11" s="704">
        <f t="shared" si="3"/>
        <v>0.92592592592592593</v>
      </c>
      <c r="AB11" s="704">
        <f t="shared" si="4"/>
        <v>0.96153846153846156</v>
      </c>
      <c r="AC11" s="704">
        <f t="shared" si="5"/>
        <v>0.94339622641509435</v>
      </c>
    </row>
    <row r="12" spans="1:30" s="108" customFormat="1" ht="15">
      <c r="A12" s="382"/>
      <c r="B12" s="1889"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718"/>
      <c r="Q12" s="1339" t="str">
        <f t="shared" si="6"/>
        <v>配建</v>
      </c>
      <c r="R12" s="701" t="s">
        <v>14</v>
      </c>
      <c r="S12" s="702">
        <f t="shared" si="0"/>
        <v>100</v>
      </c>
      <c r="T12" s="701" t="s">
        <v>14</v>
      </c>
      <c r="U12" s="702">
        <f t="shared" si="1"/>
        <v>100</v>
      </c>
      <c r="V12" s="701" t="s">
        <v>14</v>
      </c>
      <c r="W12" s="702">
        <f t="shared" si="2"/>
        <v>100</v>
      </c>
      <c r="X12" s="703"/>
      <c r="Y12" s="3674"/>
      <c r="Z12" s="52" t="str">
        <f t="shared" si="7"/>
        <v>配建</v>
      </c>
      <c r="AA12" s="704">
        <f>D12/F12</f>
        <v>1</v>
      </c>
      <c r="AB12" s="704">
        <f>D12/H12</f>
        <v>1</v>
      </c>
      <c r="AC12" s="704">
        <f>D12/J12</f>
        <v>1</v>
      </c>
    </row>
    <row r="13" spans="1:30" ht="15">
      <c r="A13" s="379"/>
      <c r="B13" s="1889">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718"/>
      <c r="Q13" s="1339">
        <f t="shared" si="6"/>
        <v>111</v>
      </c>
      <c r="R13" s="701" t="s">
        <v>14</v>
      </c>
      <c r="S13" s="702">
        <f t="shared" si="0"/>
        <v>100</v>
      </c>
      <c r="T13" s="701" t="s">
        <v>14</v>
      </c>
      <c r="U13" s="702">
        <f t="shared" si="1"/>
        <v>100</v>
      </c>
      <c r="V13" s="701" t="s">
        <v>14</v>
      </c>
      <c r="W13" s="702">
        <f t="shared" si="2"/>
        <v>100</v>
      </c>
      <c r="X13" s="703"/>
      <c r="Y13" s="3674"/>
      <c r="Z13" s="52">
        <f t="shared" si="7"/>
        <v>111</v>
      </c>
      <c r="AA13" s="704">
        <f>D13/F13</f>
        <v>1</v>
      </c>
      <c r="AB13" s="704">
        <f>D13/H13</f>
        <v>1</v>
      </c>
      <c r="AC13" s="704">
        <f>D13/J13</f>
        <v>1</v>
      </c>
    </row>
    <row r="14" spans="1:30" ht="15.75" thickBot="1">
      <c r="A14" s="387"/>
      <c r="B14" s="1891">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718"/>
      <c r="Q14" s="1339">
        <f t="shared" si="6"/>
        <v>111</v>
      </c>
      <c r="R14" s="701" t="s">
        <v>14</v>
      </c>
      <c r="S14" s="702">
        <f t="shared" si="0"/>
        <v>100</v>
      </c>
      <c r="T14" s="701" t="s">
        <v>14</v>
      </c>
      <c r="U14" s="702">
        <f t="shared" si="1"/>
        <v>100</v>
      </c>
      <c r="V14" s="701" t="s">
        <v>14</v>
      </c>
      <c r="W14" s="702">
        <f t="shared" si="2"/>
        <v>100</v>
      </c>
      <c r="X14" s="703"/>
      <c r="Y14" s="3674"/>
      <c r="Z14" s="52">
        <f t="shared" si="7"/>
        <v>111</v>
      </c>
      <c r="AA14" s="704">
        <f>D14/F14</f>
        <v>1</v>
      </c>
      <c r="AB14" s="704">
        <f>D14/H14</f>
        <v>1</v>
      </c>
      <c r="AC14" s="704">
        <f>D14/J14</f>
        <v>1</v>
      </c>
    </row>
    <row r="15" spans="1:30" ht="99.75">
      <c r="A15" s="391" t="s">
        <v>1690</v>
      </c>
      <c r="B15" s="61" t="s">
        <v>1257</v>
      </c>
      <c r="C15" s="1892"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733" t="s">
        <v>1691</v>
      </c>
      <c r="Q15" s="1348" t="str">
        <f t="shared" si="6"/>
        <v>居住社区成熟度</v>
      </c>
      <c r="R15" s="705" t="s">
        <v>14</v>
      </c>
      <c r="S15" s="706">
        <f t="shared" si="0"/>
        <v>100</v>
      </c>
      <c r="T15" s="705" t="s">
        <v>14</v>
      </c>
      <c r="U15" s="706">
        <f t="shared" si="1"/>
        <v>100</v>
      </c>
      <c r="V15" s="705" t="s">
        <v>14</v>
      </c>
      <c r="W15" s="706">
        <f t="shared" si="2"/>
        <v>100</v>
      </c>
      <c r="X15" s="1351"/>
      <c r="Y15" s="3733" t="s">
        <v>1691</v>
      </c>
      <c r="Z15" s="1352" t="str">
        <f t="shared" si="7"/>
        <v>居住社区成熟度</v>
      </c>
      <c r="AA15" s="1349">
        <f t="shared" si="3"/>
        <v>1</v>
      </c>
      <c r="AB15" s="1349">
        <f t="shared" si="4"/>
        <v>1</v>
      </c>
      <c r="AC15" s="1349">
        <f t="shared" si="5"/>
        <v>1</v>
      </c>
    </row>
    <row r="16" spans="1:30" ht="15">
      <c r="A16" s="379"/>
      <c r="B16" s="397"/>
      <c r="C16" s="398"/>
      <c r="D16" s="399"/>
      <c r="E16" s="1894"/>
      <c r="F16" s="399"/>
      <c r="G16" s="1894"/>
      <c r="H16" s="401"/>
      <c r="I16" s="1893"/>
      <c r="J16" s="399"/>
      <c r="K16" s="620"/>
      <c r="L16" s="2718"/>
      <c r="M16" s="2712"/>
      <c r="N16" s="2712"/>
      <c r="O16" s="2770"/>
      <c r="P16" s="3734"/>
      <c r="Q16" s="1348"/>
      <c r="R16" s="705"/>
      <c r="S16" s="706"/>
      <c r="T16" s="705"/>
      <c r="U16" s="706"/>
      <c r="V16" s="705"/>
      <c r="W16" s="706"/>
      <c r="X16" s="1351"/>
      <c r="Y16" s="3734"/>
      <c r="Z16" s="1352"/>
      <c r="AA16" s="1349">
        <v>1</v>
      </c>
      <c r="AB16" s="1349">
        <v>1</v>
      </c>
      <c r="AC16" s="1349">
        <v>1</v>
      </c>
    </row>
    <row r="17" spans="1:29" ht="71.25">
      <c r="A17" s="379"/>
      <c r="B17" s="402" t="s">
        <v>1777</v>
      </c>
      <c r="C17" s="1951" t="str">
        <f>估价对象房地状况!C16</f>
        <v>估价对象位于XX商圈，周边商业氛围成熟，人流量大，商业繁华度好</v>
      </c>
      <c r="D17" s="401">
        <v>100</v>
      </c>
      <c r="E17" s="403"/>
      <c r="F17" s="401">
        <f>SUMIF(89:89,E18,90:90)-SUMIF(89:89,C18,90:90)+100</f>
        <v>98</v>
      </c>
      <c r="G17" s="403"/>
      <c r="H17" s="406">
        <f>SUMIF(89:89,G18,90:90)-SUMIF(89:89,C18,90:90)+100</f>
        <v>100</v>
      </c>
      <c r="I17" s="405"/>
      <c r="J17" s="406">
        <f>SUMIF(89:89,I18,90:90)-SUMIF(89:89,C18,90:90)+100</f>
        <v>100</v>
      </c>
      <c r="K17" s="621">
        <v>2</v>
      </c>
      <c r="L17" s="2718"/>
      <c r="M17" s="2712"/>
      <c r="N17" s="2712"/>
      <c r="O17" s="2770"/>
      <c r="P17" s="3734"/>
      <c r="Q17" s="1348" t="str">
        <f>B17</f>
        <v>商业繁华度</v>
      </c>
      <c r="R17" s="705" t="s">
        <v>14</v>
      </c>
      <c r="S17" s="706">
        <f>F17</f>
        <v>98</v>
      </c>
      <c r="T17" s="705" t="s">
        <v>14</v>
      </c>
      <c r="U17" s="706">
        <f>H17</f>
        <v>100</v>
      </c>
      <c r="V17" s="705" t="s">
        <v>14</v>
      </c>
      <c r="W17" s="706">
        <f>J17</f>
        <v>100</v>
      </c>
      <c r="X17" s="1351"/>
      <c r="Y17" s="3734"/>
      <c r="Z17" s="1352" t="str">
        <f>Q17</f>
        <v>商业繁华度</v>
      </c>
      <c r="AA17" s="1349">
        <f t="shared" si="3"/>
        <v>1.0204081632653061</v>
      </c>
      <c r="AB17" s="1349">
        <f t="shared" si="4"/>
        <v>1</v>
      </c>
      <c r="AC17" s="1349">
        <f t="shared" si="5"/>
        <v>1</v>
      </c>
    </row>
    <row r="18" spans="1:29" ht="15">
      <c r="A18" s="379"/>
      <c r="B18" s="407"/>
      <c r="C18" s="1897" t="s">
        <v>3923</v>
      </c>
      <c r="D18" s="401"/>
      <c r="E18" s="1899" t="s">
        <v>3924</v>
      </c>
      <c r="F18" s="401"/>
      <c r="G18" s="1899" t="s">
        <v>3923</v>
      </c>
      <c r="H18" s="399"/>
      <c r="I18" s="1898" t="s">
        <v>3923</v>
      </c>
      <c r="J18" s="399"/>
      <c r="K18" s="620"/>
      <c r="L18" s="2718"/>
      <c r="M18" s="2712"/>
      <c r="N18" s="2712"/>
      <c r="O18" s="2770"/>
      <c r="P18" s="3734"/>
      <c r="Q18" s="1348"/>
      <c r="R18" s="705"/>
      <c r="S18" s="706"/>
      <c r="T18" s="705"/>
      <c r="U18" s="706"/>
      <c r="V18" s="705"/>
      <c r="W18" s="706"/>
      <c r="X18" s="1351"/>
      <c r="Y18" s="3734"/>
      <c r="Z18" s="1352"/>
      <c r="AA18" s="1349">
        <v>1</v>
      </c>
      <c r="AB18" s="1349">
        <v>1</v>
      </c>
      <c r="AC18" s="1349">
        <v>1</v>
      </c>
    </row>
    <row r="19" spans="1:29" ht="71.25">
      <c r="A19" s="379"/>
      <c r="B19" s="402" t="s">
        <v>1811</v>
      </c>
      <c r="C19" s="1951" t="str">
        <f>估价对象房地状况!C17</f>
        <v>估价对象位于XX商圈，周边办公楼项目较多，入驻率高，办公集聚程度较好</v>
      </c>
      <c r="D19" s="406">
        <v>100</v>
      </c>
      <c r="E19" s="408"/>
      <c r="F19" s="406">
        <f>SUMIF(91:91,E20,92:92)-SUMIF(91:91,C20,92:92)+100</f>
        <v>96</v>
      </c>
      <c r="G19" s="408"/>
      <c r="H19" s="401">
        <f>SUMIF(91:91,G20,92:92)-SUMIF(91:91,C20,92:92)+100</f>
        <v>100</v>
      </c>
      <c r="I19" s="410"/>
      <c r="J19" s="401">
        <f>SUMIF(91:91,I20,92:92)-SUMIF(91:91,C20,92:92)+100</f>
        <v>98</v>
      </c>
      <c r="K19" s="621">
        <v>2</v>
      </c>
      <c r="L19" s="2718"/>
      <c r="M19" s="2712"/>
      <c r="N19" s="2712"/>
      <c r="O19" s="2770"/>
      <c r="P19" s="3734"/>
      <c r="Q19" s="1348" t="str">
        <f>B19</f>
        <v>办公集聚程度</v>
      </c>
      <c r="R19" s="705" t="s">
        <v>14</v>
      </c>
      <c r="S19" s="706">
        <f>F19</f>
        <v>96</v>
      </c>
      <c r="T19" s="705" t="s">
        <v>14</v>
      </c>
      <c r="U19" s="706">
        <f>H19</f>
        <v>100</v>
      </c>
      <c r="V19" s="705" t="s">
        <v>14</v>
      </c>
      <c r="W19" s="706">
        <f>J19</f>
        <v>98</v>
      </c>
      <c r="X19" s="1351"/>
      <c r="Y19" s="3734"/>
      <c r="Z19" s="1352" t="str">
        <f>Q19</f>
        <v>办公集聚程度</v>
      </c>
      <c r="AA19" s="1349">
        <f t="shared" si="3"/>
        <v>1.0416666666666667</v>
      </c>
      <c r="AB19" s="1349">
        <f t="shared" si="4"/>
        <v>1</v>
      </c>
      <c r="AC19" s="1349">
        <f t="shared" si="5"/>
        <v>1.0204081632653061</v>
      </c>
    </row>
    <row r="20" spans="1:29" ht="15">
      <c r="A20" s="379"/>
      <c r="B20" s="407"/>
      <c r="C20" s="398" t="s">
        <v>3931</v>
      </c>
      <c r="D20" s="399"/>
      <c r="E20" s="1894" t="s">
        <v>3924</v>
      </c>
      <c r="F20" s="399"/>
      <c r="G20" s="1894" t="s">
        <v>3931</v>
      </c>
      <c r="H20" s="399"/>
      <c r="I20" s="1893" t="s">
        <v>3923</v>
      </c>
      <c r="J20" s="399"/>
      <c r="K20" s="620"/>
      <c r="L20" s="2718"/>
      <c r="M20" s="2712"/>
      <c r="N20" s="2712"/>
      <c r="O20" s="2770"/>
      <c r="P20" s="3734"/>
      <c r="Q20" s="1348"/>
      <c r="R20" s="705"/>
      <c r="S20" s="706"/>
      <c r="T20" s="705"/>
      <c r="U20" s="706"/>
      <c r="V20" s="705"/>
      <c r="W20" s="706"/>
      <c r="X20" s="1351"/>
      <c r="Y20" s="3734"/>
      <c r="Z20" s="1352"/>
      <c r="AA20" s="1349">
        <v>1</v>
      </c>
      <c r="AB20" s="1349">
        <v>1</v>
      </c>
      <c r="AC20" s="1349">
        <v>1</v>
      </c>
    </row>
    <row r="21" spans="1:29" ht="85.5">
      <c r="A21" s="379"/>
      <c r="B21" s="402" t="s">
        <v>1833</v>
      </c>
      <c r="C21" s="1896" t="str">
        <f>估价对象房地状况!C18</f>
        <v>估价对象周边道路状况、公共交通通达情况、停车便捷程度，综合评价交通便捷度较好</v>
      </c>
      <c r="D21" s="401">
        <v>100</v>
      </c>
      <c r="E21" s="403"/>
      <c r="F21" s="406">
        <f>SUMIF(93:93,E22,94:94)-SUMIF(93:93,C22,94:94)+100</f>
        <v>98</v>
      </c>
      <c r="G21" s="403"/>
      <c r="H21" s="401">
        <f>SUMIF(93:93,G22,94:94)-SUMIF(93:93,C22,94:94)+100</f>
        <v>100</v>
      </c>
      <c r="I21" s="405"/>
      <c r="J21" s="401">
        <f>SUMIF(93:93,I22,94:94)-SUMIF(93:93,C22,94:94)+100</f>
        <v>100</v>
      </c>
      <c r="K21" s="621">
        <v>2</v>
      </c>
      <c r="L21" s="2718"/>
      <c r="M21" s="2712"/>
      <c r="N21" s="2712"/>
      <c r="O21" s="2770"/>
      <c r="P21" s="3734"/>
      <c r="Q21" s="1348" t="str">
        <f>B21</f>
        <v>交通便捷度</v>
      </c>
      <c r="R21" s="705" t="s">
        <v>14</v>
      </c>
      <c r="S21" s="706">
        <f>F21</f>
        <v>98</v>
      </c>
      <c r="T21" s="705" t="s">
        <v>14</v>
      </c>
      <c r="U21" s="706">
        <f>H21</f>
        <v>100</v>
      </c>
      <c r="V21" s="705" t="s">
        <v>14</v>
      </c>
      <c r="W21" s="706">
        <f>J21</f>
        <v>100</v>
      </c>
      <c r="X21" s="1351"/>
      <c r="Y21" s="3734"/>
      <c r="Z21" s="1352" t="str">
        <f>Q21</f>
        <v>交通便捷度</v>
      </c>
      <c r="AA21" s="1349">
        <f t="shared" si="3"/>
        <v>1.0204081632653061</v>
      </c>
      <c r="AB21" s="1349">
        <f t="shared" si="4"/>
        <v>1</v>
      </c>
      <c r="AC21" s="1349">
        <f t="shared" si="5"/>
        <v>1</v>
      </c>
    </row>
    <row r="22" spans="1:29" ht="15">
      <c r="A22" s="379"/>
      <c r="B22" s="1128"/>
      <c r="C22" s="3487" t="s">
        <v>3925</v>
      </c>
      <c r="D22" s="401"/>
      <c r="E22" s="3488" t="s">
        <v>3926</v>
      </c>
      <c r="F22" s="399"/>
      <c r="G22" s="3488" t="s">
        <v>3925</v>
      </c>
      <c r="H22" s="399"/>
      <c r="I22" s="3489" t="s">
        <v>3925</v>
      </c>
      <c r="J22" s="399"/>
      <c r="K22" s="620"/>
      <c r="L22" s="2718"/>
      <c r="M22" s="2712"/>
      <c r="N22" s="2712"/>
      <c r="O22" s="2770"/>
      <c r="P22" s="3734"/>
      <c r="Q22" s="1348"/>
      <c r="R22" s="705"/>
      <c r="S22" s="706"/>
      <c r="T22" s="705"/>
      <c r="U22" s="706"/>
      <c r="V22" s="705"/>
      <c r="W22" s="706"/>
      <c r="X22" s="1351"/>
      <c r="Y22" s="3734"/>
      <c r="Z22" s="1352"/>
      <c r="AA22" s="1349">
        <v>1</v>
      </c>
      <c r="AB22" s="1349">
        <v>1</v>
      </c>
      <c r="AC22" s="1349">
        <v>1</v>
      </c>
    </row>
    <row r="23" spans="1:29" ht="15">
      <c r="A23" s="358"/>
      <c r="B23" s="402" t="s">
        <v>1871</v>
      </c>
      <c r="C23" s="1133">
        <f>估价对象房地状况!C19</f>
        <v>0</v>
      </c>
      <c r="D23" s="406">
        <v>100</v>
      </c>
      <c r="E23" s="403"/>
      <c r="F23" s="406">
        <f>SUMIF(95:95,E24,96:96)-SUMIF(95:95,C24,96:96)+100</f>
        <v>100</v>
      </c>
      <c r="G23" s="405"/>
      <c r="H23" s="406">
        <f>SUMIF(95:95,G24,96:96)-SUMIF(95:95,C24,96:96)+100</f>
        <v>100</v>
      </c>
      <c r="I23" s="405"/>
      <c r="J23" s="406">
        <f>SUMIF(95:95,I24,96:96)-SUMIF(95:95,C24,96:96)+100</f>
        <v>100</v>
      </c>
      <c r="K23" s="621">
        <v>2</v>
      </c>
      <c r="L23" s="2718"/>
      <c r="M23" s="2712"/>
      <c r="N23" s="2712"/>
      <c r="O23" s="2770"/>
      <c r="P23" s="3734"/>
      <c r="Q23" s="1348" t="str">
        <f t="shared" ref="Q23:Q37" si="8">B23</f>
        <v>区域土地利用方向</v>
      </c>
      <c r="R23" s="705" t="s">
        <v>14</v>
      </c>
      <c r="S23" s="706">
        <f>F23</f>
        <v>100</v>
      </c>
      <c r="T23" s="705" t="s">
        <v>14</v>
      </c>
      <c r="U23" s="706">
        <f>H23</f>
        <v>100</v>
      </c>
      <c r="V23" s="705" t="s">
        <v>14</v>
      </c>
      <c r="W23" s="706">
        <f>J23</f>
        <v>100</v>
      </c>
      <c r="X23" s="1351"/>
      <c r="Y23" s="3734"/>
      <c r="Z23" s="1352" t="str">
        <f>Q23</f>
        <v>区域土地利用方向</v>
      </c>
      <c r="AA23" s="1349">
        <f t="shared" si="3"/>
        <v>1</v>
      </c>
      <c r="AB23" s="1349">
        <f t="shared" si="4"/>
        <v>1</v>
      </c>
      <c r="AC23" s="1349">
        <f t="shared" si="5"/>
        <v>1</v>
      </c>
    </row>
    <row r="24" spans="1:29" ht="15">
      <c r="A24" s="358"/>
      <c r="B24" s="407"/>
      <c r="C24" s="3490" t="s">
        <v>3925</v>
      </c>
      <c r="D24" s="399"/>
      <c r="E24" s="3488" t="s">
        <v>3925</v>
      </c>
      <c r="F24" s="399"/>
      <c r="G24" s="3489" t="s">
        <v>3925</v>
      </c>
      <c r="H24" s="399"/>
      <c r="I24" s="3489" t="s">
        <v>3925</v>
      </c>
      <c r="J24" s="399"/>
      <c r="K24" s="737"/>
      <c r="L24" s="2718"/>
      <c r="M24" s="2712"/>
      <c r="N24" s="2712"/>
      <c r="O24" s="2770"/>
      <c r="P24" s="3734"/>
      <c r="Q24" s="1348"/>
      <c r="R24" s="705"/>
      <c r="S24" s="706"/>
      <c r="T24" s="705"/>
      <c r="U24" s="706"/>
      <c r="V24" s="705"/>
      <c r="W24" s="706"/>
      <c r="X24" s="1351"/>
      <c r="Y24" s="3734"/>
      <c r="Z24" s="1352"/>
      <c r="AA24" s="1349"/>
      <c r="AB24" s="1349"/>
      <c r="AC24" s="1349"/>
    </row>
    <row r="25" spans="1:29" ht="57">
      <c r="A25" s="358"/>
      <c r="B25" s="1128" t="s">
        <v>1872</v>
      </c>
      <c r="C25" s="1951"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v>2</v>
      </c>
      <c r="L25" s="2718"/>
      <c r="M25" s="2712"/>
      <c r="N25" s="2712"/>
      <c r="O25" s="2770"/>
      <c r="P25" s="3734"/>
      <c r="Q25" s="1348" t="str">
        <f t="shared" si="8"/>
        <v>自然及人文环境状况</v>
      </c>
      <c r="R25" s="705" t="s">
        <v>14</v>
      </c>
      <c r="S25" s="706">
        <f>F25</f>
        <v>100</v>
      </c>
      <c r="T25" s="705" t="s">
        <v>14</v>
      </c>
      <c r="U25" s="706">
        <f>H25</f>
        <v>100</v>
      </c>
      <c r="V25" s="705" t="s">
        <v>14</v>
      </c>
      <c r="W25" s="706">
        <f>J25</f>
        <v>100</v>
      </c>
      <c r="X25" s="1351"/>
      <c r="Y25" s="3734"/>
      <c r="Z25" s="1352" t="str">
        <f>Q25</f>
        <v>自然及人文环境状况</v>
      </c>
      <c r="AA25" s="1349">
        <f t="shared" si="3"/>
        <v>1</v>
      </c>
      <c r="AB25" s="1349">
        <f t="shared" si="4"/>
        <v>1</v>
      </c>
      <c r="AC25" s="1349">
        <f t="shared" si="5"/>
        <v>1</v>
      </c>
    </row>
    <row r="26" spans="1:29" ht="15">
      <c r="A26" s="358"/>
      <c r="B26" s="407"/>
      <c r="C26" s="398"/>
      <c r="D26" s="399"/>
      <c r="E26" s="1900"/>
      <c r="F26" s="399"/>
      <c r="G26" s="1900"/>
      <c r="H26" s="399"/>
      <c r="I26" s="398"/>
      <c r="J26" s="399"/>
      <c r="K26" s="620"/>
      <c r="L26" s="2718"/>
      <c r="M26" s="2712"/>
      <c r="N26" s="2712"/>
      <c r="O26" s="2770"/>
      <c r="P26" s="3734"/>
      <c r="Q26" s="1348"/>
      <c r="R26" s="705"/>
      <c r="S26" s="706"/>
      <c r="T26" s="705"/>
      <c r="U26" s="706"/>
      <c r="V26" s="705"/>
      <c r="W26" s="706"/>
      <c r="X26" s="1351"/>
      <c r="Y26" s="3734"/>
      <c r="Z26" s="1352"/>
      <c r="AA26" s="1349">
        <v>1</v>
      </c>
      <c r="AB26" s="1349">
        <v>1</v>
      </c>
      <c r="AC26" s="1349">
        <v>1</v>
      </c>
    </row>
    <row r="27" spans="1:29" s="108" customFormat="1" ht="42.75">
      <c r="A27" s="597"/>
      <c r="B27" s="1128" t="s">
        <v>1778</v>
      </c>
      <c r="C27" s="1896" t="str">
        <f>估价对象房地状况!C21</f>
        <v>估价对象所在区域公共配套设施齐备情况</v>
      </c>
      <c r="D27" s="401">
        <v>100</v>
      </c>
      <c r="E27" s="403"/>
      <c r="F27" s="401">
        <f>SUMIF(99:99,E28,100:100)-SUMIF(99:99,C28,100:100)+100</f>
        <v>98</v>
      </c>
      <c r="G27" s="403"/>
      <c r="H27" s="401">
        <f>SUMIF(99:99,G28,100:100)-SUMIF(99:99,C28,100:100)+100</f>
        <v>100</v>
      </c>
      <c r="I27" s="405"/>
      <c r="J27" s="401">
        <f>SUMIF(99:99,I28,100:100)-SUMIF(99:99,C28,100:100)+100</f>
        <v>100</v>
      </c>
      <c r="K27" s="621">
        <v>2</v>
      </c>
      <c r="L27" s="2713"/>
      <c r="M27" s="2714"/>
      <c r="N27" s="2714"/>
      <c r="O27" s="2768"/>
      <c r="P27" s="3734"/>
      <c r="Q27" s="1339" t="str">
        <f t="shared" si="8"/>
        <v>公共配套设施</v>
      </c>
      <c r="R27" s="701" t="s">
        <v>14</v>
      </c>
      <c r="S27" s="702">
        <f>F27</f>
        <v>98</v>
      </c>
      <c r="T27" s="701" t="s">
        <v>14</v>
      </c>
      <c r="U27" s="702">
        <f>H27</f>
        <v>100</v>
      </c>
      <c r="V27" s="701" t="s">
        <v>14</v>
      </c>
      <c r="W27" s="702">
        <f>J27</f>
        <v>100</v>
      </c>
      <c r="X27" s="703"/>
      <c r="Y27" s="3734"/>
      <c r="Z27" s="52" t="str">
        <f>Q27</f>
        <v>公共配套设施</v>
      </c>
      <c r="AA27" s="1349">
        <f>D27/F27</f>
        <v>1.0204081632653061</v>
      </c>
      <c r="AB27" s="1349">
        <f>D27/H27</f>
        <v>1</v>
      </c>
      <c r="AC27" s="1349">
        <f>D27/J27</f>
        <v>1</v>
      </c>
    </row>
    <row r="28" spans="1:29" s="108" customFormat="1" ht="15">
      <c r="A28" s="597"/>
      <c r="B28" s="407"/>
      <c r="C28" s="3491" t="s">
        <v>3925</v>
      </c>
      <c r="D28" s="399"/>
      <c r="E28" s="3492" t="s">
        <v>3926</v>
      </c>
      <c r="F28" s="399"/>
      <c r="G28" s="3492" t="s">
        <v>3925</v>
      </c>
      <c r="H28" s="399"/>
      <c r="I28" s="3487" t="s">
        <v>3925</v>
      </c>
      <c r="J28" s="399"/>
      <c r="K28" s="620"/>
      <c r="L28" s="2713"/>
      <c r="M28" s="2714"/>
      <c r="N28" s="2714"/>
      <c r="O28" s="2768"/>
      <c r="P28" s="3734"/>
      <c r="Q28" s="1339"/>
      <c r="R28" s="701"/>
      <c r="S28" s="702"/>
      <c r="T28" s="701"/>
      <c r="U28" s="702"/>
      <c r="V28" s="701"/>
      <c r="W28" s="702"/>
      <c r="X28" s="703"/>
      <c r="Y28" s="3734"/>
      <c r="Z28" s="52"/>
      <c r="AA28" s="1349">
        <v>1</v>
      </c>
      <c r="AB28" s="1349">
        <v>1</v>
      </c>
      <c r="AC28" s="1349">
        <v>1</v>
      </c>
    </row>
    <row r="29" spans="1:29" s="108" customFormat="1" ht="28.5">
      <c r="A29" s="597"/>
      <c r="B29" s="1128" t="s">
        <v>1779</v>
      </c>
      <c r="C29" s="1896"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v>2</v>
      </c>
      <c r="L29" s="2713"/>
      <c r="M29" s="2714"/>
      <c r="N29" s="2714"/>
      <c r="O29" s="2768"/>
      <c r="P29" s="3734"/>
      <c r="Q29" s="1339" t="str">
        <f t="shared" ref="Q29" si="9">B29</f>
        <v>基础设施水平</v>
      </c>
      <c r="R29" s="701" t="s">
        <v>14</v>
      </c>
      <c r="S29" s="702">
        <f>F29</f>
        <v>100</v>
      </c>
      <c r="T29" s="701" t="s">
        <v>14</v>
      </c>
      <c r="U29" s="702">
        <f>H29</f>
        <v>100</v>
      </c>
      <c r="V29" s="701" t="s">
        <v>14</v>
      </c>
      <c r="W29" s="702">
        <f>J29</f>
        <v>100</v>
      </c>
      <c r="X29" s="703"/>
      <c r="Y29" s="3734"/>
      <c r="Z29" s="52" t="str">
        <f>Q29</f>
        <v>基础设施水平</v>
      </c>
      <c r="AA29" s="1349">
        <f>D29/F29</f>
        <v>1</v>
      </c>
      <c r="AB29" s="1349">
        <f>D29/H29</f>
        <v>1</v>
      </c>
      <c r="AC29" s="1349">
        <f>D29/J29</f>
        <v>1</v>
      </c>
    </row>
    <row r="30" spans="1:29" s="108" customFormat="1" ht="15">
      <c r="A30" s="597"/>
      <c r="B30" s="407"/>
      <c r="C30" s="3491" t="s">
        <v>3927</v>
      </c>
      <c r="D30" s="399"/>
      <c r="E30" s="3493" t="s">
        <v>3928</v>
      </c>
      <c r="F30" s="399"/>
      <c r="G30" s="3493" t="s">
        <v>3927</v>
      </c>
      <c r="H30" s="399"/>
      <c r="I30" s="3493" t="s">
        <v>3927</v>
      </c>
      <c r="J30" s="399"/>
      <c r="K30" s="620"/>
      <c r="L30" s="2713"/>
      <c r="M30" s="2714"/>
      <c r="N30" s="2714"/>
      <c r="O30" s="2768"/>
      <c r="P30" s="3734"/>
      <c r="Q30" s="1339"/>
      <c r="R30" s="701"/>
      <c r="S30" s="702"/>
      <c r="T30" s="701"/>
      <c r="U30" s="702"/>
      <c r="V30" s="701"/>
      <c r="W30" s="702"/>
      <c r="X30" s="703"/>
      <c r="Y30" s="3734"/>
      <c r="Z30" s="52"/>
      <c r="AA30" s="1349">
        <v>1</v>
      </c>
      <c r="AB30" s="1349">
        <v>1</v>
      </c>
      <c r="AC30" s="1349">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v>2</v>
      </c>
      <c r="L31" s="2718"/>
      <c r="M31" s="2712"/>
      <c r="N31" s="2712"/>
      <c r="O31" s="2770"/>
      <c r="P31" s="3734"/>
      <c r="Q31" s="1348" t="str">
        <f t="shared" si="8"/>
        <v>临街状况</v>
      </c>
      <c r="R31" s="705" t="s">
        <v>14</v>
      </c>
      <c r="S31" s="706">
        <f t="shared" ref="S31:S45" si="10">F31</f>
        <v>100</v>
      </c>
      <c r="T31" s="705" t="s">
        <v>14</v>
      </c>
      <c r="U31" s="706">
        <f t="shared" ref="U31:U45" si="11">H31</f>
        <v>100</v>
      </c>
      <c r="V31" s="705" t="s">
        <v>14</v>
      </c>
      <c r="W31" s="706">
        <f t="shared" ref="W31:W45" si="12">J31</f>
        <v>100</v>
      </c>
      <c r="X31" s="1351"/>
      <c r="Y31" s="3734"/>
      <c r="Z31" s="1352" t="str">
        <f t="shared" ref="Z31:Z45" si="13">Q31</f>
        <v>临街状况</v>
      </c>
      <c r="AA31" s="1349">
        <f t="shared" si="3"/>
        <v>1</v>
      </c>
      <c r="AB31" s="1349">
        <f t="shared" si="4"/>
        <v>1</v>
      </c>
      <c r="AC31" s="1349">
        <f t="shared" si="5"/>
        <v>1</v>
      </c>
    </row>
    <row r="32" spans="1:29" ht="27">
      <c r="A32" s="379"/>
      <c r="B32" s="1128"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v>2</v>
      </c>
      <c r="L32" s="2718"/>
      <c r="M32" s="2712"/>
      <c r="N32" s="2712"/>
      <c r="O32" s="2770"/>
      <c r="P32" s="3734"/>
      <c r="Q32" s="1348" t="str">
        <f t="shared" si="8"/>
        <v>毗邻道路的类型与等级</v>
      </c>
      <c r="R32" s="705" t="s">
        <v>14</v>
      </c>
      <c r="S32" s="706">
        <f t="shared" si="10"/>
        <v>100</v>
      </c>
      <c r="T32" s="705" t="s">
        <v>14</v>
      </c>
      <c r="U32" s="706">
        <f t="shared" si="11"/>
        <v>100</v>
      </c>
      <c r="V32" s="705" t="s">
        <v>14</v>
      </c>
      <c r="W32" s="706">
        <f t="shared" si="12"/>
        <v>100</v>
      </c>
      <c r="X32" s="1351"/>
      <c r="Y32" s="3734"/>
      <c r="Z32" s="1352" t="str">
        <f t="shared" si="13"/>
        <v>毗邻道路的类型与等级</v>
      </c>
      <c r="AA32" s="1349">
        <f t="shared" si="3"/>
        <v>1</v>
      </c>
      <c r="AB32" s="1349">
        <f t="shared" si="4"/>
        <v>1</v>
      </c>
      <c r="AC32" s="1349">
        <f t="shared" si="5"/>
        <v>1</v>
      </c>
    </row>
    <row r="33" spans="1:29" ht="15">
      <c r="A33" s="379"/>
      <c r="B33" s="407"/>
      <c r="C33" s="398"/>
      <c r="D33" s="399"/>
      <c r="E33" s="1900"/>
      <c r="F33" s="399"/>
      <c r="G33" s="1900"/>
      <c r="H33" s="399"/>
      <c r="I33" s="398"/>
      <c r="J33" s="399"/>
      <c r="K33" s="562"/>
      <c r="L33" s="2718"/>
      <c r="M33" s="2712"/>
      <c r="N33" s="2712"/>
      <c r="O33" s="2770"/>
      <c r="P33" s="3734"/>
      <c r="Q33" s="1348"/>
      <c r="R33" s="705"/>
      <c r="S33" s="706"/>
      <c r="T33" s="705"/>
      <c r="U33" s="706"/>
      <c r="V33" s="705"/>
      <c r="W33" s="706"/>
      <c r="X33" s="1351"/>
      <c r="Y33" s="3734"/>
      <c r="Z33" s="1352"/>
      <c r="AA33" s="1349">
        <v>1</v>
      </c>
      <c r="AB33" s="1349">
        <v>1</v>
      </c>
      <c r="AC33" s="1349">
        <v>1</v>
      </c>
    </row>
    <row r="34" spans="1:29" ht="15">
      <c r="A34" s="379"/>
      <c r="B34" s="375" t="s">
        <v>1873</v>
      </c>
      <c r="C34" s="3490" t="s">
        <v>3929</v>
      </c>
      <c r="D34" s="386">
        <v>100</v>
      </c>
      <c r="E34" s="3494" t="s">
        <v>3930</v>
      </c>
      <c r="F34" s="386">
        <f>SUMIF(107:107,E34,108:108)-SUMIF(107:107,C34,108:108)+100</f>
        <v>98</v>
      </c>
      <c r="G34" s="3494" t="s">
        <v>3929</v>
      </c>
      <c r="H34" s="386">
        <f>SUMIF(107:107,G34,108:108)-SUMIF(107:107,C34,108:108)+100</f>
        <v>100</v>
      </c>
      <c r="I34" s="3490" t="s">
        <v>3929</v>
      </c>
      <c r="J34" s="386">
        <f>SUMIF(107:107,I34,108:108)-SUMIF(107:107,C34,108:108)+100</f>
        <v>100</v>
      </c>
      <c r="K34" s="561">
        <v>2</v>
      </c>
      <c r="L34" s="2718"/>
      <c r="M34" s="2712"/>
      <c r="N34" s="2712"/>
      <c r="O34" s="2770"/>
      <c r="P34" s="3734"/>
      <c r="Q34" s="1348" t="str">
        <f t="shared" si="8"/>
        <v>土地级别</v>
      </c>
      <c r="R34" s="705" t="s">
        <v>14</v>
      </c>
      <c r="S34" s="706">
        <f t="shared" si="10"/>
        <v>98</v>
      </c>
      <c r="T34" s="705" t="s">
        <v>14</v>
      </c>
      <c r="U34" s="706">
        <f t="shared" si="11"/>
        <v>100</v>
      </c>
      <c r="V34" s="705" t="s">
        <v>14</v>
      </c>
      <c r="W34" s="706">
        <f t="shared" si="12"/>
        <v>100</v>
      </c>
      <c r="X34" s="1351"/>
      <c r="Y34" s="3734"/>
      <c r="Z34" s="1352" t="str">
        <f t="shared" si="13"/>
        <v>土地级别</v>
      </c>
      <c r="AA34" s="1349">
        <f t="shared" si="3"/>
        <v>1.0204081632653061</v>
      </c>
      <c r="AB34" s="1349">
        <f t="shared" si="4"/>
        <v>1</v>
      </c>
      <c r="AC34" s="1349">
        <f t="shared" si="5"/>
        <v>1</v>
      </c>
    </row>
    <row r="35" spans="1:29" ht="15">
      <c r="A35" s="358"/>
      <c r="B35" s="1130">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734"/>
      <c r="Q35" s="1348">
        <f t="shared" si="8"/>
        <v>111</v>
      </c>
      <c r="R35" s="705" t="s">
        <v>14</v>
      </c>
      <c r="S35" s="706">
        <f t="shared" si="10"/>
        <v>100</v>
      </c>
      <c r="T35" s="705" t="s">
        <v>14</v>
      </c>
      <c r="U35" s="706">
        <f t="shared" si="11"/>
        <v>100</v>
      </c>
      <c r="V35" s="705" t="s">
        <v>14</v>
      </c>
      <c r="W35" s="706">
        <f t="shared" si="12"/>
        <v>100</v>
      </c>
      <c r="X35" s="1351"/>
      <c r="Y35" s="3734"/>
      <c r="Z35" s="1352">
        <f t="shared" si="13"/>
        <v>111</v>
      </c>
      <c r="AA35" s="1349">
        <f t="shared" si="3"/>
        <v>1</v>
      </c>
      <c r="AB35" s="1349">
        <f t="shared" si="4"/>
        <v>1</v>
      </c>
      <c r="AC35" s="1349">
        <f t="shared" si="5"/>
        <v>1</v>
      </c>
    </row>
    <row r="36" spans="1:29" ht="15">
      <c r="A36" s="623"/>
      <c r="B36" s="1131">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35" t="s">
        <v>1696</v>
      </c>
      <c r="Q36" s="1348">
        <f t="shared" si="8"/>
        <v>111</v>
      </c>
      <c r="R36" s="705" t="s">
        <v>14</v>
      </c>
      <c r="S36" s="706">
        <f t="shared" si="10"/>
        <v>100</v>
      </c>
      <c r="T36" s="705" t="s">
        <v>14</v>
      </c>
      <c r="U36" s="706">
        <f t="shared" si="11"/>
        <v>100</v>
      </c>
      <c r="V36" s="705" t="s">
        <v>14</v>
      </c>
      <c r="W36" s="706">
        <f t="shared" si="12"/>
        <v>100</v>
      </c>
      <c r="X36" s="1351"/>
      <c r="Y36" s="3736" t="s">
        <v>1696</v>
      </c>
      <c r="Z36" s="1352">
        <f t="shared" si="13"/>
        <v>111</v>
      </c>
      <c r="AA36" s="1349">
        <f t="shared" si="3"/>
        <v>1</v>
      </c>
      <c r="AB36" s="1349">
        <f t="shared" si="4"/>
        <v>1</v>
      </c>
      <c r="AC36" s="1349">
        <f t="shared" si="5"/>
        <v>1</v>
      </c>
    </row>
    <row r="37" spans="1:29" s="422" customFormat="1" ht="15.75" thickBot="1">
      <c r="A37" s="624"/>
      <c r="B37" s="1132">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736"/>
      <c r="Q37" s="1348">
        <f t="shared" si="8"/>
        <v>111</v>
      </c>
      <c r="R37" s="708" t="s">
        <v>14</v>
      </c>
      <c r="S37" s="709">
        <f t="shared" si="10"/>
        <v>100</v>
      </c>
      <c r="T37" s="708" t="s">
        <v>14</v>
      </c>
      <c r="U37" s="709">
        <f t="shared" si="11"/>
        <v>100</v>
      </c>
      <c r="V37" s="708" t="s">
        <v>14</v>
      </c>
      <c r="W37" s="709">
        <f t="shared" si="12"/>
        <v>100</v>
      </c>
      <c r="X37" s="710"/>
      <c r="Y37" s="3736"/>
      <c r="Z37" s="711">
        <f t="shared" si="13"/>
        <v>111</v>
      </c>
      <c r="AA37" s="1349">
        <f t="shared" si="3"/>
        <v>1</v>
      </c>
      <c r="AB37" s="1349">
        <f t="shared" si="4"/>
        <v>1</v>
      </c>
      <c r="AC37" s="1349">
        <f t="shared" si="5"/>
        <v>1</v>
      </c>
    </row>
    <row r="38" spans="1:29" ht="15">
      <c r="A38" s="423" t="s">
        <v>1694</v>
      </c>
      <c r="B38" s="407" t="s">
        <v>1874</v>
      </c>
      <c r="C38" s="627">
        <f>'数据-汇总表'!D3</f>
        <v>15635.46</v>
      </c>
      <c r="D38" s="418">
        <v>100</v>
      </c>
      <c r="E38" s="627">
        <f>Sheet2!D2</f>
        <v>5681.8</v>
      </c>
      <c r="F38" s="418">
        <f>LOOKUP(E38,116:116,117:117)-LOOKUP(C38,116:116,117:117)+100</f>
        <v>99</v>
      </c>
      <c r="G38" s="627">
        <f>Sheet2!D6</f>
        <v>12235.9</v>
      </c>
      <c r="H38" s="418">
        <f>LOOKUP(G38,116:116,117:117)-LOOKUP(C38,116:116,117:117)+100</f>
        <v>100</v>
      </c>
      <c r="I38" s="479">
        <f>Sheet2!D26</f>
        <v>7282.51</v>
      </c>
      <c r="J38" s="418">
        <f>LOOKUP(I38,116:116,117:117)-LOOKUP(C38,116:116,117:117)+100</f>
        <v>99</v>
      </c>
      <c r="K38" s="562"/>
      <c r="L38" s="2718"/>
      <c r="M38" s="2712"/>
      <c r="N38" s="2712"/>
      <c r="O38" s="2770"/>
      <c r="P38" s="3736"/>
      <c r="Q38" s="1348" t="str">
        <f>B38</f>
        <v>宗地面积</v>
      </c>
      <c r="R38" s="705" t="s">
        <v>14</v>
      </c>
      <c r="S38" s="706">
        <f t="shared" si="10"/>
        <v>99</v>
      </c>
      <c r="T38" s="705" t="s">
        <v>14</v>
      </c>
      <c r="U38" s="706">
        <f t="shared" si="11"/>
        <v>100</v>
      </c>
      <c r="V38" s="705" t="s">
        <v>14</v>
      </c>
      <c r="W38" s="706">
        <f t="shared" si="12"/>
        <v>99</v>
      </c>
      <c r="X38" s="1351"/>
      <c r="Y38" s="3736"/>
      <c r="Z38" s="1352" t="str">
        <f t="shared" si="13"/>
        <v>宗地面积</v>
      </c>
      <c r="AA38" s="1349">
        <f t="shared" si="3"/>
        <v>1.0101010101010102</v>
      </c>
      <c r="AB38" s="1349">
        <f t="shared" si="4"/>
        <v>1</v>
      </c>
      <c r="AC38" s="1349">
        <f t="shared" si="5"/>
        <v>1.0101010101010102</v>
      </c>
    </row>
    <row r="39" spans="1:29" ht="15">
      <c r="A39" s="423"/>
      <c r="B39" s="375" t="s">
        <v>1875</v>
      </c>
      <c r="C39" s="1902"/>
      <c r="D39" s="386">
        <v>100</v>
      </c>
      <c r="E39" s="1902"/>
      <c r="F39" s="386">
        <f>SUMIF(118:118,E39,119:119)-SUMIF(118:118,C39,119:119)+100</f>
        <v>100</v>
      </c>
      <c r="G39" s="1902"/>
      <c r="H39" s="386">
        <f>SUMIF(118:118,G39,119:119)-SUMIF(118:118,C39,119:119)+100</f>
        <v>100</v>
      </c>
      <c r="I39" s="1902"/>
      <c r="J39" s="386">
        <f>SUMIF(118:118,I39,119:119)-SUMIF(118:118,C39,119:119)+100</f>
        <v>100</v>
      </c>
      <c r="K39" s="561">
        <v>2</v>
      </c>
      <c r="L39" s="2718"/>
      <c r="M39" s="2712"/>
      <c r="N39" s="2712"/>
      <c r="O39" s="2770"/>
      <c r="P39" s="3736"/>
      <c r="Q39" s="1348" t="str">
        <f t="shared" ref="Q39:Q45" si="14">B39</f>
        <v>宗地形状</v>
      </c>
      <c r="R39" s="705" t="s">
        <v>14</v>
      </c>
      <c r="S39" s="706">
        <f t="shared" si="10"/>
        <v>100</v>
      </c>
      <c r="T39" s="705" t="s">
        <v>14</v>
      </c>
      <c r="U39" s="706">
        <f t="shared" si="11"/>
        <v>100</v>
      </c>
      <c r="V39" s="705" t="s">
        <v>14</v>
      </c>
      <c r="W39" s="706">
        <f t="shared" si="12"/>
        <v>100</v>
      </c>
      <c r="X39" s="1351"/>
      <c r="Y39" s="3736"/>
      <c r="Z39" s="1352" t="str">
        <f t="shared" si="13"/>
        <v>宗地形状</v>
      </c>
      <c r="AA39" s="1349">
        <f t="shared" si="3"/>
        <v>1</v>
      </c>
      <c r="AB39" s="1349">
        <f t="shared" si="4"/>
        <v>1</v>
      </c>
      <c r="AC39" s="1349">
        <f t="shared" si="5"/>
        <v>1</v>
      </c>
    </row>
    <row r="40" spans="1:29" ht="15">
      <c r="A40" s="423"/>
      <c r="B40" s="375" t="s">
        <v>1876</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v>2</v>
      </c>
      <c r="L40" s="2718"/>
      <c r="M40" s="2712"/>
      <c r="N40" s="2712"/>
      <c r="O40" s="2770"/>
      <c r="P40" s="3736"/>
      <c r="Q40" s="1348" t="str">
        <f t="shared" si="14"/>
        <v>临街宽度及深度</v>
      </c>
      <c r="R40" s="705" t="s">
        <v>14</v>
      </c>
      <c r="S40" s="706">
        <f t="shared" si="10"/>
        <v>100</v>
      </c>
      <c r="T40" s="705" t="s">
        <v>14</v>
      </c>
      <c r="U40" s="706">
        <f t="shared" si="11"/>
        <v>100</v>
      </c>
      <c r="V40" s="705" t="s">
        <v>14</v>
      </c>
      <c r="W40" s="706">
        <f t="shared" si="12"/>
        <v>100</v>
      </c>
      <c r="X40" s="1351"/>
      <c r="Y40" s="3736"/>
      <c r="Z40" s="1352" t="str">
        <f t="shared" si="13"/>
        <v>临街宽度及深度</v>
      </c>
      <c r="AA40" s="1349">
        <f t="shared" si="3"/>
        <v>1</v>
      </c>
      <c r="AB40" s="1349">
        <f t="shared" si="4"/>
        <v>1</v>
      </c>
      <c r="AC40" s="1349">
        <f t="shared" si="5"/>
        <v>1</v>
      </c>
    </row>
    <row r="41" spans="1:29" s="108" customFormat="1" ht="15">
      <c r="A41" s="424"/>
      <c r="B41" s="375" t="s">
        <v>1877</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61">
        <v>2</v>
      </c>
      <c r="L41" s="2713"/>
      <c r="M41" s="2714"/>
      <c r="N41" s="2714"/>
      <c r="O41" s="2768"/>
      <c r="P41" s="3736"/>
      <c r="Q41" s="1348" t="str">
        <f t="shared" si="14"/>
        <v>宗地开发程度</v>
      </c>
      <c r="R41" s="701" t="s">
        <v>14</v>
      </c>
      <c r="S41" s="702">
        <f t="shared" si="10"/>
        <v>100</v>
      </c>
      <c r="T41" s="701" t="s">
        <v>14</v>
      </c>
      <c r="U41" s="702">
        <f t="shared" si="11"/>
        <v>100</v>
      </c>
      <c r="V41" s="701" t="s">
        <v>14</v>
      </c>
      <c r="W41" s="702">
        <f t="shared" si="12"/>
        <v>100</v>
      </c>
      <c r="X41" s="703"/>
      <c r="Y41" s="3736"/>
      <c r="Z41" s="52" t="str">
        <f t="shared" si="13"/>
        <v>宗地开发程度</v>
      </c>
      <c r="AA41" s="704">
        <f t="shared" si="3"/>
        <v>1</v>
      </c>
      <c r="AB41" s="704">
        <f t="shared" si="4"/>
        <v>1</v>
      </c>
      <c r="AC41" s="704">
        <f t="shared" si="5"/>
        <v>1</v>
      </c>
    </row>
    <row r="42" spans="1:29" ht="15">
      <c r="A42" s="423"/>
      <c r="B42" s="375" t="s">
        <v>1878</v>
      </c>
      <c r="C42" s="1902"/>
      <c r="D42" s="386">
        <v>100</v>
      </c>
      <c r="E42" s="1902"/>
      <c r="F42" s="386">
        <f>SUMIF(124:124,E42,125:125)-SUMIF(124:124,C42,125:125)+100</f>
        <v>100</v>
      </c>
      <c r="G42" s="1902"/>
      <c r="H42" s="386">
        <f>SUMIF(124:124,G42,125:125)-SUMIF(124:124,C42,125:125)+100</f>
        <v>100</v>
      </c>
      <c r="I42" s="1902"/>
      <c r="J42" s="386">
        <f>SUMIF(124:124,I42,125:125)-SUMIF(124:124,C42,125:125)+100</f>
        <v>100</v>
      </c>
      <c r="K42" s="561">
        <v>2</v>
      </c>
      <c r="L42" s="2718"/>
      <c r="M42" s="2712"/>
      <c r="N42" s="2712"/>
      <c r="O42" s="2770"/>
      <c r="P42" s="3736" t="s">
        <v>1696</v>
      </c>
      <c r="Q42" s="1348" t="str">
        <f t="shared" si="14"/>
        <v>工程地质条件</v>
      </c>
      <c r="R42" s="705" t="s">
        <v>14</v>
      </c>
      <c r="S42" s="706">
        <f t="shared" si="10"/>
        <v>100</v>
      </c>
      <c r="T42" s="705" t="s">
        <v>14</v>
      </c>
      <c r="U42" s="706">
        <f t="shared" si="11"/>
        <v>100</v>
      </c>
      <c r="V42" s="705" t="s">
        <v>14</v>
      </c>
      <c r="W42" s="706">
        <f t="shared" si="12"/>
        <v>100</v>
      </c>
      <c r="X42" s="1351"/>
      <c r="Y42" s="3736" t="s">
        <v>1696</v>
      </c>
      <c r="Z42" s="1352" t="str">
        <f t="shared" si="13"/>
        <v>工程地质条件</v>
      </c>
      <c r="AA42" s="1349">
        <f t="shared" si="3"/>
        <v>1</v>
      </c>
      <c r="AB42" s="1349">
        <f t="shared" si="4"/>
        <v>1</v>
      </c>
      <c r="AC42" s="1349">
        <f t="shared" si="5"/>
        <v>1</v>
      </c>
    </row>
    <row r="43" spans="1:29" ht="15">
      <c r="A43" s="423"/>
      <c r="B43" s="1131">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736"/>
      <c r="Q43" s="1348">
        <f t="shared" si="14"/>
        <v>111</v>
      </c>
      <c r="R43" s="705" t="s">
        <v>14</v>
      </c>
      <c r="S43" s="706">
        <f t="shared" si="10"/>
        <v>100</v>
      </c>
      <c r="T43" s="705" t="s">
        <v>14</v>
      </c>
      <c r="U43" s="706">
        <f t="shared" si="11"/>
        <v>100</v>
      </c>
      <c r="V43" s="705" t="s">
        <v>14</v>
      </c>
      <c r="W43" s="706">
        <f t="shared" si="12"/>
        <v>100</v>
      </c>
      <c r="X43" s="1351"/>
      <c r="Y43" s="3736"/>
      <c r="Z43" s="1352">
        <f t="shared" si="13"/>
        <v>111</v>
      </c>
      <c r="AA43" s="1349">
        <f t="shared" si="3"/>
        <v>1</v>
      </c>
      <c r="AB43" s="1349">
        <f t="shared" si="4"/>
        <v>1</v>
      </c>
      <c r="AC43" s="1349">
        <f t="shared" si="5"/>
        <v>1</v>
      </c>
    </row>
    <row r="44" spans="1:29" ht="15">
      <c r="A44" s="423"/>
      <c r="B44" s="1131">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736"/>
      <c r="Q44" s="1348">
        <f t="shared" si="14"/>
        <v>111</v>
      </c>
      <c r="R44" s="705" t="s">
        <v>14</v>
      </c>
      <c r="S44" s="706">
        <f t="shared" si="10"/>
        <v>100</v>
      </c>
      <c r="T44" s="705" t="s">
        <v>14</v>
      </c>
      <c r="U44" s="706">
        <f t="shared" si="11"/>
        <v>100</v>
      </c>
      <c r="V44" s="705" t="s">
        <v>14</v>
      </c>
      <c r="W44" s="706">
        <f t="shared" si="12"/>
        <v>100</v>
      </c>
      <c r="X44" s="1351"/>
      <c r="Y44" s="3736"/>
      <c r="Z44" s="1352">
        <f t="shared" si="13"/>
        <v>111</v>
      </c>
      <c r="AA44" s="1349">
        <f t="shared" si="3"/>
        <v>1</v>
      </c>
      <c r="AB44" s="1349">
        <f t="shared" si="4"/>
        <v>1</v>
      </c>
      <c r="AC44" s="1349">
        <f t="shared" si="5"/>
        <v>1</v>
      </c>
    </row>
    <row r="45" spans="1:29" s="422" customFormat="1" ht="15.75" thickBot="1">
      <c r="A45" s="419"/>
      <c r="B45" s="1131">
        <v>111</v>
      </c>
      <c r="C45" s="1977"/>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736"/>
      <c r="Q45" s="1348">
        <f t="shared" si="14"/>
        <v>111</v>
      </c>
      <c r="R45" s="708" t="s">
        <v>14</v>
      </c>
      <c r="S45" s="709">
        <f t="shared" si="10"/>
        <v>100</v>
      </c>
      <c r="T45" s="708" t="s">
        <v>14</v>
      </c>
      <c r="U45" s="709">
        <f t="shared" si="11"/>
        <v>100</v>
      </c>
      <c r="V45" s="708" t="s">
        <v>14</v>
      </c>
      <c r="W45" s="709">
        <f t="shared" si="12"/>
        <v>100</v>
      </c>
      <c r="X45" s="710"/>
      <c r="Y45" s="3736"/>
      <c r="Z45" s="711">
        <f t="shared" si="13"/>
        <v>111</v>
      </c>
      <c r="AA45" s="1349">
        <f t="shared" si="3"/>
        <v>1</v>
      </c>
      <c r="AB45" s="1349">
        <f t="shared" si="4"/>
        <v>1</v>
      </c>
      <c r="AC45" s="1349">
        <f t="shared" si="5"/>
        <v>1</v>
      </c>
    </row>
    <row r="46" spans="1:29" ht="15">
      <c r="A46" s="430" t="s">
        <v>1844</v>
      </c>
      <c r="B46" s="1978" t="s">
        <v>1879</v>
      </c>
      <c r="C46" s="630" t="s">
        <v>0</v>
      </c>
      <c r="D46" s="432"/>
      <c r="E46" s="433">
        <v>3590</v>
      </c>
      <c r="F46" s="434"/>
      <c r="G46" s="435">
        <v>3461</v>
      </c>
      <c r="H46" s="436"/>
      <c r="I46" s="433">
        <v>3405</v>
      </c>
      <c r="J46" s="436"/>
      <c r="K46" s="714"/>
      <c r="L46" s="2720"/>
      <c r="M46" s="2721"/>
      <c r="N46" s="2712"/>
      <c r="O46" s="2721"/>
      <c r="P46" s="3718" t="str">
        <f>A46</f>
        <v>成交单价</v>
      </c>
      <c r="Q46" s="3718"/>
      <c r="R46" s="3731">
        <f>E46</f>
        <v>3590</v>
      </c>
      <c r="S46" s="3731"/>
      <c r="T46" s="3731">
        <f>G46</f>
        <v>3461</v>
      </c>
      <c r="U46" s="3731"/>
      <c r="V46" s="3731">
        <f>I46</f>
        <v>3405</v>
      </c>
      <c r="W46" s="3731"/>
      <c r="X46" s="690"/>
      <c r="Y46" s="712"/>
      <c r="Z46" s="690"/>
      <c r="AA46" s="690"/>
      <c r="AB46" s="690"/>
      <c r="AC46" s="690"/>
    </row>
    <row r="47" spans="1:29" ht="15.75" thickBot="1">
      <c r="A47" s="437" t="s">
        <v>1793</v>
      </c>
      <c r="B47" s="631"/>
      <c r="C47" s="440">
        <f>R48</f>
        <v>3106</v>
      </c>
      <c r="D47" s="2313" t="s">
        <v>2137</v>
      </c>
      <c r="E47" s="440">
        <f>R47</f>
        <v>3326</v>
      </c>
      <c r="F47" s="2314"/>
      <c r="G47" s="439">
        <f>T47</f>
        <v>2934</v>
      </c>
      <c r="H47" s="2314"/>
      <c r="I47" s="440">
        <f>V47</f>
        <v>3057</v>
      </c>
      <c r="J47" s="2314"/>
      <c r="K47" s="2316">
        <f>F47+H47+J47</f>
        <v>0</v>
      </c>
      <c r="L47" s="2720"/>
      <c r="M47" s="2721"/>
      <c r="N47" s="2721"/>
      <c r="O47" s="2721"/>
      <c r="P47" s="3718" t="str">
        <f>A47</f>
        <v>比较价值（元/平方米）</v>
      </c>
      <c r="Q47" s="3718"/>
      <c r="R47" s="3737">
        <f>ROUND(PRODUCT(R46,AA7:AA45),0)</f>
        <v>3326</v>
      </c>
      <c r="S47" s="3737"/>
      <c r="T47" s="3737">
        <f>ROUND(PRODUCT(T46,AB7:AB45),0)</f>
        <v>2934</v>
      </c>
      <c r="U47" s="3737"/>
      <c r="V47" s="3737">
        <f>ROUND(PRODUCT(V46,AC7:AC45),0)</f>
        <v>3057</v>
      </c>
      <c r="W47" s="3737"/>
      <c r="X47" s="690"/>
      <c r="Y47" s="690"/>
      <c r="Z47" s="690"/>
      <c r="AA47" s="690"/>
      <c r="AB47" s="690"/>
      <c r="AC47" s="690"/>
    </row>
    <row r="48" spans="1:29" ht="15.75" thickBot="1">
      <c r="A48" s="441" t="s">
        <v>1880</v>
      </c>
      <c r="B48" s="442"/>
      <c r="C48" s="443">
        <f>R48</f>
        <v>3106</v>
      </c>
      <c r="D48" s="443"/>
      <c r="E48" s="443"/>
      <c r="F48" s="443"/>
      <c r="G48" s="443"/>
      <c r="H48" s="443"/>
      <c r="I48" s="443"/>
      <c r="J48" s="443"/>
      <c r="K48" s="715"/>
      <c r="L48" s="2720"/>
      <c r="M48" s="2721"/>
      <c r="N48" s="2721"/>
      <c r="O48" s="2721"/>
      <c r="P48" s="3738" t="str">
        <f>A48</f>
        <v>估价对象XX用房的比较价值（楼面单价，元/平方米）</v>
      </c>
      <c r="Q48" s="3739"/>
      <c r="R48" s="3740">
        <f>ROUND(IF(D47="简单平均",AVERAGE(R47:W47),R47*F47+T47*H47+V47*J47),0)</f>
        <v>3106</v>
      </c>
      <c r="S48" s="3740"/>
      <c r="T48" s="3740"/>
      <c r="U48" s="3740"/>
      <c r="V48" s="3740"/>
      <c r="W48" s="3740"/>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f>IF(E46&lt;E47,E47/E46-1,E46/E47-1)</f>
        <v>7.9374624173180974E-2</v>
      </c>
      <c r="F51" s="449" t="str">
        <f>IF(OR(E51&gt;=0.3,E51&lt;=-0.3),"超过30%","")</f>
        <v/>
      </c>
      <c r="G51" s="448">
        <f>IF(G46&lt;G47,G47/G46-1,G46/G47-1)</f>
        <v>0.17961826857532381</v>
      </c>
      <c r="H51" s="449" t="str">
        <f>IF(OR(G51&gt;=0.3,G51&lt;=-0.3),"超过30%","")</f>
        <v/>
      </c>
      <c r="I51" s="448">
        <f>IF(I46&lt;I47,I47/I46-1,I46/I47-1)</f>
        <v>0.11383709519136409</v>
      </c>
      <c r="J51" s="449" t="str">
        <f>IF(OR(I51&gt;=0.3,I51&lt;=-0.3),"超过30%","")</f>
        <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f>IF(E47&lt;G47,G47/E47-1,E47/G47-1)</f>
        <v>0.13360599863667355</v>
      </c>
      <c r="F52" s="449" t="str">
        <f>IF(OR(E52&gt;=0.2,E52&lt;=-0.2),"超过20%","")</f>
        <v/>
      </c>
      <c r="G52" s="448">
        <f>IF(G47&lt;I47,I47/G47-1,G47/I47-1)</f>
        <v>4.1922290388548111E-2</v>
      </c>
      <c r="H52" s="449" t="str">
        <f>IF(OR(G52&gt;=0.2,G52&lt;=-0.2),"超过20%","")</f>
        <v/>
      </c>
      <c r="I52" s="448">
        <f>IF(I47&lt;E47,E47/I47-1,I47/E47-1)</f>
        <v>8.7994766110566003E-2</v>
      </c>
      <c r="J52" s="449" t="str">
        <f>IF(OR(I52&gt;=0.2,I52&lt;=-0.2),"超过20%","")</f>
        <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f>IF(E46&lt;G46,G46/E46-1,E46/G46-1)</f>
        <v>3.7272464605605293E-2</v>
      </c>
      <c r="F53" s="449" t="str">
        <f>IF(OR(E53&gt;=0.3,E53&lt;=-0.3),"超过30%","")</f>
        <v/>
      </c>
      <c r="G53" s="448">
        <f>IF(G46&lt;I46,I46/G46-1,G46/I46-1)</f>
        <v>1.6446402349486133E-2</v>
      </c>
      <c r="H53" s="449" t="str">
        <f>IF(OR(G53&gt;=0.3,G53&lt;=-0.3),"超过30%","")</f>
        <v/>
      </c>
      <c r="I53" s="448">
        <f>IF(I46&lt;E46,E46/I46-1,I46/E46-1)</f>
        <v>5.4331864904552107E-2</v>
      </c>
      <c r="J53" s="449" t="str">
        <f>IF(OR(I53&gt;=0.3,I53&lt;=-0.3),"超过30%","")</f>
        <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79" t="s">
        <v>1883</v>
      </c>
      <c r="D55" s="1980" t="s">
        <v>1884</v>
      </c>
      <c r="E55" s="634" t="s">
        <v>1885</v>
      </c>
      <c r="F55" s="887" t="s">
        <v>1886</v>
      </c>
      <c r="G55" s="3719" t="s">
        <v>1887</v>
      </c>
      <c r="H55" s="3741"/>
      <c r="I55" s="135" t="s">
        <v>1888</v>
      </c>
      <c r="J55" s="1981">
        <f>项目基本情况!F35</f>
        <v>0</v>
      </c>
      <c r="K55" s="1982"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f>C48</f>
        <v>3106</v>
      </c>
      <c r="C56" s="638">
        <v>1</v>
      </c>
      <c r="D56" s="941">
        <v>1</v>
      </c>
      <c r="E56" s="638">
        <f>'数据-汇总表'!E8+'数据-汇总表'!E9</f>
        <v>165925.58999999988</v>
      </c>
      <c r="F56" s="883">
        <f t="shared" ref="F56:F64" si="15">ROUND(B56*E56/10000,0)</f>
        <v>51536</v>
      </c>
      <c r="G56" s="3742"/>
      <c r="H56" s="3718"/>
      <c r="I56" s="888">
        <v>1</v>
      </c>
      <c r="J56" s="891">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1891</v>
      </c>
      <c r="B57" s="218">
        <f>ROUND($C$48*C57*D57,0)</f>
        <v>0</v>
      </c>
      <c r="C57" s="171">
        <f t="shared" ref="C57:C64" si="16">IF($C$55="北京市系数",I57,J57)</f>
        <v>0</v>
      </c>
      <c r="D57" s="942">
        <v>0.25</v>
      </c>
      <c r="E57" s="642"/>
      <c r="F57" s="883">
        <f t="shared" si="15"/>
        <v>0</v>
      </c>
      <c r="G57" s="3002" t="s">
        <v>1892</v>
      </c>
      <c r="H57" s="884">
        <f>项目基本情况!B37</f>
        <v>0</v>
      </c>
      <c r="I57" s="888">
        <f>SUMIF(修正!A57:A68,H57,修正!B57:B68)</f>
        <v>0</v>
      </c>
      <c r="J57" s="892"/>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1893</v>
      </c>
      <c r="B58" s="218">
        <f t="shared" ref="B58:B64" si="17">ROUND($C$48*C58*D58,0)</f>
        <v>0</v>
      </c>
      <c r="C58" s="171">
        <f t="shared" si="16"/>
        <v>0</v>
      </c>
      <c r="D58" s="942">
        <v>0.25</v>
      </c>
      <c r="E58" s="642"/>
      <c r="F58" s="883">
        <f t="shared" si="15"/>
        <v>0</v>
      </c>
      <c r="G58" s="3003"/>
      <c r="H58" s="884">
        <f>项目基本情况!B37</f>
        <v>0</v>
      </c>
      <c r="I58" s="888">
        <f>SUMIF(修正!A57:A68,H58,修正!C57:C68)</f>
        <v>0</v>
      </c>
      <c r="J58" s="892"/>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1894</v>
      </c>
      <c r="B59" s="218">
        <f t="shared" si="17"/>
        <v>0</v>
      </c>
      <c r="C59" s="171">
        <f t="shared" si="16"/>
        <v>0</v>
      </c>
      <c r="D59" s="942">
        <v>0.25</v>
      </c>
      <c r="E59" s="642"/>
      <c r="F59" s="883">
        <f t="shared" si="15"/>
        <v>0</v>
      </c>
      <c r="G59" s="3003"/>
      <c r="H59" s="884">
        <f>项目基本情况!B37</f>
        <v>0</v>
      </c>
      <c r="I59" s="888">
        <f>SUMIF(修正!A57:A68,H59,修正!D57:D68)</f>
        <v>0</v>
      </c>
      <c r="J59" s="892"/>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1895</v>
      </c>
      <c r="B60" s="218">
        <f t="shared" si="17"/>
        <v>0</v>
      </c>
      <c r="C60" s="171">
        <f t="shared" si="16"/>
        <v>0</v>
      </c>
      <c r="D60" s="942">
        <v>0.25</v>
      </c>
      <c r="E60" s="217">
        <f>'数据-汇总表'!E11</f>
        <v>0</v>
      </c>
      <c r="F60" s="883">
        <f t="shared" si="15"/>
        <v>0</v>
      </c>
      <c r="G60" s="1983" t="s">
        <v>1896</v>
      </c>
      <c r="H60" s="884">
        <f>项目基本情况!C37</f>
        <v>0</v>
      </c>
      <c r="I60" s="888">
        <f>SUMIF(修正!A57:A68,H60,修正!E57:E68)</f>
        <v>0</v>
      </c>
      <c r="J60" s="892"/>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1897</v>
      </c>
      <c r="B61" s="218">
        <f t="shared" si="17"/>
        <v>0</v>
      </c>
      <c r="C61" s="171">
        <f t="shared" si="16"/>
        <v>0</v>
      </c>
      <c r="D61" s="942">
        <v>0.25</v>
      </c>
      <c r="E61" s="217">
        <f>'数据-汇总表'!E12</f>
        <v>3014.34</v>
      </c>
      <c r="F61" s="883">
        <f t="shared" si="15"/>
        <v>0</v>
      </c>
      <c r="G61" s="889" t="s">
        <v>1898</v>
      </c>
      <c r="H61" s="884">
        <f>IF(G61="商业",项目基本情况!B37,IF(G61="办公",项目基本情况!C37,IF(G61="住宅",项目基本情况!D37,项目基本情况!E37)))</f>
        <v>0</v>
      </c>
      <c r="I61" s="888">
        <f>SUMIF(修正!A57:A68,H61,修正!F57:F68)</f>
        <v>0</v>
      </c>
      <c r="J61" s="892"/>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1899</v>
      </c>
      <c r="B62" s="218">
        <f t="shared" si="17"/>
        <v>0</v>
      </c>
      <c r="C62" s="171">
        <f t="shared" si="16"/>
        <v>0</v>
      </c>
      <c r="D62" s="942">
        <v>0.25</v>
      </c>
      <c r="E62" s="217">
        <f>'数据-汇总表'!E13</f>
        <v>0</v>
      </c>
      <c r="F62" s="883">
        <f t="shared" si="15"/>
        <v>0</v>
      </c>
      <c r="G62" s="889" t="s">
        <v>1900</v>
      </c>
      <c r="H62" s="884">
        <f>IF(G62="商业",项目基本情况!B37,IF(G62="办公",项目基本情况!C37,IF(G62="住宅",项目基本情况!D37,项目基本情况!E37)))</f>
        <v>0</v>
      </c>
      <c r="I62" s="888">
        <f>SUMIF(修正!A57:A68,H62,修正!G57:G68)</f>
        <v>0</v>
      </c>
      <c r="J62" s="892"/>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1901</v>
      </c>
      <c r="B63" s="218">
        <f t="shared" si="17"/>
        <v>0</v>
      </c>
      <c r="C63" s="171">
        <f t="shared" si="16"/>
        <v>0</v>
      </c>
      <c r="D63" s="942">
        <v>0.25</v>
      </c>
      <c r="E63" s="217">
        <f>'数据-汇总表'!E14</f>
        <v>0</v>
      </c>
      <c r="F63" s="883">
        <f t="shared" si="15"/>
        <v>0</v>
      </c>
      <c r="G63" s="1983" t="s">
        <v>1892</v>
      </c>
      <c r="H63" s="884">
        <f>项目基本情况!B37</f>
        <v>0</v>
      </c>
      <c r="I63" s="888">
        <f>SUMIF(修正!A57:A68,H63,修正!G57:G68)</f>
        <v>0</v>
      </c>
      <c r="J63" s="892"/>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1902</v>
      </c>
      <c r="B64" s="218">
        <f t="shared" si="17"/>
        <v>0</v>
      </c>
      <c r="C64" s="171">
        <f t="shared" si="16"/>
        <v>0</v>
      </c>
      <c r="D64" s="942">
        <v>0.25</v>
      </c>
      <c r="E64" s="217">
        <f>'数据-汇总表'!E15</f>
        <v>46034.520000000011</v>
      </c>
      <c r="F64" s="883">
        <f t="shared" si="15"/>
        <v>0</v>
      </c>
      <c r="G64" s="1984" t="s">
        <v>1896</v>
      </c>
      <c r="H64" s="894">
        <f>项目基本情况!C37</f>
        <v>0</v>
      </c>
      <c r="I64" s="890">
        <f>SUMIF(修正!A57:A68,H64,修正!G57:G68)</f>
        <v>0</v>
      </c>
      <c r="J64" s="893"/>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1903</v>
      </c>
      <c r="B65" s="644" t="s">
        <v>22</v>
      </c>
      <c r="C65" s="644" t="s">
        <v>23</v>
      </c>
      <c r="D65" s="644" t="s">
        <v>392</v>
      </c>
      <c r="E65" s="644">
        <f>IF(B46="楼面地价",SUM(E56:E64),'数据-汇总表'!D3)</f>
        <v>214974.4499999999</v>
      </c>
      <c r="F65" s="645">
        <f>IF(B46="楼面地价",SUM(F56:F64),ROUND(C48*E65/10000,0))</f>
        <v>51536</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4"/>
      <c r="K66" s="885"/>
      <c r="L66" s="886"/>
      <c r="M66" s="924"/>
      <c r="N66" s="924"/>
      <c r="O66" s="924"/>
      <c r="P66" s="2721"/>
      <c r="Q66" s="2721"/>
      <c r="R66" s="2721"/>
      <c r="S66" s="2721"/>
      <c r="T66" s="2721"/>
      <c r="U66" s="2721"/>
      <c r="V66" s="2721"/>
      <c r="W66" s="2721"/>
      <c r="X66" s="2721"/>
      <c r="Y66" s="2721"/>
      <c r="Z66" s="2721"/>
      <c r="AA66" s="2721"/>
      <c r="AB66" s="2721"/>
      <c r="AC66" s="2721"/>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1"/>
      <c r="Q67" s="2721"/>
      <c r="R67" s="2721"/>
      <c r="S67" s="2721"/>
      <c r="T67" s="2721"/>
      <c r="U67" s="2721"/>
      <c r="V67" s="2721"/>
      <c r="W67" s="2721"/>
      <c r="X67" s="2721"/>
      <c r="Y67" s="2721"/>
      <c r="Z67" s="2721"/>
      <c r="AA67" s="2721"/>
      <c r="AB67" s="2721"/>
      <c r="AC67" s="2721"/>
    </row>
    <row r="68" spans="1:29" ht="21.75" thickBot="1">
      <c r="A68" s="694" t="s">
        <v>1798</v>
      </c>
      <c r="B68" s="690"/>
      <c r="C68" s="695"/>
      <c r="D68" s="695"/>
      <c r="E68" s="695"/>
      <c r="F68" s="696"/>
      <c r="G68" s="696"/>
      <c r="H68" s="695"/>
      <c r="I68" s="695"/>
      <c r="J68" s="937"/>
      <c r="K68" s="938"/>
      <c r="L68" s="939"/>
      <c r="M68" s="937"/>
      <c r="N68" s="2765"/>
      <c r="O68" s="2765"/>
      <c r="P68" s="2765"/>
      <c r="Q68" s="2735"/>
      <c r="R68" s="2721"/>
      <c r="S68" s="2721"/>
      <c r="T68" s="2721"/>
      <c r="U68" s="2721"/>
      <c r="V68" s="2721"/>
      <c r="W68" s="2721"/>
      <c r="X68" s="2721"/>
      <c r="Y68" s="2721"/>
      <c r="Z68" s="2721"/>
      <c r="AA68" s="2721"/>
      <c r="AB68" s="2721"/>
      <c r="AC68" s="2721"/>
    </row>
    <row r="69" spans="1:29" s="457" customFormat="1" ht="15">
      <c r="A69" s="1985" t="s">
        <v>1904</v>
      </c>
      <c r="B69" s="1106"/>
      <c r="C69" s="1178" t="str">
        <f>YEAR(C67)&amp;"-"&amp;ROUNDUP(MONTH(C67)/3,0)</f>
        <v>2023-1</v>
      </c>
      <c r="D69" s="1178" t="str">
        <f>YEAR(D67)&amp;"-"&amp;ROUNDUP(MONTH(D67)/3,0)</f>
        <v>2022-4</v>
      </c>
      <c r="E69" s="1178" t="str">
        <f t="shared" ref="E69:O69" si="19">YEAR(E67)&amp;"-"&amp;ROUNDUP(MONTH(E67)/3,0)</f>
        <v>2022-3</v>
      </c>
      <c r="F69" s="1178" t="str">
        <f t="shared" si="19"/>
        <v>2022-2</v>
      </c>
      <c r="G69" s="1178" t="str">
        <f t="shared" si="19"/>
        <v>2022-1</v>
      </c>
      <c r="H69" s="1178" t="str">
        <f t="shared" si="19"/>
        <v>2021-4</v>
      </c>
      <c r="I69" s="1178" t="str">
        <f t="shared" si="19"/>
        <v>2021-3</v>
      </c>
      <c r="J69" s="1178" t="str">
        <f t="shared" si="19"/>
        <v>2021-2</v>
      </c>
      <c r="K69" s="1178" t="str">
        <f t="shared" si="19"/>
        <v>2021-1</v>
      </c>
      <c r="L69" s="1178" t="str">
        <f t="shared" si="19"/>
        <v>2020-4</v>
      </c>
      <c r="M69" s="1178" t="str">
        <f t="shared" si="19"/>
        <v>2020-3</v>
      </c>
      <c r="N69" s="1178" t="str">
        <f t="shared" si="19"/>
        <v>2020-2</v>
      </c>
      <c r="O69" s="1178" t="str">
        <f t="shared" si="19"/>
        <v>2020-1</v>
      </c>
      <c r="P69" s="2772"/>
      <c r="Q69" s="2737"/>
      <c r="R69" s="2737"/>
      <c r="S69" s="2737"/>
      <c r="T69" s="2737"/>
      <c r="U69" s="2737"/>
      <c r="V69" s="2737"/>
      <c r="W69" s="2737"/>
      <c r="X69" s="2737"/>
      <c r="Y69" s="2737"/>
      <c r="Z69" s="2737"/>
      <c r="AA69" s="2737"/>
      <c r="AB69" s="2737"/>
      <c r="AC69" s="2737"/>
    </row>
    <row r="70" spans="1:29" s="108" customFormat="1" ht="30" customHeight="1">
      <c r="A70" s="1986" t="s">
        <v>1905</v>
      </c>
      <c r="B70" s="288" t="str">
        <f>"北京市平均增长率"&amp;TEXT(SUMIF(基准地价修正!N25:N29,A70,基准地价修正!P25:P29),"0.00%")</f>
        <v>北京市平均增长率0.00%</v>
      </c>
      <c r="C70" s="552">
        <v>100</v>
      </c>
      <c r="D70" s="544">
        <v>99.5</v>
      </c>
      <c r="E70" s="544">
        <v>99</v>
      </c>
      <c r="F70" s="544">
        <v>98.5</v>
      </c>
      <c r="G70" s="544">
        <v>98</v>
      </c>
      <c r="H70" s="544">
        <v>97.5</v>
      </c>
      <c r="I70" s="544">
        <v>97</v>
      </c>
      <c r="J70" s="544">
        <v>96.5</v>
      </c>
      <c r="K70" s="544">
        <v>96</v>
      </c>
      <c r="L70" s="544">
        <v>95.5</v>
      </c>
      <c r="M70" s="544">
        <v>95</v>
      </c>
      <c r="N70" s="544">
        <v>94.5</v>
      </c>
      <c r="O70" s="544">
        <v>94</v>
      </c>
      <c r="P70" s="2735"/>
      <c r="Q70" s="2657"/>
      <c r="R70" s="2657"/>
      <c r="S70" s="2657"/>
      <c r="T70" s="2657"/>
      <c r="U70" s="2657"/>
      <c r="V70" s="2657"/>
      <c r="W70" s="2657"/>
      <c r="X70" s="2657"/>
      <c r="Y70" s="2657"/>
      <c r="Z70" s="2657"/>
      <c r="AA70" s="2657"/>
      <c r="AB70" s="2657"/>
      <c r="AC70" s="2657"/>
    </row>
    <row r="71" spans="1:29" s="108" customFormat="1" ht="15.75" thickBot="1">
      <c r="A71" s="464" t="s">
        <v>1716</v>
      </c>
      <c r="B71" s="465"/>
      <c r="C71" s="466"/>
      <c r="D71" s="467"/>
      <c r="E71" s="467"/>
      <c r="F71" s="467"/>
      <c r="G71" s="467"/>
      <c r="H71" s="467"/>
      <c r="I71" s="467"/>
      <c r="J71" s="467"/>
      <c r="K71" s="467"/>
      <c r="L71" s="467"/>
      <c r="M71" s="468"/>
      <c r="N71" s="467"/>
      <c r="O71" s="940"/>
      <c r="P71" s="2735"/>
      <c r="Q71" s="2735"/>
      <c r="R71" s="2657"/>
      <c r="S71" s="2657"/>
      <c r="T71" s="2657"/>
      <c r="U71" s="2657"/>
      <c r="V71" s="2657"/>
      <c r="W71" s="2657"/>
      <c r="X71" s="2657"/>
      <c r="Y71" s="2657"/>
      <c r="Z71" s="2657"/>
      <c r="AA71" s="2657"/>
      <c r="AB71" s="2657"/>
      <c r="AC71" s="2657"/>
    </row>
    <row r="72" spans="1:29" s="108" customFormat="1" ht="15">
      <c r="A72" s="470" t="s">
        <v>1681</v>
      </c>
      <c r="B72" s="459"/>
      <c r="C72" s="471" t="s">
        <v>1776</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1719</v>
      </c>
      <c r="B74" s="477" t="s">
        <v>1685</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1689</v>
      </c>
      <c r="C78" s="496" t="str">
        <f>C79&amp;"（含）"&amp;"-"&amp;D79</f>
        <v>0（含）-2</v>
      </c>
      <c r="D78" s="496" t="str">
        <f t="shared" ref="D78:L78" si="20">D79&amp;"（含）"&amp;"-"&amp;E79</f>
        <v>2（含）-4</v>
      </c>
      <c r="E78" s="496" t="str">
        <f t="shared" si="20"/>
        <v>4（含）-6</v>
      </c>
      <c r="F78" s="496" t="str">
        <f t="shared" si="20"/>
        <v>6（含）-8</v>
      </c>
      <c r="G78" s="496" t="str">
        <f t="shared" si="20"/>
        <v>8（含）-10</v>
      </c>
      <c r="H78" s="496" t="str">
        <f t="shared" si="20"/>
        <v>10（含）-12</v>
      </c>
      <c r="I78" s="496" t="str">
        <f t="shared" si="20"/>
        <v>12（含）-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v>0</v>
      </c>
      <c r="D79" s="498">
        <v>2</v>
      </c>
      <c r="E79" s="498">
        <v>4</v>
      </c>
      <c r="F79" s="498">
        <v>6</v>
      </c>
      <c r="G79" s="498">
        <v>8</v>
      </c>
      <c r="H79" s="498">
        <v>10</v>
      </c>
      <c r="I79" s="498">
        <v>12</v>
      </c>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98</v>
      </c>
      <c r="E80" s="493">
        <f t="shared" si="21"/>
        <v>96</v>
      </c>
      <c r="F80" s="493">
        <f t="shared" si="21"/>
        <v>94</v>
      </c>
      <c r="G80" s="493">
        <f t="shared" si="21"/>
        <v>92</v>
      </c>
      <c r="H80" s="493">
        <f t="shared" si="21"/>
        <v>90</v>
      </c>
      <c r="I80" s="493">
        <f t="shared" si="21"/>
        <v>88</v>
      </c>
      <c r="J80" s="493">
        <f t="shared" si="21"/>
        <v>86</v>
      </c>
      <c r="K80" s="493">
        <f t="shared" si="21"/>
        <v>84</v>
      </c>
      <c r="L80" s="493">
        <f t="shared" si="21"/>
        <v>82</v>
      </c>
      <c r="M80" s="493">
        <f t="shared" si="21"/>
        <v>80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1906</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98</v>
      </c>
      <c r="E90" s="493">
        <f>D90-$K17</f>
        <v>96</v>
      </c>
      <c r="F90" s="493">
        <f>E90-$K17</f>
        <v>94</v>
      </c>
      <c r="G90" s="493">
        <f>F90-$K17</f>
        <v>92</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98</v>
      </c>
      <c r="E92" s="493">
        <f>D92-$K19</f>
        <v>96</v>
      </c>
      <c r="F92" s="493">
        <f>E92-$K19</f>
        <v>94</v>
      </c>
      <c r="G92" s="493">
        <f>F92-$K19</f>
        <v>92</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98</v>
      </c>
      <c r="E94" s="493">
        <f>D94-$K21</f>
        <v>96</v>
      </c>
      <c r="F94" s="493">
        <f>E94-$K21</f>
        <v>94</v>
      </c>
      <c r="G94" s="493">
        <f>F94-$K21</f>
        <v>92</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98</v>
      </c>
      <c r="E98" s="493">
        <f>D98-$K25</f>
        <v>96</v>
      </c>
      <c r="F98" s="493">
        <f>E98-$K25</f>
        <v>94</v>
      </c>
      <c r="G98" s="493">
        <f>F98-$K25</f>
        <v>92</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98</v>
      </c>
      <c r="E100" s="493">
        <f>D100-$K27</f>
        <v>96</v>
      </c>
      <c r="F100" s="493">
        <f>E100-$K27</f>
        <v>94</v>
      </c>
      <c r="G100" s="493">
        <f>F100-$K27</f>
        <v>92</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29"/>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98</v>
      </c>
      <c r="E102" s="493">
        <f>D102-$K29</f>
        <v>96</v>
      </c>
      <c r="F102" s="493">
        <f>E102-$K29</f>
        <v>94</v>
      </c>
      <c r="G102" s="493">
        <f>F102-$K29</f>
        <v>92</v>
      </c>
      <c r="H102" s="497"/>
      <c r="I102" s="497"/>
      <c r="J102" s="497"/>
      <c r="K102" s="497"/>
      <c r="L102" s="497"/>
      <c r="M102" s="1129"/>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98</v>
      </c>
      <c r="E104" s="493">
        <f t="shared" si="22"/>
        <v>96</v>
      </c>
      <c r="F104" s="493">
        <f t="shared" si="22"/>
        <v>94</v>
      </c>
      <c r="G104" s="493">
        <f t="shared" si="22"/>
        <v>92</v>
      </c>
      <c r="H104" s="493">
        <f t="shared" si="22"/>
        <v>90</v>
      </c>
      <c r="I104" s="493">
        <f t="shared" si="22"/>
        <v>88</v>
      </c>
      <c r="J104" s="493">
        <f t="shared" si="22"/>
        <v>86</v>
      </c>
      <c r="K104" s="493">
        <f t="shared" si="22"/>
        <v>84</v>
      </c>
      <c r="L104" s="493">
        <f t="shared" si="22"/>
        <v>82</v>
      </c>
      <c r="M104" s="493">
        <f t="shared" si="22"/>
        <v>80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98</v>
      </c>
      <c r="E106" s="493">
        <f t="shared" si="23"/>
        <v>96</v>
      </c>
      <c r="F106" s="493">
        <f t="shared" si="23"/>
        <v>94</v>
      </c>
      <c r="G106" s="493">
        <f t="shared" si="23"/>
        <v>92</v>
      </c>
      <c r="H106" s="493">
        <f t="shared" si="23"/>
        <v>90</v>
      </c>
      <c r="I106" s="493">
        <f t="shared" si="23"/>
        <v>88</v>
      </c>
      <c r="J106" s="493">
        <f t="shared" si="23"/>
        <v>86</v>
      </c>
      <c r="K106" s="493">
        <f t="shared" si="23"/>
        <v>84</v>
      </c>
      <c r="L106" s="493">
        <f t="shared" si="23"/>
        <v>82</v>
      </c>
      <c r="M106" s="493">
        <f t="shared" si="23"/>
        <v>80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1873</v>
      </c>
      <c r="C107" s="3495" t="s">
        <v>3929</v>
      </c>
      <c r="D107" s="3495" t="s">
        <v>3930</v>
      </c>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98</v>
      </c>
      <c r="E108" s="493">
        <f t="shared" si="24"/>
        <v>96</v>
      </c>
      <c r="F108" s="493">
        <f t="shared" si="24"/>
        <v>94</v>
      </c>
      <c r="G108" s="493">
        <f t="shared" si="24"/>
        <v>92</v>
      </c>
      <c r="H108" s="493">
        <f t="shared" si="24"/>
        <v>90</v>
      </c>
      <c r="I108" s="493">
        <f t="shared" si="24"/>
        <v>88</v>
      </c>
      <c r="J108" s="493">
        <f t="shared" si="24"/>
        <v>86</v>
      </c>
      <c r="K108" s="493">
        <f t="shared" si="24"/>
        <v>84</v>
      </c>
      <c r="L108" s="493">
        <f t="shared" si="24"/>
        <v>82</v>
      </c>
      <c r="M108" s="493">
        <f t="shared" si="24"/>
        <v>80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ht="28.5">
      <c r="A115" s="476" t="s">
        <v>1694</v>
      </c>
      <c r="B115" s="477" t="s">
        <v>1913</v>
      </c>
      <c r="C115" s="478" t="str">
        <f>C116&amp;"(含)"&amp;"-"&amp;D116</f>
        <v>0(含)-10000</v>
      </c>
      <c r="D115" s="478" t="str">
        <f t="shared" ref="D115:M115" si="25">D116&amp;"(含)"&amp;"-"&amp;E116</f>
        <v>10000(含)-20000</v>
      </c>
      <c r="E115" s="478" t="str">
        <f t="shared" si="25"/>
        <v>20000(含)-30000</v>
      </c>
      <c r="F115" s="478" t="str">
        <f t="shared" si="25"/>
        <v>30000(含)-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v>0</v>
      </c>
      <c r="D116" s="544">
        <v>10000</v>
      </c>
      <c r="E116" s="544">
        <v>20000</v>
      </c>
      <c r="F116" s="544">
        <v>30000</v>
      </c>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v>100</v>
      </c>
      <c r="D117" s="540">
        <v>101</v>
      </c>
      <c r="E117" s="540">
        <v>102</v>
      </c>
      <c r="F117" s="540">
        <v>103</v>
      </c>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1914</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98</v>
      </c>
      <c r="E119" s="493">
        <f t="shared" si="26"/>
        <v>96</v>
      </c>
      <c r="F119" s="493">
        <f t="shared" si="26"/>
        <v>94</v>
      </c>
      <c r="G119" s="493">
        <f t="shared" si="26"/>
        <v>92</v>
      </c>
      <c r="H119" s="493">
        <f t="shared" si="26"/>
        <v>90</v>
      </c>
      <c r="I119" s="493">
        <f t="shared" si="26"/>
        <v>88</v>
      </c>
      <c r="J119" s="493">
        <f t="shared" si="26"/>
        <v>86</v>
      </c>
      <c r="K119" s="493">
        <f t="shared" si="26"/>
        <v>84</v>
      </c>
      <c r="L119" s="493">
        <f t="shared" si="26"/>
        <v>82</v>
      </c>
      <c r="M119" s="494">
        <f t="shared" si="26"/>
        <v>80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1915</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98</v>
      </c>
      <c r="E121" s="493">
        <f t="shared" si="27"/>
        <v>96</v>
      </c>
      <c r="F121" s="493">
        <f t="shared" si="27"/>
        <v>94</v>
      </c>
      <c r="G121" s="493">
        <f t="shared" si="27"/>
        <v>92</v>
      </c>
      <c r="H121" s="493">
        <f t="shared" si="27"/>
        <v>90</v>
      </c>
      <c r="I121" s="493">
        <f t="shared" si="27"/>
        <v>88</v>
      </c>
      <c r="J121" s="493">
        <f t="shared" si="27"/>
        <v>86</v>
      </c>
      <c r="K121" s="493">
        <f t="shared" si="27"/>
        <v>84</v>
      </c>
      <c r="L121" s="493">
        <f t="shared" si="27"/>
        <v>82</v>
      </c>
      <c r="M121" s="494">
        <f t="shared" si="27"/>
        <v>80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1916</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98</v>
      </c>
      <c r="E123" s="493">
        <f t="shared" si="28"/>
        <v>96</v>
      </c>
      <c r="F123" s="493">
        <f t="shared" si="28"/>
        <v>94</v>
      </c>
      <c r="G123" s="493">
        <f t="shared" si="28"/>
        <v>92</v>
      </c>
      <c r="H123" s="493">
        <f t="shared" si="28"/>
        <v>90</v>
      </c>
      <c r="I123" s="493">
        <f t="shared" si="28"/>
        <v>88</v>
      </c>
      <c r="J123" s="493">
        <f t="shared" si="28"/>
        <v>86</v>
      </c>
      <c r="K123" s="493">
        <f t="shared" si="28"/>
        <v>84</v>
      </c>
      <c r="L123" s="493">
        <f t="shared" si="28"/>
        <v>82</v>
      </c>
      <c r="M123" s="494">
        <f t="shared" si="28"/>
        <v>80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1917</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98</v>
      </c>
      <c r="E125" s="493">
        <f t="shared" si="29"/>
        <v>96</v>
      </c>
      <c r="F125" s="493">
        <f t="shared" si="29"/>
        <v>94</v>
      </c>
      <c r="G125" s="493">
        <f t="shared" si="29"/>
        <v>92</v>
      </c>
      <c r="H125" s="493">
        <f t="shared" si="29"/>
        <v>90</v>
      </c>
      <c r="I125" s="493">
        <f t="shared" si="29"/>
        <v>88</v>
      </c>
      <c r="J125" s="493">
        <f t="shared" si="29"/>
        <v>86</v>
      </c>
      <c r="K125" s="493">
        <f t="shared" si="29"/>
        <v>84</v>
      </c>
      <c r="L125" s="493">
        <f t="shared" si="29"/>
        <v>82</v>
      </c>
      <c r="M125" s="494">
        <f t="shared" si="29"/>
        <v>80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66" priority="18" stopIfTrue="1" operator="containsText" text="超过">
      <formula>NOT(ISERROR(SEARCH("超过",F51)))</formula>
    </cfRule>
  </conditionalFormatting>
  <conditionalFormatting sqref="J53">
    <cfRule type="containsText" dxfId="165" priority="17" stopIfTrue="1" operator="containsText" text="超过">
      <formula>NOT(ISERROR(SEARCH("超过",J53)))</formula>
    </cfRule>
  </conditionalFormatting>
  <conditionalFormatting sqref="H53">
    <cfRule type="containsText" dxfId="164" priority="16" stopIfTrue="1" operator="containsText" text="超过">
      <formula>NOT(ISERROR(SEARCH("超过",H53)))</formula>
    </cfRule>
  </conditionalFormatting>
  <conditionalFormatting sqref="F53">
    <cfRule type="containsText" dxfId="163" priority="15" stopIfTrue="1" operator="containsText" text="超过">
      <formula>NOT(ISERROR(SEARCH("超过",F53)))</formula>
    </cfRule>
  </conditionalFormatting>
  <conditionalFormatting sqref="F52 H52 J52">
    <cfRule type="containsText" dxfId="162" priority="14" stopIfTrue="1" operator="containsText" text="超过">
      <formula>NOT(ISERROR(SEARCH("超过",F52)))</formula>
    </cfRule>
  </conditionalFormatting>
  <conditionalFormatting sqref="E51">
    <cfRule type="expression" dxfId="161" priority="13" stopIfTrue="1">
      <formula>$F$51="超过30%"</formula>
    </cfRule>
  </conditionalFormatting>
  <conditionalFormatting sqref="G53">
    <cfRule type="expression" dxfId="160" priority="12" stopIfTrue="1">
      <formula>$H$53="超过30%"</formula>
    </cfRule>
  </conditionalFormatting>
  <conditionalFormatting sqref="E52">
    <cfRule type="expression" dxfId="159" priority="11" stopIfTrue="1">
      <formula>$F$52="超过20%"</formula>
    </cfRule>
  </conditionalFormatting>
  <conditionalFormatting sqref="E53">
    <cfRule type="expression" dxfId="158" priority="10" stopIfTrue="1">
      <formula>$F$53="超过30%"</formula>
    </cfRule>
  </conditionalFormatting>
  <conditionalFormatting sqref="G51">
    <cfRule type="expression" dxfId="157" priority="9" stopIfTrue="1">
      <formula>$H$53+$H$51="超过30%"</formula>
    </cfRule>
  </conditionalFormatting>
  <conditionalFormatting sqref="G52">
    <cfRule type="expression" dxfId="156" priority="8" stopIfTrue="1">
      <formula>$H$52="超过20%"</formula>
    </cfRule>
  </conditionalFormatting>
  <conditionalFormatting sqref="I51">
    <cfRule type="expression" dxfId="155" priority="7" stopIfTrue="1">
      <formula>$J$51="超过30%"</formula>
    </cfRule>
  </conditionalFormatting>
  <conditionalFormatting sqref="I52">
    <cfRule type="expression" dxfId="154" priority="6" stopIfTrue="1">
      <formula>$J$52="超过20%"</formula>
    </cfRule>
  </conditionalFormatting>
  <conditionalFormatting sqref="I53">
    <cfRule type="expression" dxfId="153" priority="5" stopIfTrue="1">
      <formula>$J$53="超过30%"</formula>
    </cfRule>
  </conditionalFormatting>
  <conditionalFormatting sqref="F47">
    <cfRule type="expression" dxfId="152" priority="4">
      <formula>$D$47="简单平均"</formula>
    </cfRule>
  </conditionalFormatting>
  <conditionalFormatting sqref="H47">
    <cfRule type="expression" dxfId="151" priority="3">
      <formula>$D$47="简单平均"</formula>
    </cfRule>
  </conditionalFormatting>
  <conditionalFormatting sqref="J47">
    <cfRule type="expression" dxfId="150" priority="2">
      <formula>$D$47="简单平均"</formula>
    </cfRule>
  </conditionalFormatting>
  <conditionalFormatting sqref="F7:F45 H7:H45 J7:J45">
    <cfRule type="cellIs" dxfId="14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0"/>
  <sheetViews>
    <sheetView topLeftCell="A31" workbookViewId="0">
      <selection activeCell="L56" sqref="L56"/>
    </sheetView>
  </sheetViews>
  <sheetFormatPr defaultRowHeight="13.5"/>
  <cols>
    <col min="1" max="1" width="23" customWidth="1"/>
    <col min="8" max="8" width="13.75" customWidth="1"/>
    <col min="9" max="9" width="25.625" customWidth="1"/>
  </cols>
  <sheetData>
    <row r="1" spans="1:13">
      <c r="A1" s="3481" t="s">
        <v>3808</v>
      </c>
      <c r="B1" s="3481" t="s">
        <v>3809</v>
      </c>
      <c r="C1" s="3481" t="s">
        <v>3810</v>
      </c>
      <c r="D1" s="3481" t="s">
        <v>3811</v>
      </c>
      <c r="E1" s="3481" t="s">
        <v>3812</v>
      </c>
      <c r="F1" s="3481" t="s">
        <v>3813</v>
      </c>
      <c r="G1" s="3481" t="s">
        <v>3814</v>
      </c>
      <c r="H1" s="3481" t="s">
        <v>3815</v>
      </c>
      <c r="I1" s="3481" t="s">
        <v>3816</v>
      </c>
      <c r="J1" s="3481" t="s">
        <v>3817</v>
      </c>
      <c r="K1" s="3481" t="s">
        <v>3818</v>
      </c>
      <c r="L1" s="3481" t="s">
        <v>3819</v>
      </c>
      <c r="M1" s="3481" t="s">
        <v>3820</v>
      </c>
    </row>
    <row r="2" spans="1:13" s="3483" customFormat="1">
      <c r="A2" s="3482" t="s">
        <v>3992</v>
      </c>
      <c r="B2" s="3482" t="s">
        <v>3821</v>
      </c>
      <c r="C2" s="3482" t="s">
        <v>3822</v>
      </c>
      <c r="D2" s="3482">
        <v>5681.8</v>
      </c>
      <c r="E2" s="3482">
        <v>14204.5</v>
      </c>
      <c r="F2" s="3482" t="s">
        <v>3823</v>
      </c>
      <c r="G2" s="3482" t="s">
        <v>3824</v>
      </c>
      <c r="H2" s="3482" t="s">
        <v>3825</v>
      </c>
      <c r="I2" s="3482" t="s">
        <v>3826</v>
      </c>
      <c r="J2" s="3482">
        <v>5100</v>
      </c>
      <c r="K2" s="3482">
        <v>5100</v>
      </c>
      <c r="L2" s="3482">
        <v>3590.41</v>
      </c>
      <c r="M2" s="3482">
        <v>0</v>
      </c>
    </row>
    <row r="3" spans="1:13">
      <c r="A3" s="3481" t="s">
        <v>3827</v>
      </c>
      <c r="B3" s="3481" t="s">
        <v>3821</v>
      </c>
      <c r="C3" s="3481" t="s">
        <v>3822</v>
      </c>
      <c r="D3" s="3481">
        <v>13430.8</v>
      </c>
      <c r="E3" s="3481">
        <v>60300</v>
      </c>
      <c r="F3" s="3481" t="s">
        <v>3828</v>
      </c>
      <c r="G3" s="3481" t="s">
        <v>3824</v>
      </c>
      <c r="H3" s="3481" t="s">
        <v>3829</v>
      </c>
      <c r="I3" s="3481" t="s">
        <v>3830</v>
      </c>
      <c r="J3" s="3481">
        <v>13742</v>
      </c>
      <c r="K3" s="3481">
        <v>13742</v>
      </c>
      <c r="L3" s="3481">
        <v>2278.94</v>
      </c>
      <c r="M3" s="3481">
        <v>0</v>
      </c>
    </row>
    <row r="4" spans="1:13">
      <c r="A4" s="3481" t="s">
        <v>3831</v>
      </c>
      <c r="B4" s="3481" t="s">
        <v>3821</v>
      </c>
      <c r="C4" s="3481" t="s">
        <v>3822</v>
      </c>
      <c r="D4" s="3481">
        <v>21357.360000000001</v>
      </c>
      <c r="E4" s="3481">
        <v>85429</v>
      </c>
      <c r="F4" s="3481" t="s">
        <v>3832</v>
      </c>
      <c r="G4" s="3481" t="s">
        <v>3824</v>
      </c>
      <c r="H4" s="3481" t="s">
        <v>3833</v>
      </c>
      <c r="I4" s="3481" t="s">
        <v>3834</v>
      </c>
      <c r="J4" s="3481">
        <v>32010</v>
      </c>
      <c r="K4" s="3481">
        <v>32010</v>
      </c>
      <c r="L4" s="3481">
        <v>3746.97</v>
      </c>
      <c r="M4" s="3481">
        <v>0</v>
      </c>
    </row>
    <row r="5" spans="1:13">
      <c r="A5" s="3481" t="s">
        <v>3835</v>
      </c>
      <c r="B5" s="3481" t="s">
        <v>3821</v>
      </c>
      <c r="C5" s="3481" t="s">
        <v>3822</v>
      </c>
      <c r="D5" s="3481">
        <v>20450.13</v>
      </c>
      <c r="E5" s="3481">
        <v>0</v>
      </c>
      <c r="F5" s="3481" t="s">
        <v>3836</v>
      </c>
      <c r="G5" s="3481" t="s">
        <v>3824</v>
      </c>
      <c r="H5" s="3481" t="s">
        <v>3837</v>
      </c>
      <c r="I5" s="3481" t="s">
        <v>3838</v>
      </c>
      <c r="J5" s="3481">
        <v>3700</v>
      </c>
      <c r="K5" s="3481">
        <v>3700</v>
      </c>
      <c r="L5" s="3481">
        <v>0</v>
      </c>
      <c r="M5" s="3481">
        <v>0</v>
      </c>
    </row>
    <row r="6" spans="1:13" s="3483" customFormat="1">
      <c r="A6" s="3508" t="s">
        <v>3993</v>
      </c>
      <c r="B6" s="3482" t="s">
        <v>3821</v>
      </c>
      <c r="C6" s="3482" t="s">
        <v>3822</v>
      </c>
      <c r="D6" s="3482">
        <v>12235.9</v>
      </c>
      <c r="E6" s="3482">
        <v>85651.3</v>
      </c>
      <c r="F6" s="3482" t="s">
        <v>3839</v>
      </c>
      <c r="G6" s="3482" t="s">
        <v>3824</v>
      </c>
      <c r="H6" s="3482" t="s">
        <v>3840</v>
      </c>
      <c r="I6" s="3482" t="s">
        <v>3841</v>
      </c>
      <c r="J6" s="3482">
        <v>29640</v>
      </c>
      <c r="K6" s="3482">
        <v>29640</v>
      </c>
      <c r="L6" s="3482">
        <v>3460.54</v>
      </c>
      <c r="M6" s="3482">
        <v>0</v>
      </c>
    </row>
    <row r="7" spans="1:13" s="3486" customFormat="1">
      <c r="A7" s="3485" t="s">
        <v>3842</v>
      </c>
      <c r="B7" s="3485" t="s">
        <v>3821</v>
      </c>
      <c r="C7" s="3485" t="s">
        <v>3822</v>
      </c>
      <c r="D7" s="3485">
        <v>21209</v>
      </c>
      <c r="E7" s="3485">
        <v>116655</v>
      </c>
      <c r="F7" s="3485" t="s">
        <v>3843</v>
      </c>
      <c r="G7" s="3485" t="s">
        <v>3824</v>
      </c>
      <c r="H7" s="3485" t="s">
        <v>3844</v>
      </c>
      <c r="I7" s="3485" t="s">
        <v>3845</v>
      </c>
      <c r="J7" s="3485">
        <v>28790</v>
      </c>
      <c r="K7" s="3485">
        <v>28790</v>
      </c>
      <c r="L7" s="3485">
        <v>2467.96</v>
      </c>
      <c r="M7" s="3485">
        <v>0</v>
      </c>
    </row>
    <row r="8" spans="1:13">
      <c r="A8" s="3481" t="s">
        <v>3846</v>
      </c>
      <c r="B8" s="3481" t="s">
        <v>3821</v>
      </c>
      <c r="C8" s="3481" t="s">
        <v>3822</v>
      </c>
      <c r="D8" s="3481">
        <v>89995.6</v>
      </c>
      <c r="E8" s="3481">
        <v>0</v>
      </c>
      <c r="F8" s="3481" t="s">
        <v>3847</v>
      </c>
      <c r="G8" s="3481" t="s">
        <v>3824</v>
      </c>
      <c r="H8" s="3481" t="s">
        <v>3848</v>
      </c>
      <c r="I8" s="3481" t="s">
        <v>3849</v>
      </c>
      <c r="J8" s="3481">
        <v>18620</v>
      </c>
      <c r="K8" s="3481">
        <v>18620</v>
      </c>
      <c r="L8" s="3481">
        <v>0</v>
      </c>
      <c r="M8" s="3481">
        <v>0</v>
      </c>
    </row>
    <row r="9" spans="1:13">
      <c r="A9" s="3481" t="s">
        <v>3850</v>
      </c>
      <c r="B9" s="3481" t="s">
        <v>3821</v>
      </c>
      <c r="C9" s="3481" t="s">
        <v>3822</v>
      </c>
      <c r="D9" s="3481">
        <v>3060.7</v>
      </c>
      <c r="E9" s="3481">
        <v>9180</v>
      </c>
      <c r="F9" s="3481" t="s">
        <v>3851</v>
      </c>
      <c r="G9" s="3481" t="s">
        <v>3824</v>
      </c>
      <c r="H9" s="3481" t="s">
        <v>3852</v>
      </c>
      <c r="I9" s="3481" t="s">
        <v>3853</v>
      </c>
      <c r="J9" s="3481">
        <v>2807</v>
      </c>
      <c r="K9" s="3481">
        <v>3907</v>
      </c>
      <c r="L9" s="3481">
        <v>4255.99</v>
      </c>
      <c r="M9" s="3481">
        <v>39.19</v>
      </c>
    </row>
    <row r="10" spans="1:13">
      <c r="A10" s="3481" t="s">
        <v>3854</v>
      </c>
      <c r="B10" s="3481" t="s">
        <v>3821</v>
      </c>
      <c r="C10" s="3481" t="s">
        <v>3822</v>
      </c>
      <c r="D10" s="3481">
        <v>25809.03</v>
      </c>
      <c r="E10" s="3481">
        <v>154854</v>
      </c>
      <c r="F10" s="3481" t="s">
        <v>3855</v>
      </c>
      <c r="G10" s="3481" t="s">
        <v>3824</v>
      </c>
      <c r="H10" s="3481" t="s">
        <v>3856</v>
      </c>
      <c r="I10" s="3481" t="s">
        <v>3857</v>
      </c>
      <c r="J10" s="3481">
        <v>69100</v>
      </c>
      <c r="K10" s="3481">
        <v>69100</v>
      </c>
      <c r="L10" s="3481">
        <v>4462.2700000000004</v>
      </c>
      <c r="M10" s="3481">
        <v>0</v>
      </c>
    </row>
    <row r="11" spans="1:13">
      <c r="A11" s="3481" t="s">
        <v>3858</v>
      </c>
      <c r="B11" s="3481" t="s">
        <v>3821</v>
      </c>
      <c r="C11" s="3481" t="s">
        <v>3822</v>
      </c>
      <c r="D11" s="3481">
        <v>64194.5</v>
      </c>
      <c r="E11" s="3481">
        <v>128400</v>
      </c>
      <c r="F11" s="3481" t="s">
        <v>3859</v>
      </c>
      <c r="G11" s="3481" t="s">
        <v>3824</v>
      </c>
      <c r="H11" s="3481" t="s">
        <v>3860</v>
      </c>
      <c r="I11" s="3481" t="s">
        <v>3861</v>
      </c>
      <c r="J11" s="3481">
        <v>48086</v>
      </c>
      <c r="K11" s="3481">
        <v>48086</v>
      </c>
      <c r="L11" s="3481">
        <v>3745.02</v>
      </c>
      <c r="M11" s="3481">
        <v>0</v>
      </c>
    </row>
    <row r="12" spans="1:13">
      <c r="A12" s="3481" t="s">
        <v>3862</v>
      </c>
      <c r="B12" s="3481" t="s">
        <v>3821</v>
      </c>
      <c r="C12" s="3481" t="s">
        <v>3822</v>
      </c>
      <c r="D12" s="3481">
        <v>38709.1</v>
      </c>
      <c r="E12" s="3481">
        <v>77400</v>
      </c>
      <c r="F12" s="3481" t="s">
        <v>3859</v>
      </c>
      <c r="G12" s="3481" t="s">
        <v>3824</v>
      </c>
      <c r="H12" s="3481" t="s">
        <v>3860</v>
      </c>
      <c r="I12" s="3481" t="s">
        <v>3861</v>
      </c>
      <c r="J12" s="3481">
        <v>28873</v>
      </c>
      <c r="K12" s="3481">
        <v>28873</v>
      </c>
      <c r="L12" s="3481">
        <v>3730.36</v>
      </c>
      <c r="M12" s="3481">
        <v>0</v>
      </c>
    </row>
    <row r="13" spans="1:13">
      <c r="A13" s="3481" t="s">
        <v>3863</v>
      </c>
      <c r="B13" s="3481" t="s">
        <v>3821</v>
      </c>
      <c r="C13" s="3481" t="s">
        <v>3822</v>
      </c>
      <c r="D13" s="3481">
        <v>6073.7</v>
      </c>
      <c r="E13" s="3481">
        <v>15185</v>
      </c>
      <c r="F13" s="3481" t="s">
        <v>3823</v>
      </c>
      <c r="G13" s="3481" t="s">
        <v>3824</v>
      </c>
      <c r="H13" s="3481" t="s">
        <v>3860</v>
      </c>
      <c r="I13" s="3481" t="s">
        <v>3864</v>
      </c>
      <c r="J13" s="3481">
        <v>4810</v>
      </c>
      <c r="K13" s="3481">
        <v>7660</v>
      </c>
      <c r="L13" s="3481">
        <v>5044.45</v>
      </c>
      <c r="M13" s="3481">
        <v>59.25</v>
      </c>
    </row>
    <row r="14" spans="1:13">
      <c r="A14" s="3481" t="s">
        <v>3865</v>
      </c>
      <c r="B14" s="3481" t="s">
        <v>3821</v>
      </c>
      <c r="C14" s="3481" t="s">
        <v>3822</v>
      </c>
      <c r="D14" s="3481">
        <v>119906.12</v>
      </c>
      <c r="E14" s="3481">
        <v>219682.94</v>
      </c>
      <c r="F14" s="3481">
        <v>1.8</v>
      </c>
      <c r="G14" s="3481" t="s">
        <v>3824</v>
      </c>
      <c r="H14" s="3481" t="s">
        <v>3866</v>
      </c>
      <c r="I14" s="3481" t="s">
        <v>3867</v>
      </c>
      <c r="J14" s="3481">
        <v>257520</v>
      </c>
      <c r="K14" s="3481">
        <v>257520</v>
      </c>
      <c r="L14" s="3481">
        <v>11722.35</v>
      </c>
      <c r="M14" s="3481">
        <v>0</v>
      </c>
    </row>
    <row r="15" spans="1:13">
      <c r="A15" s="3481" t="s">
        <v>3868</v>
      </c>
      <c r="B15" s="3481" t="s">
        <v>3821</v>
      </c>
      <c r="C15" s="3481" t="s">
        <v>3822</v>
      </c>
      <c r="D15" s="3481">
        <v>32868.199999999997</v>
      </c>
      <c r="E15" s="3481">
        <v>114381.34</v>
      </c>
      <c r="F15" s="3481" t="s">
        <v>3869</v>
      </c>
      <c r="G15" s="3481" t="s">
        <v>3824</v>
      </c>
      <c r="H15" s="3481" t="s">
        <v>3870</v>
      </c>
      <c r="I15" s="3481" t="s">
        <v>3871</v>
      </c>
      <c r="J15" s="3481">
        <v>32900</v>
      </c>
      <c r="K15" s="3481">
        <v>32900</v>
      </c>
      <c r="L15" s="3481">
        <v>2876.34</v>
      </c>
      <c r="M15" s="3481">
        <v>0</v>
      </c>
    </row>
    <row r="16" spans="1:13" s="3486" customFormat="1">
      <c r="A16" s="3485" t="s">
        <v>3872</v>
      </c>
      <c r="B16" s="3485" t="s">
        <v>3821</v>
      </c>
      <c r="C16" s="3485" t="s">
        <v>3822</v>
      </c>
      <c r="D16" s="3485">
        <v>15832.6</v>
      </c>
      <c r="E16" s="3485">
        <v>110828.2</v>
      </c>
      <c r="F16" s="3485" t="s">
        <v>3839</v>
      </c>
      <c r="G16" s="3485" t="s">
        <v>3824</v>
      </c>
      <c r="H16" s="3485" t="s">
        <v>3870</v>
      </c>
      <c r="I16" s="3485" t="s">
        <v>3873</v>
      </c>
      <c r="J16" s="3485">
        <v>19852</v>
      </c>
      <c r="K16" s="3485">
        <v>19852</v>
      </c>
      <c r="L16" s="3485">
        <v>1791.24</v>
      </c>
      <c r="M16" s="3485">
        <v>0</v>
      </c>
    </row>
    <row r="17" spans="1:13">
      <c r="A17" s="3481" t="s">
        <v>3874</v>
      </c>
      <c r="B17" s="3481" t="s">
        <v>3821</v>
      </c>
      <c r="C17" s="3481" t="s">
        <v>3822</v>
      </c>
      <c r="D17" s="3481">
        <v>15670</v>
      </c>
      <c r="E17" s="3481">
        <v>70515</v>
      </c>
      <c r="F17" s="3481" t="s">
        <v>3828</v>
      </c>
      <c r="G17" s="3481" t="s">
        <v>3824</v>
      </c>
      <c r="H17" s="3481" t="s">
        <v>3875</v>
      </c>
      <c r="I17" s="3481" t="s">
        <v>3876</v>
      </c>
      <c r="J17" s="3481">
        <v>14280</v>
      </c>
      <c r="K17" s="3481">
        <v>14280</v>
      </c>
      <c r="L17" s="3481">
        <v>2025.1</v>
      </c>
      <c r="M17" s="3481">
        <v>0</v>
      </c>
    </row>
    <row r="18" spans="1:13">
      <c r="A18" s="3481" t="s">
        <v>3877</v>
      </c>
      <c r="B18" s="3481" t="s">
        <v>3821</v>
      </c>
      <c r="C18" s="3481" t="s">
        <v>3822</v>
      </c>
      <c r="D18" s="3481">
        <v>1845.25</v>
      </c>
      <c r="E18" s="3481">
        <v>5037.53</v>
      </c>
      <c r="F18" s="3481" t="s">
        <v>3878</v>
      </c>
      <c r="G18" s="3481" t="s">
        <v>3824</v>
      </c>
      <c r="H18" s="3481" t="s">
        <v>3879</v>
      </c>
      <c r="I18" s="3481" t="s">
        <v>3880</v>
      </c>
      <c r="J18" s="3481">
        <v>904</v>
      </c>
      <c r="K18" s="3481">
        <v>904</v>
      </c>
      <c r="L18" s="3481">
        <v>1794.53</v>
      </c>
      <c r="M18" s="3481">
        <v>0</v>
      </c>
    </row>
    <row r="19" spans="1:13">
      <c r="A19" s="3481" t="s">
        <v>3881</v>
      </c>
      <c r="B19" s="3481" t="s">
        <v>3821</v>
      </c>
      <c r="C19" s="3481" t="s">
        <v>3822</v>
      </c>
      <c r="D19" s="3481">
        <v>21336.799999999999</v>
      </c>
      <c r="E19" s="3481">
        <v>115290</v>
      </c>
      <c r="F19" s="3481" t="s">
        <v>3882</v>
      </c>
      <c r="G19" s="3481" t="s">
        <v>3824</v>
      </c>
      <c r="H19" s="3481" t="s">
        <v>3883</v>
      </c>
      <c r="I19" s="3481" t="s">
        <v>3884</v>
      </c>
      <c r="J19" s="3481">
        <v>31670</v>
      </c>
      <c r="K19" s="3481">
        <v>31670</v>
      </c>
      <c r="L19" s="3481">
        <v>2746.99</v>
      </c>
      <c r="M19" s="3481">
        <v>0</v>
      </c>
    </row>
    <row r="20" spans="1:13" s="3486" customFormat="1">
      <c r="A20" s="3485" t="s">
        <v>3885</v>
      </c>
      <c r="B20" s="3485" t="s">
        <v>3821</v>
      </c>
      <c r="C20" s="3485" t="s">
        <v>3822</v>
      </c>
      <c r="D20" s="3485">
        <v>59669.33</v>
      </c>
      <c r="E20" s="3485">
        <v>89550</v>
      </c>
      <c r="F20" s="3485" t="s">
        <v>3886</v>
      </c>
      <c r="G20" s="3485" t="s">
        <v>3887</v>
      </c>
      <c r="H20" s="3485" t="s">
        <v>3888</v>
      </c>
      <c r="I20" s="3485" t="s">
        <v>3889</v>
      </c>
      <c r="J20" s="3485">
        <v>31100</v>
      </c>
      <c r="K20" s="3485">
        <v>31100</v>
      </c>
      <c r="L20" s="3485">
        <v>3472.92</v>
      </c>
      <c r="M20" s="3485">
        <v>0</v>
      </c>
    </row>
    <row r="21" spans="1:13" s="3486" customFormat="1">
      <c r="A21" s="3485" t="s">
        <v>3890</v>
      </c>
      <c r="B21" s="3485" t="s">
        <v>3821</v>
      </c>
      <c r="C21" s="3485" t="s">
        <v>3822</v>
      </c>
      <c r="D21" s="3485">
        <v>75626</v>
      </c>
      <c r="E21" s="3485">
        <v>113400</v>
      </c>
      <c r="F21" s="3485" t="s">
        <v>3886</v>
      </c>
      <c r="G21" s="3485" t="s">
        <v>3887</v>
      </c>
      <c r="H21" s="3485" t="s">
        <v>3891</v>
      </c>
      <c r="I21" s="3485" t="s">
        <v>3892</v>
      </c>
      <c r="J21" s="3485">
        <v>33000</v>
      </c>
      <c r="K21" s="3485">
        <v>33000</v>
      </c>
      <c r="L21" s="3485">
        <v>2910.05</v>
      </c>
      <c r="M21" s="3485">
        <v>0</v>
      </c>
    </row>
    <row r="22" spans="1:13">
      <c r="A22" s="3481" t="s">
        <v>3893</v>
      </c>
      <c r="B22" s="3481" t="s">
        <v>3821</v>
      </c>
      <c r="C22" s="3481" t="s">
        <v>3822</v>
      </c>
      <c r="D22" s="3481">
        <v>24625.72</v>
      </c>
      <c r="E22" s="3481">
        <v>49251.44</v>
      </c>
      <c r="F22" s="3481" t="s">
        <v>3894</v>
      </c>
      <c r="G22" s="3481" t="s">
        <v>3887</v>
      </c>
      <c r="H22" s="3481" t="s">
        <v>3895</v>
      </c>
      <c r="I22" s="3481" t="s">
        <v>3896</v>
      </c>
      <c r="J22" s="3481">
        <v>19000</v>
      </c>
      <c r="K22" s="3481">
        <v>24400</v>
      </c>
      <c r="L22" s="3481">
        <v>4954.17</v>
      </c>
      <c r="M22" s="3481">
        <v>28.42</v>
      </c>
    </row>
    <row r="23" spans="1:13">
      <c r="A23" s="3481" t="s">
        <v>3897</v>
      </c>
      <c r="B23" s="3481" t="s">
        <v>3821</v>
      </c>
      <c r="C23" s="3481" t="s">
        <v>3822</v>
      </c>
      <c r="D23" s="3481">
        <v>33327.9</v>
      </c>
      <c r="E23" s="3481">
        <v>166639.5</v>
      </c>
      <c r="F23" s="3481" t="s">
        <v>3898</v>
      </c>
      <c r="G23" s="3481" t="s">
        <v>3824</v>
      </c>
      <c r="H23" s="3481" t="s">
        <v>3899</v>
      </c>
      <c r="I23" s="3481" t="s">
        <v>3900</v>
      </c>
      <c r="J23" s="3481">
        <v>33229</v>
      </c>
      <c r="K23" s="3481">
        <v>33229</v>
      </c>
      <c r="L23" s="3481">
        <v>1994.07</v>
      </c>
      <c r="M23" s="3481">
        <v>0</v>
      </c>
    </row>
    <row r="24" spans="1:13" s="3486" customFormat="1">
      <c r="A24" s="3485" t="s">
        <v>3901</v>
      </c>
      <c r="B24" s="3485" t="s">
        <v>3821</v>
      </c>
      <c r="C24" s="3485" t="s">
        <v>3822</v>
      </c>
      <c r="D24" s="3485">
        <v>13024.2</v>
      </c>
      <c r="E24" s="3485">
        <v>110705.7</v>
      </c>
      <c r="F24" s="3485" t="s">
        <v>3902</v>
      </c>
      <c r="G24" s="3485" t="s">
        <v>3824</v>
      </c>
      <c r="H24" s="3485" t="s">
        <v>3903</v>
      </c>
      <c r="I24" s="3485" t="s">
        <v>3904</v>
      </c>
      <c r="J24" s="3485">
        <v>16266</v>
      </c>
      <c r="K24" s="3485">
        <v>16266</v>
      </c>
      <c r="L24" s="3485">
        <v>1469.3</v>
      </c>
      <c r="M24" s="3485">
        <v>0</v>
      </c>
    </row>
    <row r="25" spans="1:13" s="3486" customFormat="1">
      <c r="A25" s="3485" t="s">
        <v>3905</v>
      </c>
      <c r="B25" s="3485" t="s">
        <v>3821</v>
      </c>
      <c r="C25" s="3485" t="s">
        <v>3822</v>
      </c>
      <c r="D25" s="3485">
        <v>11050.6</v>
      </c>
      <c r="E25" s="3485">
        <v>66303.600000000006</v>
      </c>
      <c r="F25" s="3485" t="s">
        <v>3855</v>
      </c>
      <c r="G25" s="3485" t="s">
        <v>3824</v>
      </c>
      <c r="H25" s="3485" t="s">
        <v>3903</v>
      </c>
      <c r="I25" s="3485" t="s">
        <v>3904</v>
      </c>
      <c r="J25" s="3485">
        <v>12767</v>
      </c>
      <c r="K25" s="3485">
        <v>12767</v>
      </c>
      <c r="L25" s="3485">
        <v>1925.54</v>
      </c>
      <c r="M25" s="3485">
        <v>0</v>
      </c>
    </row>
    <row r="26" spans="1:13" s="3483" customFormat="1">
      <c r="A26" s="3508" t="s">
        <v>3994</v>
      </c>
      <c r="B26" s="3482" t="s">
        <v>3821</v>
      </c>
      <c r="C26" s="3482" t="s">
        <v>3822</v>
      </c>
      <c r="D26" s="3482">
        <v>7282.51</v>
      </c>
      <c r="E26" s="3482">
        <v>40053.81</v>
      </c>
      <c r="F26" s="3482" t="s">
        <v>3843</v>
      </c>
      <c r="G26" s="3482" t="s">
        <v>3824</v>
      </c>
      <c r="H26" s="3482" t="s">
        <v>3906</v>
      </c>
      <c r="I26" s="3482" t="s">
        <v>3907</v>
      </c>
      <c r="J26" s="3482">
        <v>13637</v>
      </c>
      <c r="K26" s="3482">
        <v>13637</v>
      </c>
      <c r="L26" s="3482">
        <v>3404.67</v>
      </c>
      <c r="M26" s="3482">
        <v>0</v>
      </c>
    </row>
    <row r="27" spans="1:13">
      <c r="A27" s="3481" t="s">
        <v>3908</v>
      </c>
      <c r="B27" s="3481" t="s">
        <v>3821</v>
      </c>
      <c r="C27" s="3481" t="s">
        <v>3822</v>
      </c>
      <c r="D27" s="3481">
        <v>21350.400000000001</v>
      </c>
      <c r="E27" s="3481">
        <v>288230.40000000002</v>
      </c>
      <c r="F27" s="3481" t="s">
        <v>3909</v>
      </c>
      <c r="G27" s="3481" t="s">
        <v>3887</v>
      </c>
      <c r="H27" s="3481" t="s">
        <v>3910</v>
      </c>
      <c r="I27" s="3481" t="s">
        <v>3911</v>
      </c>
      <c r="J27" s="3481">
        <v>32416</v>
      </c>
      <c r="K27" s="3481">
        <v>32416</v>
      </c>
      <c r="L27" s="3481">
        <v>1124.6600000000001</v>
      </c>
      <c r="M27" s="3481">
        <v>0</v>
      </c>
    </row>
    <row r="28" spans="1:13">
      <c r="A28" s="3481" t="s">
        <v>3912</v>
      </c>
      <c r="B28" s="3481" t="s">
        <v>3821</v>
      </c>
      <c r="C28" s="3481" t="s">
        <v>3822</v>
      </c>
      <c r="D28" s="3481">
        <v>104820</v>
      </c>
      <c r="E28" s="3481">
        <v>262050</v>
      </c>
      <c r="F28" s="3481" t="s">
        <v>3823</v>
      </c>
      <c r="G28" s="3481" t="s">
        <v>3824</v>
      </c>
      <c r="H28" s="3481" t="s">
        <v>3913</v>
      </c>
      <c r="I28" s="3481" t="s">
        <v>3914</v>
      </c>
      <c r="J28" s="3481">
        <v>82410</v>
      </c>
      <c r="K28" s="3481">
        <v>82410</v>
      </c>
      <c r="L28" s="3481">
        <v>3144.82</v>
      </c>
      <c r="M28" s="3481">
        <v>0</v>
      </c>
    </row>
    <row r="29" spans="1:13">
      <c r="A29" s="3481" t="s">
        <v>3915</v>
      </c>
      <c r="B29" s="3481" t="s">
        <v>3821</v>
      </c>
      <c r="C29" s="3481" t="s">
        <v>3822</v>
      </c>
      <c r="D29" s="3481">
        <v>144531.6</v>
      </c>
      <c r="E29" s="3481">
        <v>867189.6</v>
      </c>
      <c r="F29" s="3481" t="s">
        <v>3916</v>
      </c>
      <c r="G29" s="3481" t="s">
        <v>3824</v>
      </c>
      <c r="H29" s="3481" t="s">
        <v>3917</v>
      </c>
      <c r="I29" s="3481" t="s">
        <v>3918</v>
      </c>
      <c r="J29" s="3481">
        <v>165753</v>
      </c>
      <c r="K29" s="3481">
        <v>165753</v>
      </c>
      <c r="L29" s="3481">
        <v>1911.38</v>
      </c>
      <c r="M29" s="3481">
        <v>0</v>
      </c>
    </row>
    <row r="30" spans="1:13">
      <c r="A30" s="3481" t="s">
        <v>3919</v>
      </c>
      <c r="B30" s="3481" t="s">
        <v>3821</v>
      </c>
      <c r="C30" s="3481" t="s">
        <v>3822</v>
      </c>
      <c r="D30" s="3481">
        <v>66939.8</v>
      </c>
      <c r="E30" s="3481">
        <v>368168.9</v>
      </c>
      <c r="F30" s="3481" t="s">
        <v>3920</v>
      </c>
      <c r="G30" s="3481" t="s">
        <v>3824</v>
      </c>
      <c r="H30" s="3481" t="s">
        <v>3917</v>
      </c>
      <c r="I30" s="3481" t="s">
        <v>3921</v>
      </c>
      <c r="J30" s="3481">
        <v>72612</v>
      </c>
      <c r="K30" s="3481">
        <v>74612</v>
      </c>
      <c r="L30" s="3481">
        <v>2026.57</v>
      </c>
      <c r="M30" s="3481">
        <v>2.75</v>
      </c>
    </row>
    <row r="31" spans="1:13">
      <c r="A31" s="3481" t="s">
        <v>3919</v>
      </c>
      <c r="B31" s="3481" t="s">
        <v>3821</v>
      </c>
      <c r="C31" s="3481" t="s">
        <v>3822</v>
      </c>
      <c r="D31" s="3481">
        <v>43886.2</v>
      </c>
      <c r="E31" s="3481">
        <v>241374.1</v>
      </c>
      <c r="F31" s="3481" t="s">
        <v>3920</v>
      </c>
      <c r="G31" s="3481" t="s">
        <v>3824</v>
      </c>
      <c r="H31" s="3481" t="s">
        <v>3917</v>
      </c>
      <c r="I31" s="3481" t="s">
        <v>3921</v>
      </c>
      <c r="J31" s="3481">
        <v>47560</v>
      </c>
      <c r="K31" s="3481">
        <v>48560</v>
      </c>
      <c r="L31" s="3481">
        <v>2011.81</v>
      </c>
      <c r="M31" s="3481">
        <v>2.1</v>
      </c>
    </row>
    <row r="70" spans="1:1">
      <c r="A70" s="3496" t="s">
        <v>3983</v>
      </c>
    </row>
  </sheetData>
  <phoneticPr fontId="135"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80" zoomScaleNormal="70" zoomScaleSheetLayoutView="80" workbookViewId="0">
      <selection activeCell="C18" sqref="C18"/>
    </sheetView>
  </sheetViews>
  <sheetFormatPr defaultColWidth="6.625" defaultRowHeight="12.75"/>
  <cols>
    <col min="1" max="1" width="9.75" style="728" customWidth="1"/>
    <col min="2" max="2" width="25.75" style="778" customWidth="1"/>
    <col min="3" max="3" width="10.375" style="820" customWidth="1"/>
    <col min="4" max="4" width="9.875" style="778" customWidth="1"/>
    <col min="5" max="5" width="9.5" style="728"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6" t="s">
        <v>1594</v>
      </c>
      <c r="B1" s="1187"/>
      <c r="C1" s="1188"/>
      <c r="D1" s="1186"/>
      <c r="E1" s="2802"/>
      <c r="F1" s="2802"/>
      <c r="G1" s="2667"/>
      <c r="H1" s="2802"/>
      <c r="I1" s="2802"/>
      <c r="J1" s="2802"/>
      <c r="K1" s="2803">
        <f>MATCH(C1,'数据-取费表'!A6:A16,0)+5</f>
        <v>10</v>
      </c>
    </row>
    <row r="2" spans="1:33" ht="18" customHeight="1">
      <c r="A2" s="201" t="s">
        <v>1462</v>
      </c>
      <c r="B2" s="204">
        <f ca="1">C32</f>
        <v>346387</v>
      </c>
      <c r="C2" s="276" t="s">
        <v>1595</v>
      </c>
      <c r="D2" s="276"/>
      <c r="E2" s="2802"/>
      <c r="F2" s="2802"/>
      <c r="G2" s="2802"/>
      <c r="H2" s="2802"/>
      <c r="I2" s="2802"/>
      <c r="J2" s="2802"/>
      <c r="K2" s="2802"/>
    </row>
    <row r="3" spans="1:33" ht="18" customHeight="1" thickBot="1">
      <c r="A3" s="203" t="s">
        <v>1464</v>
      </c>
      <c r="B3" s="204">
        <f ca="1">ROUND(B2*10000/IF(C1="",'数据-汇总表'!E3,INDIRECT("'数据-取费表'!K"&amp;$K$1)),0)</f>
        <v>15270</v>
      </c>
      <c r="C3" s="276" t="s">
        <v>1596</v>
      </c>
      <c r="D3" s="276"/>
      <c r="E3" s="2802"/>
      <c r="F3" s="2802"/>
      <c r="G3" s="2802"/>
      <c r="H3" s="2802"/>
      <c r="I3" s="2802"/>
      <c r="J3" s="2802"/>
      <c r="K3" s="2802"/>
    </row>
    <row r="4" spans="1:33" s="782" customFormat="1" ht="16.5" customHeight="1">
      <c r="A4" s="779" t="s">
        <v>1597</v>
      </c>
      <c r="B4" s="780"/>
      <c r="C4" s="821">
        <f>SUM(C8:K8)</f>
        <v>396197</v>
      </c>
      <c r="D4" s="780"/>
      <c r="E4" s="780"/>
      <c r="F4" s="780"/>
      <c r="G4" s="780"/>
      <c r="H4" s="780"/>
      <c r="I4" s="780"/>
      <c r="J4" s="780"/>
      <c r="K4" s="781"/>
    </row>
    <row r="5" spans="1:33" s="786" customFormat="1" ht="15">
      <c r="A5" s="783" t="s">
        <v>1598</v>
      </c>
      <c r="B5" s="784" t="s">
        <v>1599</v>
      </c>
      <c r="C5" s="1856" t="s">
        <v>21</v>
      </c>
      <c r="D5" s="1856" t="s">
        <v>673</v>
      </c>
      <c r="E5" s="1856" t="s">
        <v>3489</v>
      </c>
      <c r="F5" s="1856" t="s">
        <v>3951</v>
      </c>
      <c r="G5" s="1856"/>
      <c r="H5" s="1856"/>
      <c r="I5" s="1856"/>
      <c r="J5" s="1856"/>
      <c r="K5" s="1856"/>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31" t="s">
        <v>1600</v>
      </c>
      <c r="C6" s="788">
        <f>'比较法-办公'!B3</f>
        <v>22558</v>
      </c>
      <c r="D6" s="788">
        <f>典型户型修正!R22</f>
        <v>18846</v>
      </c>
      <c r="E6" s="788">
        <f>'比较法-仓储'!B3</f>
        <v>10667</v>
      </c>
      <c r="F6" s="788">
        <f>'比较法-车位'!B3</f>
        <v>4368</v>
      </c>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1601</v>
      </c>
      <c r="B7" s="131" t="s">
        <v>1602</v>
      </c>
      <c r="C7" s="277">
        <f>SUMIF('数据-汇总表'!$C19:$C33,假设开发法!C5,'数据-汇总表'!$E19:$E33)</f>
        <v>158807.61999999988</v>
      </c>
      <c r="D7" s="277">
        <f>SUMIF('数据-汇总表'!$C19:$C33,假设开发法!D5,'数据-汇总表'!$E19:$E33)</f>
        <v>4660.4099999999989</v>
      </c>
      <c r="E7" s="277">
        <f>SUMIF('数据-汇总表'!$C19:$C33,假设开发法!E5,'数据-汇总表'!$E19:$E33)</f>
        <v>8500.51</v>
      </c>
      <c r="F7" s="277">
        <f>SUMIF('数据-汇总表'!$C19:$C33,假设开发法!F5,'数据-汇总表'!$E19:$E33)</f>
        <v>46034.520000000011</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0"/>
      <c r="M7" s="790">
        <f>'数据-取费表'!AH9</f>
        <v>976</v>
      </c>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7" t="s">
        <v>1603</v>
      </c>
      <c r="B8" s="164" t="s">
        <v>1604</v>
      </c>
      <c r="C8" s="822">
        <f>'比较法-办公'!B2</f>
        <v>358238</v>
      </c>
      <c r="D8" s="822">
        <f>典型户型修正!S22</f>
        <v>8783</v>
      </c>
      <c r="E8" s="822">
        <f>'比较法-仓储'!B2</f>
        <v>9067</v>
      </c>
      <c r="F8" s="823">
        <f>'比较法-车位'!B2</f>
        <v>20109</v>
      </c>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1605</v>
      </c>
      <c r="B9" s="780"/>
      <c r="C9" s="780"/>
      <c r="D9" s="780"/>
      <c r="E9" s="780"/>
      <c r="F9" s="780"/>
      <c r="G9" s="780"/>
      <c r="H9" s="780"/>
      <c r="I9" s="780"/>
      <c r="J9" s="780"/>
      <c r="K9" s="781"/>
    </row>
    <row r="10" spans="1:33" s="796" customFormat="1" ht="13.5" customHeight="1">
      <c r="A10" s="783" t="s">
        <v>1606</v>
      </c>
      <c r="B10" s="5" t="s">
        <v>1607</v>
      </c>
      <c r="C10" s="792" t="s">
        <v>1608</v>
      </c>
      <c r="D10" s="793" t="s">
        <v>1609</v>
      </c>
      <c r="E10" s="793" t="s">
        <v>1610</v>
      </c>
      <c r="F10" s="793" t="s">
        <v>1611</v>
      </c>
      <c r="G10" s="5"/>
      <c r="H10" s="794"/>
      <c r="I10" s="794"/>
      <c r="J10" s="794"/>
      <c r="K10" s="795"/>
    </row>
    <row r="11" spans="1:33" s="800" customFormat="1" ht="13.5" customHeight="1">
      <c r="A11" s="797" t="s">
        <v>635</v>
      </c>
      <c r="B11" s="798" t="s">
        <v>1612</v>
      </c>
      <c r="C11" s="279">
        <f ca="1">IF(C1="",'数据-取费表'!P16,INDIRECT("'数据-取费表'!p"&amp;$K$1)+INDIRECT("'数据-取费表'!ar"&amp;$K$1))</f>
        <v>10390</v>
      </c>
      <c r="D11" s="799"/>
      <c r="E11" s="329"/>
      <c r="F11" s="809">
        <f ca="1">1-IF('数据-取费表'!B24=0,1,IF(C1="",'数据-取费表'!N16,INDIRECT("'数据-取费表'!n"&amp;$K$1)))</f>
        <v>5.0000000000000044E-2</v>
      </c>
      <c r="G11" s="5"/>
      <c r="H11" s="794"/>
      <c r="I11" s="794"/>
      <c r="J11" s="794"/>
      <c r="K11" s="795"/>
    </row>
    <row r="12" spans="1:33" s="800" customFormat="1" ht="13.5" customHeight="1">
      <c r="A12" s="797" t="s">
        <v>636</v>
      </c>
      <c r="B12" s="798" t="s">
        <v>1613</v>
      </c>
      <c r="C12" s="21">
        <f ca="1">ROUND(C11*F12,0)</f>
        <v>312</v>
      </c>
      <c r="D12" s="799"/>
      <c r="E12" s="329"/>
      <c r="F12" s="809">
        <f>'数据-取费表'!B33</f>
        <v>0.03</v>
      </c>
      <c r="G12" s="5" t="s">
        <v>1614</v>
      </c>
      <c r="H12" s="794"/>
      <c r="I12" s="794"/>
      <c r="J12" s="794"/>
      <c r="K12" s="795"/>
    </row>
    <row r="13" spans="1:33" s="800" customFormat="1" ht="13.5" customHeight="1">
      <c r="A13" s="797" t="s">
        <v>637</v>
      </c>
      <c r="B13" s="798" t="s">
        <v>1615</v>
      </c>
      <c r="C13" s="21">
        <f ca="1">ROUND(IF(C1="",SUMIF('数据-取费表'!C:C,"住宅",'数据-取费表'!P:P)*F13,IF(INDIRECT("'数据-取费表'!c"&amp;$K$1)="住宅",INDIRECT("'数据-取费表'!P"&amp;$K$1)*F13,0)),0)</f>
        <v>0</v>
      </c>
      <c r="D13" s="843"/>
      <c r="E13" s="329"/>
      <c r="F13" s="809">
        <f>'数据-取费表'!B34</f>
        <v>0.05</v>
      </c>
      <c r="G13" s="5" t="s">
        <v>1616</v>
      </c>
      <c r="H13" s="794"/>
      <c r="I13" s="794"/>
      <c r="J13" s="794"/>
      <c r="K13" s="795"/>
    </row>
    <row r="14" spans="1:33" s="802" customFormat="1" ht="13.5" customHeight="1">
      <c r="A14" s="797" t="s">
        <v>638</v>
      </c>
      <c r="B14" s="798" t="s">
        <v>1617</v>
      </c>
      <c r="C14" s="21">
        <f ca="1">ROUND(D14*E14*F11/10000,0)</f>
        <v>227</v>
      </c>
      <c r="D14" s="843">
        <f ca="1">IF(C1="",'数据-汇总表'!E3,INDIRECT("'数据-取费表'!K"&amp;$K$1)+INDIRECT("'数据-取费表'!S"&amp;$K$1))</f>
        <v>226846.22999999989</v>
      </c>
      <c r="E14" s="21">
        <f>'数据-取费表'!B35</f>
        <v>200</v>
      </c>
      <c r="F14" s="801"/>
      <c r="G14" s="5" t="s">
        <v>1618</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1619</v>
      </c>
      <c r="C15" s="808">
        <f ca="1">ROUND(C11*F15,0)</f>
        <v>156</v>
      </c>
      <c r="D15" s="803"/>
      <c r="E15" s="808"/>
      <c r="F15" s="809">
        <f>'数据-取费表'!B36</f>
        <v>1.4999999999999999E-2</v>
      </c>
      <c r="G15" s="131" t="s">
        <v>1620</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1621</v>
      </c>
      <c r="C16" s="808">
        <f ca="1">SUM(C11:C15)</f>
        <v>11085</v>
      </c>
      <c r="D16" s="803"/>
      <c r="E16" s="808"/>
      <c r="F16" s="809"/>
      <c r="G16" s="131"/>
      <c r="H16" s="1184"/>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1622</v>
      </c>
      <c r="C17" s="21">
        <f ca="1">ROUND(D17*E17/10000,0)</f>
        <v>0</v>
      </c>
      <c r="D17" s="843">
        <f ca="1">D14</f>
        <v>226846.22999999989</v>
      </c>
      <c r="E17" s="21">
        <f>'数据-取费表'!B32</f>
        <v>0</v>
      </c>
      <c r="F17" s="803"/>
      <c r="G17" s="131" t="s">
        <v>1623</v>
      </c>
      <c r="H17" s="1184"/>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1624</v>
      </c>
      <c r="C18" s="21">
        <f ca="1">C19+C20-IF(C1="",'数据-取费表'!B29,IF(G18="已全部缴纳",C19+C20,H18))</f>
        <v>0</v>
      </c>
      <c r="D18" s="843"/>
      <c r="E18" s="21"/>
      <c r="F18" s="801"/>
      <c r="G18" s="1858"/>
      <c r="H18" s="1183"/>
      <c r="I18" s="1859" t="s">
        <v>1625</v>
      </c>
      <c r="J18" s="804"/>
      <c r="K18" s="805"/>
    </row>
    <row r="19" spans="1:33" s="800" customFormat="1" ht="13.5" customHeight="1">
      <c r="A19" s="797" t="s">
        <v>360</v>
      </c>
      <c r="B19" s="798" t="s">
        <v>1626</v>
      </c>
      <c r="C19" s="21">
        <f ca="1">ROUND(D19*E19/10000,0)</f>
        <v>0</v>
      </c>
      <c r="D19" s="843">
        <f ca="1">IF(C1="",'数据-汇总表'!E5,IF(INDIRECT("'数据-取费表'!c"&amp;$K$1)="住宅",INDIRECT("'数据-取费表'!k"&amp;$K$1),0))</f>
        <v>0</v>
      </c>
      <c r="E19" s="21">
        <f>'数据-取费表'!B27</f>
        <v>150</v>
      </c>
      <c r="F19" s="801"/>
      <c r="G19" s="12"/>
      <c r="H19" s="1185"/>
      <c r="I19" s="806"/>
      <c r="J19" s="806"/>
      <c r="K19" s="807"/>
    </row>
    <row r="20" spans="1:33" s="800" customFormat="1" ht="13.5" customHeight="1">
      <c r="A20" s="797" t="s">
        <v>361</v>
      </c>
      <c r="B20" s="798" t="s">
        <v>1627</v>
      </c>
      <c r="C20" s="21">
        <f ca="1">ROUND(D20*E20/10000,0)</f>
        <v>3403</v>
      </c>
      <c r="D20" s="843">
        <f ca="1">IF(C1="",'数据-汇总表'!E6,IF(INDIRECT("'数据-取费表'!c"&amp;$K$1)="住宅",INDIRECT("'数据-取费表'!s"&amp;$K$1),INDIRECT("'数据-取费表'!k"&amp;$K$1)+INDIRECT("'数据-取费表'!s"&amp;$K$1)))</f>
        <v>226846.22999999989</v>
      </c>
      <c r="E20" s="21">
        <f>'数据-取费表'!B28</f>
        <v>150</v>
      </c>
      <c r="F20" s="801"/>
      <c r="G20" s="12"/>
      <c r="H20" s="806"/>
      <c r="I20" s="806"/>
      <c r="J20" s="806"/>
      <c r="K20" s="807"/>
    </row>
    <row r="21" spans="1:33" s="800" customFormat="1" ht="13.5" customHeight="1">
      <c r="A21" s="787" t="s">
        <v>357</v>
      </c>
      <c r="B21" s="810" t="s">
        <v>1628</v>
      </c>
      <c r="C21" s="811">
        <f ca="1">C16+C17+C18</f>
        <v>11085</v>
      </c>
      <c r="D21" s="812"/>
      <c r="E21" s="281"/>
      <c r="F21" s="281"/>
      <c r="G21" s="131" t="s">
        <v>1629</v>
      </c>
      <c r="H21" s="804"/>
      <c r="I21" s="804"/>
      <c r="J21" s="804"/>
      <c r="K21" s="805"/>
    </row>
    <row r="22" spans="1:33" s="800" customFormat="1" ht="13.5" customHeight="1">
      <c r="A22" s="787" t="s">
        <v>1601</v>
      </c>
      <c r="B22" s="810" t="s">
        <v>1630</v>
      </c>
      <c r="C22" s="811">
        <f ca="1">ROUND(C21*F22,0)</f>
        <v>222</v>
      </c>
      <c r="D22" s="281"/>
      <c r="E22" s="281"/>
      <c r="F22" s="813">
        <f>'数据-取费表'!B37</f>
        <v>0.02</v>
      </c>
      <c r="G22" s="5" t="s">
        <v>1631</v>
      </c>
      <c r="H22" s="794"/>
      <c r="I22" s="794"/>
      <c r="J22" s="794"/>
      <c r="K22" s="795"/>
    </row>
    <row r="23" spans="1:33" s="800" customFormat="1" ht="13.5" customHeight="1">
      <c r="A23" s="787" t="s">
        <v>1603</v>
      </c>
      <c r="B23" s="810" t="s">
        <v>1632</v>
      </c>
      <c r="C23" s="811">
        <f ca="1">ROUND(C4*F23*F11,0)</f>
        <v>396</v>
      </c>
      <c r="D23" s="281"/>
      <c r="E23" s="281"/>
      <c r="F23" s="813">
        <f>'数据-取费表'!B38</f>
        <v>0.02</v>
      </c>
      <c r="G23" s="5" t="s">
        <v>1633</v>
      </c>
      <c r="H23" s="794"/>
      <c r="I23" s="794"/>
      <c r="J23" s="794"/>
      <c r="K23" s="795"/>
    </row>
    <row r="24" spans="1:33" s="800" customFormat="1" ht="13.5" customHeight="1">
      <c r="A24" s="787" t="s">
        <v>1634</v>
      </c>
      <c r="B24" s="810" t="s">
        <v>1635</v>
      </c>
      <c r="C24" s="280">
        <f>ROUND(F24/(1+'数据-取费表'!C42),4)</f>
        <v>2.9000000000000001E-2</v>
      </c>
      <c r="D24" s="281" t="s">
        <v>12</v>
      </c>
      <c r="E24" s="281"/>
      <c r="F24" s="813">
        <f>IF(项目基本情况!B8="出让",0,'数据-取费表'!B48+'数据-取费表'!B49)</f>
        <v>3.0499999999999999E-2</v>
      </c>
      <c r="G24" s="5" t="s">
        <v>1636</v>
      </c>
      <c r="H24" s="815"/>
      <c r="I24" s="815"/>
      <c r="J24" s="815"/>
      <c r="K24" s="816"/>
    </row>
    <row r="25" spans="1:33" s="800" customFormat="1" ht="13.5" customHeight="1">
      <c r="A25" s="787" t="s">
        <v>1637</v>
      </c>
      <c r="B25" s="812" t="s">
        <v>1638</v>
      </c>
      <c r="C25" s="1103">
        <f ca="1">C27</f>
        <v>36</v>
      </c>
      <c r="D25" s="280">
        <f ca="1">C26</f>
        <v>6.3E-3</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5"/>
      <c r="I25" s="815"/>
      <c r="J25" s="815"/>
      <c r="K25" s="816"/>
    </row>
    <row r="26" spans="1:33" s="818" customFormat="1" ht="13.5" customHeight="1">
      <c r="A26" s="797" t="s">
        <v>358</v>
      </c>
      <c r="B26" s="817" t="s">
        <v>1639</v>
      </c>
      <c r="C26" s="1104">
        <f ca="1">ROUND(IF('数据-取费表'!B22&lt;=1,(1+C24)*F25*'数据-取费表'!B24,(1+C24)*(POWER((1+F25),'数据-取费表'!B24)-1)),4)</f>
        <v>6.3E-3</v>
      </c>
      <c r="D26" s="284"/>
      <c r="E26" s="285"/>
      <c r="F26" s="286"/>
      <c r="G26" s="1860" t="str">
        <f>IF('数据-取费表'!B22&lt;=1,"（(1)+取得税费率/(1+5%)）×年利率×建设期","（(1)+取得税费率）/(1+5%)×((1+年利率)^建设期-1)")</f>
        <v>（(1)+取得税费率）/(1+5%)×((1+年利率)^建设期-1)</v>
      </c>
      <c r="H26" s="804"/>
      <c r="I26" s="804"/>
      <c r="J26" s="804"/>
      <c r="K26" s="805"/>
    </row>
    <row r="27" spans="1:33" s="818" customFormat="1" ht="13.5" customHeight="1">
      <c r="A27" s="797" t="s">
        <v>359</v>
      </c>
      <c r="B27" s="817" t="s">
        <v>1640</v>
      </c>
      <c r="C27" s="1105">
        <f ca="1">ROUND(IF('数据-取费表'!B22&lt;=1,(C21+C22+C23)*F25*'数据-取费表'!B24/2,(C21+C22+C23)*(POWER((1+F25),'数据-取费表'!B24/2)-1)),0)</f>
        <v>36</v>
      </c>
      <c r="D27" s="284"/>
      <c r="E27" s="285"/>
      <c r="F27" s="286"/>
      <c r="G27" s="1860" t="str">
        <f>IF('数据-取费表'!B22&lt;=1,"（1）-（3）项×年利率×建设期÷2","（1）-（3）项×((1+年利率)^(建设期÷2)-1)")</f>
        <v>（1）-（3）项×((1+年利率)^(建设期÷2)-1)</v>
      </c>
      <c r="H27" s="804"/>
      <c r="I27" s="804"/>
      <c r="J27" s="804"/>
      <c r="K27" s="805"/>
    </row>
    <row r="28" spans="1:33" s="289" customFormat="1" ht="13.5" customHeight="1">
      <c r="A28" s="787" t="s">
        <v>1641</v>
      </c>
      <c r="B28" s="1861" t="s">
        <v>1642</v>
      </c>
      <c r="C28" s="287">
        <f ca="1">C30</f>
        <v>1872</v>
      </c>
      <c r="D28" s="280">
        <f ca="1">C29</f>
        <v>8.2000000000000007E-3</v>
      </c>
      <c r="E28" s="282" t="s">
        <v>12</v>
      </c>
      <c r="F28" s="288">
        <f ca="1">IF(C1="",'数据-取费表'!Q16,INDIRECT("'数据-取费表'!q"&amp;$K$1))</f>
        <v>0.16</v>
      </c>
      <c r="G28" s="814"/>
      <c r="H28" s="815"/>
      <c r="I28" s="815"/>
      <c r="J28" s="815"/>
      <c r="K28" s="816"/>
    </row>
    <row r="29" spans="1:33" s="291" customFormat="1" ht="13.5" customHeight="1">
      <c r="A29" s="797" t="s">
        <v>358</v>
      </c>
      <c r="B29" s="819" t="s">
        <v>1643</v>
      </c>
      <c r="C29" s="284">
        <f ca="1">ROUND((1+C24)*F28*'数据-取费表'!B24/'数据-取费表'!B20,4)</f>
        <v>8.2000000000000007E-3</v>
      </c>
      <c r="D29" s="284"/>
      <c r="E29" s="285"/>
      <c r="F29" s="290"/>
      <c r="G29" s="131" t="s">
        <v>1644</v>
      </c>
      <c r="H29" s="804"/>
      <c r="I29" s="804"/>
      <c r="J29" s="804"/>
      <c r="K29" s="805"/>
    </row>
    <row r="30" spans="1:33" s="291" customFormat="1" ht="13.5" customHeight="1">
      <c r="A30" s="797" t="s">
        <v>359</v>
      </c>
      <c r="B30" s="819" t="s">
        <v>1645</v>
      </c>
      <c r="C30" s="292">
        <f ca="1">ROUND((C21+C22+C23)*F28,0)</f>
        <v>1872</v>
      </c>
      <c r="D30" s="284"/>
      <c r="E30" s="285"/>
      <c r="F30" s="290"/>
      <c r="G30" s="131"/>
      <c r="H30" s="804"/>
      <c r="I30" s="804"/>
      <c r="J30" s="804"/>
      <c r="K30" s="805"/>
    </row>
    <row r="31" spans="1:33" s="800" customFormat="1" ht="13.5" customHeight="1" thickBot="1">
      <c r="A31" s="1862" t="s">
        <v>1646</v>
      </c>
      <c r="B31" s="830" t="s">
        <v>1647</v>
      </c>
      <c r="C31" s="831">
        <f>ROUND(C4*F31/(1+'数据-取费表'!C42),0)</f>
        <v>21131</v>
      </c>
      <c r="D31" s="832"/>
      <c r="E31" s="833"/>
      <c r="F31" s="834">
        <f>'数据-取费表'!B41</f>
        <v>5.6000000000000001E-2</v>
      </c>
      <c r="G31" s="835" t="s">
        <v>1648</v>
      </c>
      <c r="H31" s="836"/>
      <c r="I31" s="836"/>
      <c r="J31" s="836"/>
      <c r="K31" s="837"/>
    </row>
    <row r="32" spans="1:33" s="796" customFormat="1" ht="13.5" customHeight="1" thickBot="1">
      <c r="A32" s="825" t="s">
        <v>1649</v>
      </c>
      <c r="B32" s="826"/>
      <c r="C32" s="827">
        <f ca="1">ROUND((C4-C21-C22-C23-C25-C28-C31)/(1+C24+D25+D28),0)</f>
        <v>346387</v>
      </c>
      <c r="D32" s="826"/>
      <c r="E32" s="826"/>
      <c r="F32" s="826"/>
      <c r="G32" s="828" t="s">
        <v>1650</v>
      </c>
      <c r="H32" s="826"/>
      <c r="I32" s="826"/>
      <c r="J32" s="826"/>
      <c r="K32" s="829"/>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c r="D1" s="1358" t="s">
        <v>43</v>
      </c>
      <c r="E1" s="1359" t="s">
        <v>678</v>
      </c>
      <c r="F1" s="1059">
        <f ca="1">J53</f>
        <v>0</v>
      </c>
      <c r="G1" s="1374">
        <f>MATCH(C1,'数据-取费表'!A6:A16,0)+5</f>
        <v>10</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878</v>
      </c>
      <c r="B2" s="3421" t="e">
        <f ca="1">ROUND(D2/10000,4)</f>
        <v>#DIV/0!</v>
      </c>
      <c r="C2" s="1383" t="s">
        <v>879</v>
      </c>
      <c r="D2" s="1467" t="e">
        <f ca="1">C40+J29+L46</f>
        <v>#DIV/0!</v>
      </c>
      <c r="E2" s="1384" t="s">
        <v>880</v>
      </c>
      <c r="F2" s="1385"/>
      <c r="G2" s="2702"/>
      <c r="H2" s="2691"/>
      <c r="I2" s="2691"/>
      <c r="J2" s="2691"/>
      <c r="K2" s="2692"/>
      <c r="L2" s="2691"/>
      <c r="M2" s="2691"/>
    </row>
    <row r="3" spans="1:37" ht="18" customHeight="1" thickBot="1">
      <c r="A3" s="1386" t="s">
        <v>881</v>
      </c>
      <c r="B3" s="1387">
        <f ca="1">IF(ISERROR(D2/F43),0,ROUND(D2/F43,0))</f>
        <v>0</v>
      </c>
      <c r="C3" s="1383" t="s">
        <v>882</v>
      </c>
      <c r="D3" s="1383"/>
      <c r="E3" s="1384"/>
      <c r="F3" s="1385"/>
      <c r="G3" s="2702"/>
      <c r="H3" s="683" t="s">
        <v>876</v>
      </c>
      <c r="I3" s="1378"/>
      <c r="J3" s="1378"/>
      <c r="K3" s="1379"/>
      <c r="L3" s="1378"/>
      <c r="M3" s="1378"/>
    </row>
    <row r="4" spans="1:37" ht="18" customHeight="1">
      <c r="A4" s="295" t="s">
        <v>883</v>
      </c>
      <c r="B4" s="296" t="s">
        <v>884</v>
      </c>
      <c r="C4" s="296" t="s">
        <v>885</v>
      </c>
      <c r="D4" s="296" t="s">
        <v>886</v>
      </c>
      <c r="E4" s="297" t="s">
        <v>887</v>
      </c>
      <c r="F4" s="298"/>
      <c r="G4" s="1380"/>
      <c r="H4" s="295" t="s">
        <v>883</v>
      </c>
      <c r="I4" s="296" t="s">
        <v>884</v>
      </c>
      <c r="J4" s="296" t="s">
        <v>885</v>
      </c>
      <c r="K4" s="296" t="s">
        <v>886</v>
      </c>
      <c r="L4" s="297" t="s">
        <v>887</v>
      </c>
      <c r="M4" s="298"/>
    </row>
    <row r="5" spans="1:37" ht="18" customHeight="1">
      <c r="A5" s="299">
        <v>1</v>
      </c>
      <c r="B5" s="300" t="s">
        <v>888</v>
      </c>
      <c r="C5" s="1067">
        <f ca="1">C6+C10+C12</f>
        <v>0</v>
      </c>
      <c r="D5" s="1360" t="s">
        <v>889</v>
      </c>
      <c r="E5" s="1068"/>
      <c r="F5" s="1069"/>
      <c r="G5" s="1380"/>
      <c r="H5" s="299">
        <v>1</v>
      </c>
      <c r="I5" s="300" t="s">
        <v>888</v>
      </c>
      <c r="J5" s="1067">
        <f ca="1">J6+J10+J12</f>
        <v>0</v>
      </c>
      <c r="K5" s="1360" t="s">
        <v>889</v>
      </c>
      <c r="L5" s="1068"/>
      <c r="M5" s="1069"/>
    </row>
    <row r="6" spans="1:37" ht="18" customHeight="1">
      <c r="A6" s="1066" t="s">
        <v>398</v>
      </c>
      <c r="B6" s="3743" t="s">
        <v>694</v>
      </c>
      <c r="C6" s="1071">
        <f ca="1">ROUND(F6*F8*F7*(1-F9),0)</f>
        <v>0</v>
      </c>
      <c r="D6" s="155" t="s">
        <v>2105</v>
      </c>
      <c r="E6" s="302" t="s">
        <v>696</v>
      </c>
      <c r="F6" s="303">
        <f ca="1">INDIRECT("'数据-取费表'!u"&amp;$G$1)</f>
        <v>0</v>
      </c>
      <c r="G6" s="1380"/>
      <c r="H6" s="1066" t="s">
        <v>398</v>
      </c>
      <c r="I6" s="3743" t="s">
        <v>694</v>
      </c>
      <c r="J6" s="301">
        <f ca="1">ROUND(M6*M8*M7*(1-M9),0)</f>
        <v>0</v>
      </c>
      <c r="K6" s="1372" t="s">
        <v>2106</v>
      </c>
      <c r="L6" s="302" t="s">
        <v>696</v>
      </c>
      <c r="M6" s="303">
        <f ca="1">INDIRECT("'数据-取费表'!z"&amp;$G$1)</f>
        <v>0</v>
      </c>
    </row>
    <row r="7" spans="1:37" ht="18" customHeight="1">
      <c r="A7" s="1070"/>
      <c r="B7" s="3744"/>
      <c r="C7" s="1072"/>
      <c r="D7" s="307"/>
      <c r="E7" s="1073" t="s">
        <v>697</v>
      </c>
      <c r="F7" s="303">
        <f ca="1">IF(INDIRECT("'数据-取费表'!ah"&amp;$G$1)="",INDIRECT("'数据-取费表'!k"&amp;$G$1),INDIRECT("'数据-取费表'!ah"&amp;$G$1))</f>
        <v>0</v>
      </c>
      <c r="G7" s="1380"/>
      <c r="H7" s="304"/>
      <c r="I7" s="3744"/>
      <c r="J7" s="306"/>
      <c r="K7" s="307"/>
      <c r="L7" s="302" t="s">
        <v>697</v>
      </c>
      <c r="M7" s="303">
        <f ca="1">F7</f>
        <v>0</v>
      </c>
    </row>
    <row r="8" spans="1:37" ht="18" customHeight="1">
      <c r="A8" s="304"/>
      <c r="B8" s="3744"/>
      <c r="C8" s="306"/>
      <c r="D8" s="307"/>
      <c r="E8" s="302" t="s">
        <v>698</v>
      </c>
      <c r="F8" s="303">
        <f ca="1">INDIRECT("'数据-取费表'!ai"&amp;$G$1)</f>
        <v>0</v>
      </c>
      <c r="G8" s="1380"/>
      <c r="H8" s="304"/>
      <c r="I8" s="3744"/>
      <c r="J8" s="306"/>
      <c r="K8" s="307"/>
      <c r="L8" s="302" t="s">
        <v>698</v>
      </c>
      <c r="M8" s="303">
        <f ca="1">INDIRECT("'数据-取费表'!ai"&amp;$G$1)</f>
        <v>0</v>
      </c>
    </row>
    <row r="9" spans="1:37" ht="18" customHeight="1">
      <c r="A9" s="304"/>
      <c r="B9" s="3745"/>
      <c r="C9" s="306"/>
      <c r="D9" s="307"/>
      <c r="E9" s="302" t="s">
        <v>699</v>
      </c>
      <c r="F9" s="312">
        <f ca="1">INDIRECT("'数据-取费表'!w"&amp;$G$1)</f>
        <v>0</v>
      </c>
      <c r="G9" s="1380"/>
      <c r="H9" s="304"/>
      <c r="I9" s="3745"/>
      <c r="J9" s="306"/>
      <c r="K9" s="307"/>
      <c r="L9" s="313" t="s">
        <v>699</v>
      </c>
      <c r="M9" s="314">
        <f ca="1">INDIRECT("'数据-取费表'!ab"&amp;$G$1)</f>
        <v>0</v>
      </c>
    </row>
    <row r="10" spans="1:37" ht="18" customHeight="1">
      <c r="A10" s="1066" t="s">
        <v>402</v>
      </c>
      <c r="B10" s="1361" t="s">
        <v>700</v>
      </c>
      <c r="C10" s="316">
        <f ca="1">ROUND(IF(F10="押一",C6/12*F11,IF(F10="押二",C6/12*2*F11,IF(F10="押三",C6/12*3*F11,C11*F11))),0)</f>
        <v>0</v>
      </c>
      <c r="D10" s="1362" t="s">
        <v>2115</v>
      </c>
      <c r="E10" s="313" t="s">
        <v>701</v>
      </c>
      <c r="F10" s="1113"/>
      <c r="G10" s="1380"/>
      <c r="H10" s="1066" t="s">
        <v>402</v>
      </c>
      <c r="I10" s="1361" t="s">
        <v>700</v>
      </c>
      <c r="J10" s="301">
        <f ca="1">ROUND(IF(M10="押一",J6/12*M11,IF(M10="押二",J6/12*2*M11,IF(M10="押三",J6/12*3*M11,J11*M11))),0)</f>
        <v>0</v>
      </c>
      <c r="K10" s="1373" t="s">
        <v>2117</v>
      </c>
      <c r="L10" s="313" t="s">
        <v>701</v>
      </c>
      <c r="M10" s="1113"/>
    </row>
    <row r="11" spans="1:37" ht="18" customHeight="1">
      <c r="A11" s="308"/>
      <c r="B11" s="1363" t="s">
        <v>890</v>
      </c>
      <c r="C11" s="956"/>
      <c r="D11" s="307"/>
      <c r="E11" s="313" t="s">
        <v>702</v>
      </c>
      <c r="F11" s="314">
        <f ca="1">'数据-取费表'!B39</f>
        <v>1.4999999999999999E-2</v>
      </c>
      <c r="G11" s="1380"/>
      <c r="H11" s="1074"/>
      <c r="I11" s="1363" t="s">
        <v>891</v>
      </c>
      <c r="J11" s="956"/>
      <c r="K11" s="684"/>
      <c r="L11" s="313" t="s">
        <v>702</v>
      </c>
      <c r="M11" s="859">
        <f ca="1">'数据-取费表'!B39</f>
        <v>1.4999999999999999E-2</v>
      </c>
    </row>
    <row r="12" spans="1:37" ht="18" customHeight="1" thickBot="1">
      <c r="A12" s="1080" t="s">
        <v>437</v>
      </c>
      <c r="B12" s="1365" t="s">
        <v>703</v>
      </c>
      <c r="C12" s="1081"/>
      <c r="D12" s="1082"/>
      <c r="E12" s="1087"/>
      <c r="F12" s="1083"/>
      <c r="G12" s="1380"/>
      <c r="H12" s="1080" t="s">
        <v>437</v>
      </c>
      <c r="I12" s="1365" t="s">
        <v>703</v>
      </c>
      <c r="J12" s="1081"/>
      <c r="K12" s="1095"/>
      <c r="L12" s="1087"/>
      <c r="M12" s="1096"/>
    </row>
    <row r="13" spans="1:37" ht="18" customHeight="1" thickTop="1">
      <c r="A13" s="1076">
        <v>2</v>
      </c>
      <c r="B13" s="1077" t="s">
        <v>704</v>
      </c>
      <c r="C13" s="310">
        <f ca="1">ROUND(C29*F13,0)</f>
        <v>0</v>
      </c>
      <c r="D13" s="1078" t="s">
        <v>705</v>
      </c>
      <c r="E13" s="1078" t="s">
        <v>706</v>
      </c>
      <c r="F13" s="1079">
        <f ca="1">INDIRECT("'数据-取费表'!y"&amp;$G$1)</f>
        <v>0</v>
      </c>
      <c r="G13" s="1380"/>
      <c r="H13" s="1076">
        <v>2</v>
      </c>
      <c r="I13" s="1077" t="s">
        <v>704</v>
      </c>
      <c r="J13" s="1065">
        <f ca="1">ROUND(J14*J15,0)</f>
        <v>0</v>
      </c>
      <c r="K13" s="1084" t="s">
        <v>705</v>
      </c>
      <c r="L13" s="1388"/>
      <c r="M13" s="1389"/>
    </row>
    <row r="14" spans="1:37" ht="18" customHeight="1">
      <c r="A14" s="979" t="s">
        <v>397</v>
      </c>
      <c r="B14" s="302" t="s">
        <v>707</v>
      </c>
      <c r="C14" s="318">
        <f ca="1">ROUND(INDIRECT("'数据-取费表'!l"&amp;$G$1)*F43+'数据-取费表'!L14*INDIRECT("'数据-取费表'!S"&amp;$G$1),0)</f>
        <v>0</v>
      </c>
      <c r="D14" s="1341" t="s">
        <v>708</v>
      </c>
      <c r="E14" s="1338"/>
      <c r="F14" s="319"/>
      <c r="G14" s="1380"/>
      <c r="H14" s="979" t="s">
        <v>398</v>
      </c>
      <c r="I14" s="302" t="s">
        <v>709</v>
      </c>
      <c r="J14" s="21">
        <f ca="1">C29</f>
        <v>0</v>
      </c>
      <c r="K14" s="12"/>
      <c r="L14" s="804"/>
      <c r="M14" s="805"/>
    </row>
    <row r="15" spans="1:37" s="1393" customFormat="1" ht="18" customHeight="1" thickBot="1">
      <c r="A15" s="979" t="s">
        <v>399</v>
      </c>
      <c r="B15" s="302" t="s">
        <v>710</v>
      </c>
      <c r="C15" s="21">
        <f ca="1">ROUND(C14*F15,0)</f>
        <v>0</v>
      </c>
      <c r="D15" s="320" t="s">
        <v>711</v>
      </c>
      <c r="E15" s="320" t="s">
        <v>712</v>
      </c>
      <c r="F15" s="321">
        <f>'数据-取费表'!B33</f>
        <v>0.03</v>
      </c>
      <c r="G15" s="1392"/>
      <c r="H15" s="1086" t="s">
        <v>402</v>
      </c>
      <c r="I15" s="1087" t="s">
        <v>706</v>
      </c>
      <c r="J15" s="1096">
        <f ca="1">INDIRECT("'数据-取费表'!ad"&amp;$G$1)</f>
        <v>0</v>
      </c>
      <c r="K15" s="1097"/>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9" t="s">
        <v>680</v>
      </c>
      <c r="B16" s="302" t="s">
        <v>713</v>
      </c>
      <c r="C16" s="21">
        <f ca="1">ROUND(INDIRECT("'数据-取费表'!l"&amp;$G$1)*F43*F16,0)</f>
        <v>0</v>
      </c>
      <c r="D16" s="302" t="s">
        <v>711</v>
      </c>
      <c r="E16" s="302" t="s">
        <v>712</v>
      </c>
      <c r="F16" s="322">
        <f ca="1">IF(INDIRECT("'数据-取费表'!c"&amp;$G$1)="住宅",'数据-取费表'!B34,0)</f>
        <v>0</v>
      </c>
      <c r="G16" s="1380"/>
      <c r="H16" s="1076" t="s">
        <v>393</v>
      </c>
      <c r="I16" s="1077" t="s">
        <v>714</v>
      </c>
      <c r="J16" s="310">
        <f ca="1">ROUND(J17+J22+J23+J24,0)</f>
        <v>0</v>
      </c>
      <c r="K16" s="1084" t="s">
        <v>715</v>
      </c>
      <c r="L16" s="1085"/>
      <c r="M16" s="1069"/>
    </row>
    <row r="17" spans="1:37" s="1393" customFormat="1" ht="18" customHeight="1">
      <c r="A17" s="979" t="s">
        <v>681</v>
      </c>
      <c r="B17" s="302" t="s">
        <v>716</v>
      </c>
      <c r="C17" s="21">
        <f ca="1">ROUND(F17*(F43+INDIRECT("'数据-取费表'!S"&amp;$G$1)),0)</f>
        <v>0</v>
      </c>
      <c r="D17" s="302" t="s">
        <v>717</v>
      </c>
      <c r="E17" s="302" t="s">
        <v>718</v>
      </c>
      <c r="F17" s="23">
        <f>'数据-取费表'!B35</f>
        <v>200</v>
      </c>
      <c r="G17" s="1392"/>
      <c r="H17" s="979" t="s">
        <v>398</v>
      </c>
      <c r="I17" s="302" t="s">
        <v>719</v>
      </c>
      <c r="J17" s="2312">
        <f ca="1">ROUND(IF(AND(项目基本情况!B11="自然人",项目基本情况!B10="北京市"),J6*M17/(1+'数据-取费表'!C42),J18+J19+J20),0)</f>
        <v>0</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9" t="s">
        <v>682</v>
      </c>
      <c r="B18" s="302" t="s">
        <v>722</v>
      </c>
      <c r="C18" s="21">
        <f ca="1">ROUND(C14*F18,0)</f>
        <v>0</v>
      </c>
      <c r="D18" s="302" t="s">
        <v>711</v>
      </c>
      <c r="E18" s="302" t="s">
        <v>712</v>
      </c>
      <c r="F18" s="322">
        <f>'数据-取费表'!B36</f>
        <v>1.4999999999999999E-2</v>
      </c>
      <c r="G18" s="1392"/>
      <c r="H18" s="979" t="s">
        <v>397</v>
      </c>
      <c r="I18" s="302" t="s">
        <v>723</v>
      </c>
      <c r="J18" s="21">
        <f ca="1">ROUND(J6*M18/(1+'数据-取费表'!C42),0)</f>
        <v>0</v>
      </c>
      <c r="K18" s="1340"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9" t="s">
        <v>398</v>
      </c>
      <c r="B19" s="302" t="s">
        <v>725</v>
      </c>
      <c r="C19" s="21">
        <f ca="1">SUM(C14:C18)</f>
        <v>0</v>
      </c>
      <c r="D19" s="131" t="s">
        <v>726</v>
      </c>
      <c r="E19" s="1356"/>
      <c r="F19" s="23"/>
      <c r="G19" s="1380"/>
      <c r="H19" s="979" t="s">
        <v>399</v>
      </c>
      <c r="I19" s="302" t="s">
        <v>727</v>
      </c>
      <c r="J19" s="21">
        <f ca="1">IF(K19="按租金收入计税",ROUND(J6*M19/(1+'数据-取费表'!C42),0),ROUND(C29*M19*0.7,0))</f>
        <v>0</v>
      </c>
      <c r="K19" s="1366" t="s">
        <v>3342</v>
      </c>
      <c r="L19" s="302" t="s">
        <v>712</v>
      </c>
      <c r="M19" s="322">
        <f>IF(K19="按租金收入计税",'数据-取费表'!B51,'数据-取费表'!B50)</f>
        <v>0.12</v>
      </c>
    </row>
    <row r="20" spans="1:37" s="1393" customFormat="1" ht="18" customHeight="1">
      <c r="A20" s="979" t="s">
        <v>402</v>
      </c>
      <c r="B20" s="302" t="s">
        <v>728</v>
      </c>
      <c r="C20" s="21">
        <f ca="1">ROUND(C19*F20,0)</f>
        <v>0</v>
      </c>
      <c r="D20" s="323" t="s">
        <v>729</v>
      </c>
      <c r="E20" s="302" t="s">
        <v>712</v>
      </c>
      <c r="F20" s="322">
        <f>'数据-取费表'!B37</f>
        <v>0.02</v>
      </c>
      <c r="G20" s="1392"/>
      <c r="H20" s="979" t="s">
        <v>680</v>
      </c>
      <c r="I20" s="155" t="s">
        <v>730</v>
      </c>
      <c r="J20" s="22">
        <f ca="1">ROUND(M20*M21,0)</f>
        <v>0</v>
      </c>
      <c r="K20" s="324" t="s">
        <v>731</v>
      </c>
      <c r="L20" s="302" t="s">
        <v>732</v>
      </c>
      <c r="M20" s="325">
        <f>'数据-取费表'!B52</f>
        <v>6</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9" t="s">
        <v>437</v>
      </c>
      <c r="B21" s="302" t="s">
        <v>733</v>
      </c>
      <c r="C21" s="21" t="s">
        <v>0</v>
      </c>
      <c r="D21" s="3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1356"/>
      <c r="F22" s="23"/>
      <c r="G22" s="1380"/>
      <c r="H22" s="979" t="s">
        <v>402</v>
      </c>
      <c r="I22" s="302" t="s">
        <v>738</v>
      </c>
      <c r="J22" s="21">
        <f ca="1">ROUND(J14*M22,0)</f>
        <v>0</v>
      </c>
      <c r="K22" s="1340" t="s">
        <v>739</v>
      </c>
      <c r="L22" s="302" t="s">
        <v>712</v>
      </c>
      <c r="M22" s="328">
        <f ca="1">INDIRECT("'数据-取费表'!Ak"&amp;$G$1)</f>
        <v>0</v>
      </c>
    </row>
    <row r="23" spans="1:37" s="1393" customFormat="1" ht="18" customHeight="1">
      <c r="A23" s="979"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2"/>
      <c r="H23" s="979" t="s">
        <v>437</v>
      </c>
      <c r="I23" s="302" t="s">
        <v>742</v>
      </c>
      <c r="J23" s="21">
        <f ca="1">ROUND(J13*M23,0)</f>
        <v>0</v>
      </c>
      <c r="K23" s="1340" t="s">
        <v>743</v>
      </c>
      <c r="L23" s="302" t="s">
        <v>744</v>
      </c>
      <c r="M23" s="330">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9" t="s">
        <v>745</v>
      </c>
      <c r="B24" s="302" t="s">
        <v>746</v>
      </c>
      <c r="C24" s="21">
        <f ca="1">ROUND(IF('数据-取费表'!B22&lt;=1,F21*F24*F23/2,F21*(POWER((1+F24),F23/2)-1)),4)</f>
        <v>1.2999999999999999E-3</v>
      </c>
      <c r="D24" s="329" t="str">
        <f>IF(F23&lt;=1,"销售费用×利率×(建设周期÷2)","销售费用×((1+利率)^(建设周期÷2)-1)")</f>
        <v>销售费用×((1+利率)^(建设周期÷2)-1)</v>
      </c>
      <c r="E24" s="302" t="s">
        <v>747</v>
      </c>
      <c r="F24" s="331">
        <f ca="1">'数据-取费表'!B40</f>
        <v>4.1499999999999995E-2</v>
      </c>
      <c r="G24" s="1392"/>
      <c r="H24" s="1086" t="s">
        <v>684</v>
      </c>
      <c r="I24" s="1087" t="s">
        <v>728</v>
      </c>
      <c r="J24" s="1088">
        <f ca="1">ROUND(J5*M24,0)</f>
        <v>0</v>
      </c>
      <c r="K24" s="1089" t="s">
        <v>748</v>
      </c>
      <c r="L24" s="1087" t="s">
        <v>744</v>
      </c>
      <c r="M24" s="1083">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9" t="s">
        <v>749</v>
      </c>
      <c r="B25" s="302" t="s">
        <v>750</v>
      </c>
      <c r="C25" s="21"/>
      <c r="D25" s="131" t="s">
        <v>751</v>
      </c>
      <c r="E25" s="1356"/>
      <c r="F25" s="23"/>
      <c r="G25" s="1380"/>
      <c r="H25" s="1076" t="s">
        <v>394</v>
      </c>
      <c r="I25" s="1091" t="s">
        <v>752</v>
      </c>
      <c r="J25" s="310">
        <f ca="1">J5-J16</f>
        <v>0</v>
      </c>
      <c r="K25" s="1092" t="s">
        <v>753</v>
      </c>
      <c r="L25" s="1093"/>
      <c r="M25" s="1094"/>
    </row>
    <row r="26" spans="1:37" ht="18" customHeight="1">
      <c r="A26" s="979" t="s">
        <v>397</v>
      </c>
      <c r="B26" s="302" t="s">
        <v>754</v>
      </c>
      <c r="C26" s="21">
        <f ca="1">ROUND((C19+C20)*F26,0)</f>
        <v>0</v>
      </c>
      <c r="D26" s="323" t="s">
        <v>755</v>
      </c>
      <c r="E26" s="313" t="s">
        <v>756</v>
      </c>
      <c r="F26" s="312">
        <f ca="1">INDIRECT("'数据-取费表'!q"&amp;$G$1)</f>
        <v>0</v>
      </c>
      <c r="G26" s="1380"/>
      <c r="H26" s="299" t="s">
        <v>395</v>
      </c>
      <c r="I26" s="300" t="s">
        <v>757</v>
      </c>
      <c r="J26" s="301">
        <f ca="1">IF(J5&lt;&gt;0,ROUND(J25*(1-((1+M28)/(1+M26))^M27)/(M26-M28),0),0)</f>
        <v>0</v>
      </c>
      <c r="K26" s="324" t="s">
        <v>758</v>
      </c>
      <c r="L26" s="302" t="s">
        <v>759</v>
      </c>
      <c r="M26" s="312">
        <f ca="1">INDIRECT("'数据-取费表'!I"&amp;$G$1)</f>
        <v>0</v>
      </c>
    </row>
    <row r="27" spans="1:37" ht="18" customHeight="1">
      <c r="A27" s="979" t="s">
        <v>399</v>
      </c>
      <c r="B27" s="302" t="s">
        <v>760</v>
      </c>
      <c r="C27" s="21">
        <f ca="1">ROUND(F21*F26,4)</f>
        <v>0</v>
      </c>
      <c r="D27" s="323" t="s">
        <v>761</v>
      </c>
      <c r="E27" s="320"/>
      <c r="F27" s="321"/>
      <c r="G27" s="1380"/>
      <c r="H27" s="304"/>
      <c r="I27" s="305"/>
      <c r="J27" s="306"/>
      <c r="K27" s="332" t="s">
        <v>762</v>
      </c>
      <c r="L27" s="302" t="s">
        <v>763</v>
      </c>
      <c r="M27" s="333">
        <f ca="1">INDIRECT("'数据-取费表'!ag"&amp;$G$1)</f>
        <v>0</v>
      </c>
    </row>
    <row r="28" spans="1:37" s="1393" customFormat="1" ht="18" customHeight="1">
      <c r="A28" s="979" t="s">
        <v>400</v>
      </c>
      <c r="B28" s="302" t="s">
        <v>764</v>
      </c>
      <c r="C28" s="21">
        <f>ROUND(F28/(1+'数据-取费表'!C42),4)</f>
        <v>5.33E-2</v>
      </c>
      <c r="D28" s="3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6" t="s">
        <v>401</v>
      </c>
      <c r="B29" s="1087" t="s">
        <v>767</v>
      </c>
      <c r="C29" s="1088">
        <f ca="1">ROUND((C19+C20+C23+C26)/(1-F21-C24-C27-C28),0)</f>
        <v>0</v>
      </c>
      <c r="D29" s="1089"/>
      <c r="E29" s="1087"/>
      <c r="F29" s="1090"/>
      <c r="G29" s="1392"/>
      <c r="H29" s="334" t="s">
        <v>396</v>
      </c>
      <c r="I29" s="335" t="s">
        <v>768</v>
      </c>
      <c r="J29" s="336">
        <f ca="1">ROUND(J26/(1+F40)^F41,0)</f>
        <v>0</v>
      </c>
      <c r="K29" s="337" t="s">
        <v>769</v>
      </c>
      <c r="L29" s="338"/>
      <c r="M29" s="339">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6" t="s">
        <v>393</v>
      </c>
      <c r="B30" s="1077" t="s">
        <v>714</v>
      </c>
      <c r="C30" s="310">
        <f ca="1">ROUND(C31+C36+C37+C38,0)</f>
        <v>0</v>
      </c>
      <c r="D30" s="1084" t="s">
        <v>715</v>
      </c>
      <c r="E30" s="1085"/>
      <c r="F30" s="1069"/>
      <c r="G30" s="1380"/>
      <c r="H30" s="2693"/>
      <c r="I30" s="1394"/>
      <c r="J30" s="1395"/>
      <c r="K30" s="2471"/>
      <c r="L30" s="2694"/>
      <c r="M30" s="2695"/>
    </row>
    <row r="31" spans="1:37" ht="18" customHeight="1">
      <c r="A31" s="979" t="s">
        <v>398</v>
      </c>
      <c r="B31" s="302" t="s">
        <v>719</v>
      </c>
      <c r="C31" s="2312">
        <f ca="1">ROUND(IF(AND(项目基本情况!B11="自然人",项目基本情况!B10="北京市"),C6*F31/(1+'数据-取费表'!C42),C32+C33+C34),0)</f>
        <v>0</v>
      </c>
      <c r="D31" s="1341" t="s">
        <v>720</v>
      </c>
      <c r="E31" s="1340" t="s">
        <v>770</v>
      </c>
      <c r="F31" s="2311" t="str">
        <f>IF(项目基本情况!B11="企业","——",IF(M47="住宅",IF(F6*F7*F8/12/(1+'数据-取费表'!F30)&gt;100000,4%,2.5%),IF(F6*F7*F8/12/(1+'数据-取费表'!F30)&gt;100000,12%,7%)))</f>
        <v>——</v>
      </c>
      <c r="G31" s="1380"/>
      <c r="H31" s="2804" t="s">
        <v>2309</v>
      </c>
      <c r="I31" s="1394"/>
      <c r="J31" s="1395"/>
      <c r="K31" s="2471"/>
      <c r="L31" s="2694"/>
      <c r="M31" s="2695"/>
    </row>
    <row r="32" spans="1:37" ht="18" customHeight="1">
      <c r="A32" s="979" t="s">
        <v>397</v>
      </c>
      <c r="B32" s="302" t="s">
        <v>723</v>
      </c>
      <c r="C32" s="21">
        <f ca="1">IF(项目基本情况!B11="自然人","——",ROUND(C6*F32/(1+'数据-取费表'!C42),0))</f>
        <v>0</v>
      </c>
      <c r="D32" s="1340" t="s">
        <v>724</v>
      </c>
      <c r="E32" s="302" t="s">
        <v>712</v>
      </c>
      <c r="F32" s="331">
        <f>'数据-取费表'!B41</f>
        <v>5.6000000000000001E-2</v>
      </c>
      <c r="G32" s="1380"/>
      <c r="H32" s="2693"/>
      <c r="I32" s="1394"/>
      <c r="J32" s="1395"/>
      <c r="K32" s="2471"/>
      <c r="L32" s="2694"/>
      <c r="M32" s="2695"/>
    </row>
    <row r="33" spans="1:18" ht="18" customHeight="1">
      <c r="A33" s="979" t="s">
        <v>399</v>
      </c>
      <c r="B33" s="302" t="s">
        <v>727</v>
      </c>
      <c r="C33" s="21">
        <f ca="1">IF(项目基本情况!B11="自然人","——",IF(D33="按租金收入计税",ROUND(C6*F33/(1+'数据-取费表'!C42),0),IF(D33="按房产原值计税",ROUND(C29*F33*0.7,0),INDIRECT("'数据-取费表'!Aj"&amp;$G$1))))</f>
        <v>0</v>
      </c>
      <c r="D33" s="1366" t="s">
        <v>3342</v>
      </c>
      <c r="E33" s="302" t="s">
        <v>712</v>
      </c>
      <c r="F33" s="322">
        <f>IF(D33="按票据","——",IF(D33="按租金收入计税",'数据-取费表'!B51,'数据-取费表'!B50))</f>
        <v>0.12</v>
      </c>
      <c r="G33" s="1380"/>
      <c r="H33" s="2696"/>
      <c r="I33" s="1394"/>
      <c r="J33" s="1395"/>
      <c r="K33" s="2697"/>
      <c r="L33" s="2696"/>
      <c r="M33" s="2696"/>
    </row>
    <row r="34" spans="1:18" ht="18" customHeight="1">
      <c r="A34" s="1066" t="s">
        <v>680</v>
      </c>
      <c r="B34" s="155" t="s">
        <v>730</v>
      </c>
      <c r="C34" s="22">
        <f ca="1">IF(项目基本情况!B11="自然人","——",ROUND(F34*F35,0))</f>
        <v>0</v>
      </c>
      <c r="D34" s="324" t="s">
        <v>731</v>
      </c>
      <c r="E34" s="302" t="s">
        <v>732</v>
      </c>
      <c r="F34" s="325">
        <f>'数据-取费表'!B52</f>
        <v>6</v>
      </c>
      <c r="G34" s="1380"/>
      <c r="H34" s="2693"/>
      <c r="I34" s="1394"/>
      <c r="J34" s="1395"/>
      <c r="K34" s="2698"/>
      <c r="L34" s="2699"/>
      <c r="M34" s="2699"/>
    </row>
    <row r="35" spans="1:18" ht="18" customHeight="1">
      <c r="A35" s="1100"/>
      <c r="B35" s="1098"/>
      <c r="C35" s="26"/>
      <c r="D35" s="327"/>
      <c r="E35" s="302" t="s">
        <v>736</v>
      </c>
      <c r="F35" s="303">
        <f ca="1">INDIRECT("'数据-取费表'!r"&amp;$G$1)</f>
        <v>0</v>
      </c>
      <c r="G35" s="1380"/>
      <c r="H35" s="2693"/>
      <c r="I35" s="1394"/>
      <c r="J35" s="1395"/>
      <c r="K35" s="2697"/>
      <c r="L35" s="2696"/>
      <c r="M35" s="2696"/>
    </row>
    <row r="36" spans="1:18" ht="18" customHeight="1">
      <c r="A36" s="1099" t="s">
        <v>402</v>
      </c>
      <c r="B36" s="302" t="s">
        <v>738</v>
      </c>
      <c r="C36" s="21">
        <f ca="1">ROUND(C29*F36,0)</f>
        <v>0</v>
      </c>
      <c r="D36" s="1340" t="s">
        <v>771</v>
      </c>
      <c r="E36" s="302" t="s">
        <v>712</v>
      </c>
      <c r="F36" s="328">
        <f ca="1">INDIRECT("'数据-取费表'!Ak"&amp;$G$1)</f>
        <v>0</v>
      </c>
      <c r="G36" s="1380"/>
      <c r="H36" s="2696"/>
      <c r="I36" s="1394"/>
      <c r="J36" s="1395"/>
      <c r="K36" s="2540"/>
      <c r="L36" s="2696"/>
      <c r="M36" s="2696"/>
    </row>
    <row r="37" spans="1:18" ht="18" customHeight="1">
      <c r="A37" s="979" t="s">
        <v>437</v>
      </c>
      <c r="B37" s="302" t="s">
        <v>742</v>
      </c>
      <c r="C37" s="21">
        <f ca="1">ROUND(C13*F37,0)</f>
        <v>0</v>
      </c>
      <c r="D37" s="1340" t="s">
        <v>743</v>
      </c>
      <c r="E37" s="302" t="s">
        <v>744</v>
      </c>
      <c r="F37" s="330">
        <f ca="1">INDIRECT("'数据-取费表'!Al"&amp;$G$1)</f>
        <v>0</v>
      </c>
      <c r="G37" s="1380"/>
      <c r="H37" s="2696"/>
      <c r="I37" s="1394"/>
      <c r="J37" s="1395"/>
      <c r="K37" s="2540"/>
      <c r="L37" s="2696"/>
      <c r="M37" s="2696"/>
    </row>
    <row r="38" spans="1:18" ht="18" customHeight="1" thickBot="1">
      <c r="A38" s="1086" t="s">
        <v>684</v>
      </c>
      <c r="B38" s="1087" t="s">
        <v>728</v>
      </c>
      <c r="C38" s="1088">
        <f ca="1">ROUND(C5*F38,0)</f>
        <v>0</v>
      </c>
      <c r="D38" s="1089" t="s">
        <v>748</v>
      </c>
      <c r="E38" s="1087" t="s">
        <v>744</v>
      </c>
      <c r="F38" s="1083">
        <f ca="1">INDIRECT("'数据-取费表'!Am"&amp;$G$1)</f>
        <v>0</v>
      </c>
      <c r="G38" s="1380"/>
      <c r="H38" s="2696"/>
      <c r="I38" s="1394"/>
      <c r="J38" s="1395"/>
      <c r="K38" s="2700"/>
      <c r="L38" s="2696"/>
      <c r="M38" s="2696"/>
    </row>
    <row r="39" spans="1:18" ht="24.6" customHeight="1" thickTop="1">
      <c r="A39" s="1076" t="s">
        <v>394</v>
      </c>
      <c r="B39" s="1091" t="s">
        <v>772</v>
      </c>
      <c r="C39" s="310">
        <f ca="1">C5-C30</f>
        <v>0</v>
      </c>
      <c r="D39" s="1092" t="s">
        <v>773</v>
      </c>
      <c r="E39" s="1093"/>
      <c r="F39" s="1094"/>
      <c r="G39" s="1380"/>
      <c r="H39" s="2696"/>
      <c r="I39" s="1394"/>
      <c r="J39" s="1395"/>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0"/>
      <c r="H40" s="1457"/>
      <c r="I40" s="1394"/>
      <c r="J40" s="1395"/>
      <c r="K40" s="2700"/>
      <c r="L40" s="1457"/>
      <c r="M40" s="1457"/>
    </row>
    <row r="41" spans="1:18" ht="18" customHeight="1">
      <c r="A41" s="304"/>
      <c r="B41" s="305"/>
      <c r="C41" s="306"/>
      <c r="D41" s="332" t="s">
        <v>775</v>
      </c>
      <c r="E41" s="302" t="s">
        <v>763</v>
      </c>
      <c r="F41" s="333">
        <f ca="1">IF(INDIRECT("'数据-取费表'!af"&amp;$G$1)=0,INDIRECT("'数据-取费表'!ae"&amp;$G$1),INDIRECT("'数据-取费表'!af"&amp;$G$1))</f>
        <v>0</v>
      </c>
      <c r="G41" s="1380"/>
      <c r="H41" s="1187"/>
      <c r="I41" s="1394"/>
      <c r="J41" s="1395"/>
      <c r="K41" s="2540"/>
      <c r="L41" s="1187"/>
      <c r="M41" s="1187"/>
    </row>
    <row r="42" spans="1:18" ht="18" customHeight="1">
      <c r="A42" s="308"/>
      <c r="B42" s="309"/>
      <c r="C42" s="310"/>
      <c r="D42" s="327"/>
      <c r="E42" s="302" t="s">
        <v>766</v>
      </c>
      <c r="F42" s="312">
        <f ca="1">INDIRECT("'数据-取费表'!v"&amp;$G$1)</f>
        <v>0</v>
      </c>
      <c r="G42" s="1380"/>
      <c r="H42" s="1187"/>
      <c r="I42" s="1394"/>
      <c r="J42" s="1395"/>
      <c r="K42" s="2540"/>
      <c r="L42" s="1187"/>
      <c r="M42" s="1187"/>
    </row>
    <row r="43" spans="1:18" ht="18" customHeight="1" thickBot="1">
      <c r="A43" s="334" t="s">
        <v>396</v>
      </c>
      <c r="B43" s="335" t="s">
        <v>776</v>
      </c>
      <c r="C43" s="336" t="e">
        <f ca="1">ROUND(C40/F43,0)</f>
        <v>#DIV/0!</v>
      </c>
      <c r="D43" s="337" t="s">
        <v>777</v>
      </c>
      <c r="E43" s="338" t="s">
        <v>778</v>
      </c>
      <c r="F43" s="339">
        <f ca="1">INDIRECT("'数据-取费表'!k"&amp;$G$1)</f>
        <v>0</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3427" t="s">
        <v>3358</v>
      </c>
      <c r="B45" s="1396"/>
      <c r="C45" s="1468" t="e">
        <f ca="1">ROUND((C68-C40)/10000,4)</f>
        <v>#DIV/0!</v>
      </c>
      <c r="D45" s="3428" t="s">
        <v>3359</v>
      </c>
      <c r="E45" s="1396"/>
      <c r="F45" s="1396"/>
      <c r="O45" s="1399" t="s">
        <v>808</v>
      </c>
      <c r="P45" s="1457"/>
      <c r="Q45" s="1457"/>
      <c r="R45" s="1457"/>
    </row>
    <row r="46" spans="1:18" s="1380" customFormat="1" ht="13.5" thickBot="1">
      <c r="A46" s="1400" t="s">
        <v>809</v>
      </c>
      <c r="C46" s="1401" t="e">
        <f ca="1">ROUND(C45,0)</f>
        <v>#DIV/0!</v>
      </c>
      <c r="D46" s="1402" t="str">
        <f>C2</f>
        <v>万元</v>
      </c>
      <c r="I46" s="1403" t="s">
        <v>810</v>
      </c>
      <c r="J46" s="1404"/>
      <c r="K46" s="1405"/>
      <c r="L46" s="1406" t="e">
        <f ca="1">IF(M47="住宅",0,IF(L48&gt;J51,L60,J60))</f>
        <v>#DIV/0!</v>
      </c>
      <c r="O46" s="1407" t="s">
        <v>811</v>
      </c>
      <c r="P46" s="1408" t="s">
        <v>812</v>
      </c>
      <c r="Q46" s="1409" t="s">
        <v>813</v>
      </c>
      <c r="R46" s="1409" t="s">
        <v>814</v>
      </c>
    </row>
    <row r="47" spans="1:18" s="1380" customFormat="1" ht="13.5" thickBot="1">
      <c r="A47" s="943" t="s">
        <v>687</v>
      </c>
      <c r="B47" s="975" t="s">
        <v>688</v>
      </c>
      <c r="C47" s="975" t="s">
        <v>689</v>
      </c>
      <c r="D47" s="975" t="s">
        <v>690</v>
      </c>
      <c r="E47" s="1055" t="s">
        <v>691</v>
      </c>
      <c r="F47" s="1056"/>
      <c r="G47" s="722"/>
      <c r="I47" s="1410" t="s">
        <v>815</v>
      </c>
      <c r="J47" s="1411"/>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28.5" thickBot="1">
      <c r="A48" s="1107" t="s">
        <v>438</v>
      </c>
      <c r="B48" s="300" t="s">
        <v>692</v>
      </c>
      <c r="C48" s="1355">
        <f ca="1">C49+C53+C55</f>
        <v>0</v>
      </c>
      <c r="D48" s="1109"/>
      <c r="E48" s="1110"/>
      <c r="F48" s="959"/>
      <c r="G48" s="722"/>
      <c r="H48" s="723"/>
      <c r="I48" s="1417" t="s">
        <v>819</v>
      </c>
      <c r="J48" s="1418"/>
      <c r="K48" s="1419" t="s">
        <v>820</v>
      </c>
      <c r="L48" s="1420">
        <f ca="1">INDIRECT("'数据-取费表'!f"&amp;$G$1)</f>
        <v>0</v>
      </c>
      <c r="O48" s="1414" t="s">
        <v>404</v>
      </c>
      <c r="P48" s="1415" t="s">
        <v>821</v>
      </c>
      <c r="Q48" s="1416" t="e">
        <f ca="1">J60</f>
        <v>#DIV/0!</v>
      </c>
      <c r="R48" s="1416" t="s">
        <v>822</v>
      </c>
    </row>
    <row r="49" spans="1:18" s="1380" customFormat="1" ht="13.5" thickBot="1">
      <c r="A49" s="972" t="s">
        <v>439</v>
      </c>
      <c r="B49" s="1367" t="s">
        <v>779</v>
      </c>
      <c r="C49" s="1111">
        <f ca="1">ROUND(F49*F51*F50*(1-F52),0)</f>
        <v>0</v>
      </c>
      <c r="D49" s="1052" t="s">
        <v>695</v>
      </c>
      <c r="E49" s="1368" t="s">
        <v>780</v>
      </c>
      <c r="F49" s="1057"/>
      <c r="G49" s="1421"/>
      <c r="H49" s="723"/>
      <c r="I49" s="1417" t="s">
        <v>823</v>
      </c>
      <c r="J49" s="1422"/>
      <c r="K49" s="1419" t="s">
        <v>824</v>
      </c>
      <c r="L49" s="1423"/>
      <c r="O49" s="1424" t="s">
        <v>405</v>
      </c>
      <c r="P49" s="1415" t="s">
        <v>825</v>
      </c>
      <c r="Q49" s="1416">
        <f ca="1">C29</f>
        <v>0</v>
      </c>
      <c r="R49" s="1416" t="s">
        <v>818</v>
      </c>
    </row>
    <row r="50" spans="1:18" s="1380" customFormat="1" ht="13.5" thickBot="1">
      <c r="A50" s="973"/>
      <c r="B50" s="976"/>
      <c r="C50" s="977"/>
      <c r="D50" s="950"/>
      <c r="E50" s="1053" t="s">
        <v>697</v>
      </c>
      <c r="F50" s="1054">
        <f ca="1">F7</f>
        <v>0</v>
      </c>
      <c r="H50" s="723"/>
      <c r="I50" s="1417" t="s">
        <v>826</v>
      </c>
      <c r="J50" s="1425">
        <f>SUMPRODUCT((I63:I65=J47)*(J62:L62=J48)*(J63:L65))</f>
        <v>0</v>
      </c>
      <c r="K50" s="1419" t="s">
        <v>827</v>
      </c>
      <c r="L50" s="1423"/>
      <c r="M50" s="1426"/>
      <c r="O50" s="1424" t="s">
        <v>406</v>
      </c>
      <c r="P50" s="1415" t="s">
        <v>828</v>
      </c>
      <c r="Q50" s="1427" t="e">
        <f ca="1">J58</f>
        <v>#DIV/0!</v>
      </c>
      <c r="R50" s="1416"/>
    </row>
    <row r="51" spans="1:18" s="1380" customFormat="1" ht="13.5" thickBot="1">
      <c r="A51" s="974"/>
      <c r="B51" s="976"/>
      <c r="C51" s="977"/>
      <c r="D51" s="950"/>
      <c r="E51" s="978" t="s">
        <v>698</v>
      </c>
      <c r="F51" s="303">
        <f ca="1">F8</f>
        <v>0</v>
      </c>
      <c r="I51" s="1428" t="s">
        <v>829</v>
      </c>
      <c r="J51" s="1429">
        <f>IF(J49="",J50,J49+J50-YEAR('数据-取费表'!B2))</f>
        <v>0</v>
      </c>
      <c r="K51" s="1430" t="s">
        <v>830</v>
      </c>
      <c r="L51" s="1431">
        <f ca="1">ROUND(-PV(INDIRECT("'数据-取费表'!h"&amp;$G$1),J51,(C39-C13*C76),0),0)</f>
        <v>0</v>
      </c>
      <c r="M51" s="1432"/>
      <c r="O51" s="1424" t="s">
        <v>407</v>
      </c>
      <c r="P51" s="1415" t="s">
        <v>831</v>
      </c>
      <c r="Q51" s="1427">
        <f>J52</f>
        <v>0</v>
      </c>
      <c r="R51" s="1416"/>
    </row>
    <row r="52" spans="1:18" s="1380" customFormat="1" ht="13.5" thickBot="1">
      <c r="A52" s="974"/>
      <c r="B52" s="976"/>
      <c r="C52" s="977"/>
      <c r="D52" s="950"/>
      <c r="E52" s="978" t="s">
        <v>699</v>
      </c>
      <c r="F52" s="1051"/>
      <c r="I52" s="1433" t="s">
        <v>832</v>
      </c>
      <c r="J52" s="1434"/>
      <c r="K52" s="1433" t="s">
        <v>833</v>
      </c>
      <c r="L52" s="1434"/>
      <c r="O52" s="1424" t="s">
        <v>408</v>
      </c>
      <c r="P52" s="1415" t="s">
        <v>834</v>
      </c>
      <c r="Q52" s="1416">
        <f ca="1">J53</f>
        <v>0</v>
      </c>
      <c r="R52" s="1416" t="s">
        <v>835</v>
      </c>
    </row>
    <row r="53" spans="1:18" s="1380" customFormat="1" ht="30.75" customHeight="1" thickBot="1">
      <c r="A53" s="1108" t="s">
        <v>440</v>
      </c>
      <c r="B53" s="323" t="s">
        <v>700</v>
      </c>
      <c r="C53" s="316">
        <f ca="1">ROUND(IF(F53="押一",C49/12*F11,IF(F53="押二",C49/12*2*F11,IF(F53="押三",C49/12*3*F11,C54*F11))),0)</f>
        <v>0</v>
      </c>
      <c r="D53" s="1362" t="s">
        <v>2118</v>
      </c>
      <c r="E53" s="313" t="s">
        <v>701</v>
      </c>
      <c r="F53" s="1113"/>
      <c r="I53" s="1435" t="s">
        <v>836</v>
      </c>
      <c r="J53" s="2164">
        <f ca="1">IF(M47="住宅",IF(D1="——",MAX(J51,L48),MAX(J51,L48-'数据-取费表'!B24)),IF(D1="——",MIN(J51,L48),MIN(J51,L48-'数据-取费表'!B24)))</f>
        <v>0</v>
      </c>
      <c r="K53" s="3746" t="s">
        <v>837</v>
      </c>
      <c r="L53" s="3747"/>
      <c r="O53" s="1414" t="s">
        <v>409</v>
      </c>
      <c r="P53" s="1415" t="s">
        <v>838</v>
      </c>
      <c r="Q53" s="1416" t="e">
        <f ca="1">Q47+Q48</f>
        <v>#DIV/0!</v>
      </c>
      <c r="R53" s="1416" t="s">
        <v>410</v>
      </c>
    </row>
    <row r="54" spans="1:18" s="1380" customFormat="1" ht="13.5" thickBot="1">
      <c r="A54" s="972"/>
      <c r="B54" s="1469" t="s">
        <v>891</v>
      </c>
      <c r="C54" s="956"/>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5" thickBot="1">
      <c r="A55" s="1080" t="s">
        <v>437</v>
      </c>
      <c r="B55" s="1365" t="s">
        <v>703</v>
      </c>
      <c r="C55" s="1081"/>
      <c r="D55" s="1362"/>
      <c r="E55" s="1370"/>
      <c r="F55" s="1436"/>
      <c r="I55" s="1439" t="s">
        <v>840</v>
      </c>
      <c r="J55" s="1440" t="e">
        <f ca="1">ROUND(IF(J47="钢混",J57/J50,1-(1-2%)*(J50-J57)/J50),3)</f>
        <v>#DIV/0!</v>
      </c>
      <c r="K55" s="1441" t="s">
        <v>841</v>
      </c>
      <c r="L55" s="1442"/>
      <c r="O55" s="1407" t="s">
        <v>811</v>
      </c>
      <c r="P55" s="1408" t="s">
        <v>812</v>
      </c>
      <c r="Q55" s="1409" t="s">
        <v>813</v>
      </c>
      <c r="R55" s="1409" t="s">
        <v>814</v>
      </c>
    </row>
    <row r="56" spans="1:18" s="1380" customFormat="1" ht="36" customHeight="1" thickTop="1" thickBot="1">
      <c r="A56" s="954">
        <v>2</v>
      </c>
      <c r="B56" s="955" t="s">
        <v>704</v>
      </c>
      <c r="C56" s="232">
        <f ca="1">C13</f>
        <v>0</v>
      </c>
      <c r="D56" s="1443"/>
      <c r="E56" s="1444"/>
      <c r="F56" s="1436"/>
      <c r="I56" s="1445" t="s">
        <v>842</v>
      </c>
      <c r="J56" s="1446"/>
      <c r="K56" s="1417" t="s">
        <v>843</v>
      </c>
      <c r="L56" s="1420">
        <f ca="1">IF(L48&lt;J51,"——",L48-J51)</f>
        <v>0</v>
      </c>
      <c r="O56" s="1414" t="s">
        <v>403</v>
      </c>
      <c r="P56" s="1415" t="s">
        <v>817</v>
      </c>
      <c r="Q56" s="1416" t="e">
        <f ca="1">C40+J29</f>
        <v>#DIV/0!</v>
      </c>
      <c r="R56" s="1416" t="s">
        <v>818</v>
      </c>
    </row>
    <row r="57" spans="1:18" s="1380" customFormat="1" ht="24.75" thickBot="1">
      <c r="A57" s="1447"/>
      <c r="B57" s="947" t="s">
        <v>767</v>
      </c>
      <c r="C57" s="238">
        <f ca="1">C29</f>
        <v>0</v>
      </c>
      <c r="D57" s="1448"/>
      <c r="E57" s="1449"/>
      <c r="F57" s="1450"/>
      <c r="I57" s="1451" t="s">
        <v>844</v>
      </c>
      <c r="J57" s="1452">
        <f ca="1">IF(OR(M47="住宅",J51&lt;L48,J56="是"),"——",J51-L48)</f>
        <v>0</v>
      </c>
      <c r="K57" s="1417" t="s">
        <v>892</v>
      </c>
      <c r="L57" s="1420">
        <f ca="1">IF(L48&lt;J51,"——",IF(L55="比较法",L49,IF(L55="基准地价",L50,L51)))</f>
        <v>0</v>
      </c>
      <c r="O57" s="1414" t="s">
        <v>404</v>
      </c>
      <c r="P57" s="1415" t="s">
        <v>893</v>
      </c>
      <c r="Q57" s="1416" t="e">
        <f ca="1">L60</f>
        <v>#DIV/0!</v>
      </c>
      <c r="R57" s="1416" t="s">
        <v>894</v>
      </c>
    </row>
    <row r="58" spans="1:18" s="1380" customFormat="1" ht="24.75" thickBot="1">
      <c r="A58" s="315" t="s">
        <v>393</v>
      </c>
      <c r="B58" s="955" t="s">
        <v>714</v>
      </c>
      <c r="C58" s="316">
        <f ca="1">ROUND(C59+C64+C65+C66,0)</f>
        <v>0</v>
      </c>
      <c r="D58" s="957" t="s">
        <v>715</v>
      </c>
      <c r="E58" s="958"/>
      <c r="F58" s="959"/>
      <c r="I58" s="1451" t="s">
        <v>848</v>
      </c>
      <c r="J58" s="1453" t="e">
        <f ca="1">IF(J55&lt;0.4,0.4,J55)</f>
        <v>#DIV/0!</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9" t="s">
        <v>398</v>
      </c>
      <c r="B59" s="947" t="s">
        <v>719</v>
      </c>
      <c r="C59" s="2312">
        <f ca="1">ROUND(IF(AND(项目基本情况!B11="自然人",项目基本情况!B10="北京市"),C49*F59/(1+'数据-取费表'!C42),C60+C61+C62),0)</f>
        <v>0</v>
      </c>
      <c r="D59" s="960" t="s">
        <v>720</v>
      </c>
      <c r="E59" s="961" t="s">
        <v>721</v>
      </c>
      <c r="F59" s="2311" t="str">
        <f>IF(项目基本情况!B11="企业","——",IF('数据-取费表'!B10="住宅",IF(F49*F50*F51/12/(1+'数据-取费表'!F30)&gt;100000,4%,2.5%),IF(F49*F50*F51/12/(1+'数据-取费表'!F30)&gt;100000,12%,7%)))</f>
        <v>——</v>
      </c>
      <c r="I59" s="1451" t="s">
        <v>851</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9" t="s">
        <v>397</v>
      </c>
      <c r="B60" s="947" t="s">
        <v>723</v>
      </c>
      <c r="C60" s="21">
        <f ca="1">IF(项目基本情况!B11="自然人","——",ROUND(C48*F60/(1+'数据-取费表'!C42),0))</f>
        <v>0</v>
      </c>
      <c r="D60" s="961" t="s">
        <v>724</v>
      </c>
      <c r="E60" s="947" t="s">
        <v>712</v>
      </c>
      <c r="F60" s="331">
        <f t="shared" ref="F60:F66" si="0">F32</f>
        <v>5.6000000000000001E-2</v>
      </c>
      <c r="I60" s="1454" t="s">
        <v>853</v>
      </c>
      <c r="J60" s="1455" t="e">
        <f ca="1">IF(OR(M47="住宅",J51&lt;L48,J56="是"),"0",ROUND(J59/(1+J52)^J53,0))</f>
        <v>#DIV/0!</v>
      </c>
      <c r="K60" s="1456" t="s">
        <v>854</v>
      </c>
      <c r="L60" s="1455" t="e">
        <f ca="1">IF(OR(M47="住宅",L48&lt;J51),0,ROUND(L57*(L58/L59-1),0))</f>
        <v>#DIV/0!</v>
      </c>
      <c r="O60" s="1424" t="s">
        <v>407</v>
      </c>
      <c r="P60" s="1415" t="s">
        <v>855</v>
      </c>
      <c r="Q60" s="1416" t="e">
        <f ca="1">L58</f>
        <v>#DIV/0!</v>
      </c>
      <c r="R60" s="1416" t="s">
        <v>856</v>
      </c>
    </row>
    <row r="61" spans="1:18" s="1380" customFormat="1" ht="13.5" thickBot="1">
      <c r="A61" s="979" t="s">
        <v>781</v>
      </c>
      <c r="B61" s="947" t="s">
        <v>782</v>
      </c>
      <c r="C61" s="21">
        <f ca="1">IF(项目基本情况!B11="自然人","——",IF(D61="按租金收入计税",ROUND(C49*F61/(1+'数据-取费表'!C42),0),IF(D61="按房产原值计税",ROUND(C57*F61*0.7,0),INDIRECT("'数据-取费表'!Aj"&amp;$G$1))))</f>
        <v>0</v>
      </c>
      <c r="D61" s="1366" t="s">
        <v>3342</v>
      </c>
      <c r="E61" s="947"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9" t="s">
        <v>784</v>
      </c>
      <c r="B62" s="946" t="s">
        <v>785</v>
      </c>
      <c r="C62" s="22">
        <f ca="1">IF(项目基本情况!B11="自然人","——",ROUND(F62*F63,0))</f>
        <v>0</v>
      </c>
      <c r="D62" s="962" t="s">
        <v>786</v>
      </c>
      <c r="E62" s="947" t="s">
        <v>787</v>
      </c>
      <c r="F62" s="325">
        <f t="shared" si="0"/>
        <v>6</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6"/>
      <c r="B63" s="953"/>
      <c r="C63" s="26"/>
      <c r="D63" s="963"/>
      <c r="E63" s="947"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9" t="s">
        <v>789</v>
      </c>
      <c r="B64" s="947" t="s">
        <v>790</v>
      </c>
      <c r="C64" s="21">
        <f ca="1">ROUND(C57*F64,0)</f>
        <v>0</v>
      </c>
      <c r="D64" s="961" t="s">
        <v>791</v>
      </c>
      <c r="E64" s="947" t="s">
        <v>783</v>
      </c>
      <c r="F64" s="328">
        <f t="shared" ca="1" si="0"/>
        <v>0</v>
      </c>
      <c r="I64" s="1458" t="s">
        <v>866</v>
      </c>
      <c r="J64" s="1459">
        <v>50</v>
      </c>
      <c r="K64" s="1459">
        <v>35</v>
      </c>
      <c r="L64" s="1459">
        <v>60</v>
      </c>
      <c r="M64" s="1460">
        <v>0</v>
      </c>
      <c r="O64" s="1407" t="s">
        <v>811</v>
      </c>
      <c r="P64" s="1408" t="s">
        <v>812</v>
      </c>
      <c r="Q64" s="1409" t="s">
        <v>813</v>
      </c>
      <c r="R64" s="1409" t="s">
        <v>814</v>
      </c>
    </row>
    <row r="65" spans="1:18" s="1380" customFormat="1" ht="13.5" thickBot="1">
      <c r="A65" s="979" t="s">
        <v>792</v>
      </c>
      <c r="B65" s="947" t="s">
        <v>742</v>
      </c>
      <c r="C65" s="21">
        <f ca="1">ROUND(C56*F65,0)</f>
        <v>0</v>
      </c>
      <c r="D65" s="961" t="s">
        <v>743</v>
      </c>
      <c r="E65" s="947" t="s">
        <v>744</v>
      </c>
      <c r="F65" s="330">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5" thickBot="1">
      <c r="A66" s="979" t="s">
        <v>793</v>
      </c>
      <c r="B66" s="947" t="s">
        <v>728</v>
      </c>
      <c r="C66" s="21">
        <f ca="1">ROUND(C48*F66,0)</f>
        <v>0</v>
      </c>
      <c r="D66" s="961" t="s">
        <v>794</v>
      </c>
      <c r="E66" s="947" t="s">
        <v>712</v>
      </c>
      <c r="F66" s="312">
        <f t="shared" ca="1" si="0"/>
        <v>0</v>
      </c>
      <c r="O66" s="1414" t="s">
        <v>404</v>
      </c>
      <c r="P66" s="1415" t="s">
        <v>846</v>
      </c>
      <c r="Q66" s="1416" t="e">
        <f ca="1">L60</f>
        <v>#DIV/0!</v>
      </c>
      <c r="R66" s="1416" t="s">
        <v>869</v>
      </c>
    </row>
    <row r="67" spans="1:18" s="1380" customFormat="1" ht="16.5" thickBot="1">
      <c r="A67" s="954" t="s">
        <v>394</v>
      </c>
      <c r="B67" s="964" t="s">
        <v>752</v>
      </c>
      <c r="C67" s="316">
        <f ca="1">C48-C58</f>
        <v>0</v>
      </c>
      <c r="D67" s="960" t="s">
        <v>753</v>
      </c>
      <c r="E67" s="965"/>
      <c r="F67" s="966"/>
      <c r="O67" s="1424" t="s">
        <v>405</v>
      </c>
      <c r="P67" s="1415" t="s">
        <v>850</v>
      </c>
      <c r="Q67" s="1462">
        <f ca="1">L51</f>
        <v>0</v>
      </c>
      <c r="R67" s="1416" t="s">
        <v>870</v>
      </c>
    </row>
    <row r="68" spans="1:18" s="1380" customFormat="1" ht="16.5" thickBot="1">
      <c r="A68" s="944" t="s">
        <v>395</v>
      </c>
      <c r="B68" s="945" t="s">
        <v>774</v>
      </c>
      <c r="C68" s="301" t="e">
        <f ca="1">ROUND(C67*(1-((1+F70)/(1+F68))^F69)/(F68-F70),0)</f>
        <v>#DIV/0!</v>
      </c>
      <c r="D68" s="962" t="s">
        <v>758</v>
      </c>
      <c r="E68" s="947" t="s">
        <v>759</v>
      </c>
      <c r="F68" s="312">
        <f ca="1">F40</f>
        <v>0</v>
      </c>
      <c r="O68" s="1424" t="s">
        <v>406</v>
      </c>
      <c r="P68" s="1463" t="s">
        <v>871</v>
      </c>
      <c r="Q68" s="1416">
        <f ca="1">ROUND(Q69-Q70*Q71,0)</f>
        <v>0</v>
      </c>
      <c r="R68" s="1416" t="s">
        <v>414</v>
      </c>
    </row>
    <row r="69" spans="1:18" s="1380" customFormat="1" ht="13.5" thickBot="1">
      <c r="A69" s="948"/>
      <c r="B69" s="949"/>
      <c r="C69" s="306"/>
      <c r="D69" s="967" t="s">
        <v>762</v>
      </c>
      <c r="E69" s="947" t="s">
        <v>763</v>
      </c>
      <c r="F69" s="333">
        <f ca="1">F41</f>
        <v>0</v>
      </c>
      <c r="O69" s="1424" t="s">
        <v>411</v>
      </c>
      <c r="P69" s="1463" t="s">
        <v>872</v>
      </c>
      <c r="Q69" s="1416">
        <f ca="1">C39</f>
        <v>0</v>
      </c>
      <c r="R69" s="1416" t="s">
        <v>818</v>
      </c>
    </row>
    <row r="70" spans="1:18" s="1380" customFormat="1" ht="13.5" thickBot="1">
      <c r="A70" s="951"/>
      <c r="B70" s="952"/>
      <c r="C70" s="310"/>
      <c r="D70" s="963"/>
      <c r="E70" s="947" t="s">
        <v>766</v>
      </c>
      <c r="F70" s="1051"/>
      <c r="O70" s="1424" t="s">
        <v>412</v>
      </c>
      <c r="P70" s="1463" t="s">
        <v>873</v>
      </c>
      <c r="Q70" s="1416">
        <f ca="1">C13</f>
        <v>0</v>
      </c>
      <c r="R70" s="1416" t="s">
        <v>818</v>
      </c>
    </row>
    <row r="71" spans="1:18" s="1380" customFormat="1" ht="13.5" thickBot="1">
      <c r="A71" s="968" t="s">
        <v>396</v>
      </c>
      <c r="B71" s="969" t="s">
        <v>776</v>
      </c>
      <c r="C71" s="336" t="e">
        <f ca="1">ROUND(C68/F71,0)</f>
        <v>#DIV/0!</v>
      </c>
      <c r="D71" s="970" t="s">
        <v>777</v>
      </c>
      <c r="E71" s="971" t="s">
        <v>778</v>
      </c>
      <c r="F71" s="339">
        <f ca="1">F43</f>
        <v>0</v>
      </c>
      <c r="O71" s="1424" t="s">
        <v>413</v>
      </c>
      <c r="P71" s="1463" t="s">
        <v>874</v>
      </c>
      <c r="Q71" s="1427">
        <f ca="1">C76</f>
        <v>0</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0</v>
      </c>
      <c r="D75" s="1380"/>
      <c r="E75" s="1380"/>
      <c r="F75" s="1380"/>
      <c r="K75" s="1398"/>
      <c r="L75" s="1380"/>
      <c r="O75" s="1414" t="s">
        <v>409</v>
      </c>
      <c r="P75" s="1415" t="s">
        <v>838</v>
      </c>
      <c r="Q75" s="1416" t="e">
        <f ca="1">Q65+Q66</f>
        <v>#DIV/0!</v>
      </c>
      <c r="R75" s="1416" t="s">
        <v>410</v>
      </c>
    </row>
    <row r="76" spans="1:18">
      <c r="B76" s="342" t="s">
        <v>796</v>
      </c>
      <c r="C76" s="343">
        <f ca="1">INDIRECT("'数据-取费表'!j"&amp;$G$1)</f>
        <v>0</v>
      </c>
      <c r="I76" s="1380"/>
      <c r="J76" s="1380"/>
      <c r="K76" s="1398"/>
      <c r="L76" s="1380"/>
    </row>
    <row r="77" spans="1:18">
      <c r="B77" s="344" t="s">
        <v>797</v>
      </c>
      <c r="C77" s="345"/>
      <c r="I77" s="1380"/>
      <c r="J77" s="1380"/>
      <c r="K77" s="1398"/>
      <c r="L77" s="1380"/>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48" priority="4">
      <formula>$L$48&gt;$J$51</formula>
    </cfRule>
  </conditionalFormatting>
  <conditionalFormatting sqref="I55 I60">
    <cfRule type="expression" dxfId="147" priority="5">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2437</v>
      </c>
      <c r="B1" s="2828"/>
      <c r="C1" s="2840"/>
      <c r="D1" s="2840"/>
      <c r="E1" s="2829"/>
      <c r="F1" s="2830"/>
      <c r="G1" s="2831"/>
      <c r="J1" s="2834" t="s">
        <v>2316</v>
      </c>
      <c r="K1" s="2835"/>
      <c r="L1" s="2835"/>
      <c r="M1" s="2835"/>
      <c r="N1" s="2835"/>
      <c r="O1" s="2835"/>
      <c r="P1" s="2835"/>
      <c r="Q1" s="2835"/>
      <c r="R1" s="2836"/>
      <c r="S1" s="2837"/>
      <c r="T1" s="2837"/>
      <c r="U1" s="2837"/>
    </row>
    <row r="2" spans="1:22" s="2849" customFormat="1" ht="13.15" customHeight="1">
      <c r="A2" s="1381" t="s">
        <v>2317</v>
      </c>
      <c r="B2" s="2839" t="e">
        <f>IF(D2="——",C40,C40+E2)</f>
        <v>#DIV/0!</v>
      </c>
      <c r="C2" s="2840" t="s">
        <v>2318</v>
      </c>
      <c r="D2" s="3439" t="s">
        <v>3364</v>
      </c>
      <c r="E2" s="3440"/>
      <c r="F2" s="2842"/>
      <c r="G2" s="2843"/>
      <c r="H2" s="2844"/>
      <c r="I2" s="2845"/>
      <c r="J2" s="3748" t="s">
        <v>2319</v>
      </c>
      <c r="K2" s="3749"/>
      <c r="L2" s="2846" t="s">
        <v>2320</v>
      </c>
      <c r="M2" s="2846" t="s">
        <v>2321</v>
      </c>
      <c r="N2" s="2846" t="s">
        <v>2322</v>
      </c>
      <c r="O2" s="2846" t="s">
        <v>2323</v>
      </c>
      <c r="P2" s="2846" t="s">
        <v>2324</v>
      </c>
      <c r="Q2" s="2847" t="s">
        <v>2325</v>
      </c>
      <c r="R2" s="2848" t="s">
        <v>2326</v>
      </c>
      <c r="S2" s="2837"/>
      <c r="T2" s="2837"/>
      <c r="U2" s="2837"/>
      <c r="V2" s="2845"/>
    </row>
    <row r="3" spans="1:22" s="2849" customFormat="1" ht="13.15" customHeight="1">
      <c r="A3" s="2850" t="s">
        <v>2327</v>
      </c>
      <c r="B3" s="2851" t="e">
        <f>ROUND(B2*10000/B4,0)</f>
        <v>#DIV/0!</v>
      </c>
      <c r="C3" s="2840" t="s">
        <v>2328</v>
      </c>
      <c r="D3" s="2840"/>
      <c r="E3" s="2841"/>
      <c r="F3" s="2842"/>
      <c r="G3" s="2843"/>
      <c r="H3" s="2844"/>
      <c r="I3" s="2845"/>
      <c r="J3" s="3750" t="s">
        <v>2329</v>
      </c>
      <c r="K3" s="3751"/>
      <c r="L3" s="2852"/>
      <c r="M3" s="2852"/>
      <c r="N3" s="2852"/>
      <c r="O3" s="2852"/>
      <c r="P3" s="2852"/>
      <c r="Q3" s="2853"/>
      <c r="R3" s="2854">
        <f>SUM(L3:Q3)</f>
        <v>0</v>
      </c>
      <c r="S3" s="2837"/>
      <c r="T3" s="2837"/>
      <c r="U3" s="2837"/>
      <c r="V3" s="2845"/>
    </row>
    <row r="4" spans="1:22" s="2849" customFormat="1" ht="13.15" customHeight="1">
      <c r="A4" s="2855" t="s">
        <v>2330</v>
      </c>
      <c r="B4" s="2856"/>
      <c r="C4" s="2840"/>
      <c r="D4" s="2840"/>
      <c r="E4" s="2841"/>
      <c r="F4" s="2842"/>
      <c r="G4" s="2843"/>
      <c r="H4" s="2844"/>
      <c r="I4" s="2845"/>
      <c r="J4" s="3750" t="s">
        <v>2331</v>
      </c>
      <c r="K4" s="3751"/>
      <c r="L4" s="2857"/>
      <c r="M4" s="2857"/>
      <c r="N4" s="2857"/>
      <c r="O4" s="2857"/>
      <c r="P4" s="2857"/>
      <c r="Q4" s="2858"/>
      <c r="R4" s="2859">
        <f>SUM(L4:Q4)</f>
        <v>0</v>
      </c>
      <c r="S4" s="2837"/>
      <c r="T4" s="2837"/>
      <c r="U4" s="2837"/>
      <c r="V4" s="2845"/>
    </row>
    <row r="5" spans="1:22" s="2849" customFormat="1" ht="13.15" customHeight="1" thickBot="1">
      <c r="A5" s="2860" t="s">
        <v>2332</v>
      </c>
      <c r="B5" s="2861"/>
      <c r="C5" s="2840"/>
      <c r="D5" s="2862"/>
      <c r="E5" s="2842"/>
      <c r="F5" s="2842"/>
      <c r="G5" s="2843"/>
      <c r="H5" s="2844"/>
      <c r="I5" s="2845"/>
      <c r="J5" s="2863" t="s">
        <v>2333</v>
      </c>
      <c r="K5" s="2864"/>
      <c r="L5" s="2864"/>
      <c r="M5" s="2865"/>
      <c r="N5" s="2865"/>
      <c r="O5" s="2865"/>
      <c r="P5" s="2865"/>
      <c r="Q5" s="2865"/>
      <c r="R5" s="2848">
        <f>SUM(R14,R19,R24,R25,R27,R28)</f>
        <v>0</v>
      </c>
      <c r="S5" s="2837"/>
      <c r="T5" s="2837" t="s">
        <v>2334</v>
      </c>
      <c r="U5" s="2837" t="e">
        <f>ROUND(R5*10000/365/R3,1)</f>
        <v>#DIV/0!</v>
      </c>
      <c r="V5" s="2845"/>
    </row>
    <row r="6" spans="1:22" s="2849" customFormat="1" ht="13.15" customHeight="1" thickBot="1">
      <c r="A6" s="3752" t="s">
        <v>2335</v>
      </c>
      <c r="B6" s="3753"/>
      <c r="C6" s="3754"/>
      <c r="D6" s="2866"/>
      <c r="E6" s="2867"/>
      <c r="F6" s="2868"/>
      <c r="G6" s="2869"/>
      <c r="H6" s="2844"/>
      <c r="I6" s="2845"/>
      <c r="J6" s="3755">
        <v>1</v>
      </c>
      <c r="K6" s="3756" t="s">
        <v>2336</v>
      </c>
      <c r="L6" s="2870" t="s">
        <v>2337</v>
      </c>
      <c r="M6" s="2871" t="s">
        <v>2338</v>
      </c>
      <c r="N6" s="2871" t="s">
        <v>2339</v>
      </c>
      <c r="O6" s="2871" t="s">
        <v>2340</v>
      </c>
      <c r="P6" s="2871" t="s">
        <v>2341</v>
      </c>
      <c r="Q6" s="2871" t="s">
        <v>2342</v>
      </c>
      <c r="R6" s="2854" t="s">
        <v>2343</v>
      </c>
      <c r="S6" s="2837"/>
      <c r="T6" s="2837" t="s">
        <v>2344</v>
      </c>
      <c r="U6" s="2837"/>
      <c r="V6" s="2845"/>
    </row>
    <row r="7" spans="1:22" s="2849" customFormat="1" ht="13.15" customHeight="1">
      <c r="A7" s="2872" t="s">
        <v>2345</v>
      </c>
      <c r="B7" s="2873"/>
      <c r="C7" s="2874"/>
      <c r="D7" s="2875">
        <f>SUM(D9,D10,D11,D17,0)</f>
        <v>0</v>
      </c>
      <c r="E7" s="2876" t="e">
        <f>E9+E10+E11+E17</f>
        <v>#DIV/0!</v>
      </c>
      <c r="F7" s="2877"/>
      <c r="G7" s="2878"/>
      <c r="H7" s="2844"/>
      <c r="I7" s="2845"/>
      <c r="J7" s="3755"/>
      <c r="K7" s="3757"/>
      <c r="L7" s="2879" t="s">
        <v>2346</v>
      </c>
      <c r="M7" s="2880"/>
      <c r="N7" s="2856"/>
      <c r="O7" s="2881"/>
      <c r="P7" s="2881"/>
      <c r="Q7" s="2882">
        <v>365</v>
      </c>
      <c r="R7" s="2883">
        <f>ROUND(M7*N7*O7*P7*Q7/10000,0)</f>
        <v>0</v>
      </c>
      <c r="S7" s="2837"/>
      <c r="T7" s="2837" t="s">
        <v>2347</v>
      </c>
      <c r="U7" s="2837"/>
      <c r="V7" s="2845"/>
    </row>
    <row r="8" spans="1:22" s="2849" customFormat="1" ht="13.15" customHeight="1">
      <c r="A8" s="2884" t="s">
        <v>2348</v>
      </c>
      <c r="B8" s="3759" t="s">
        <v>2349</v>
      </c>
      <c r="C8" s="3760"/>
      <c r="D8" s="2885" t="s">
        <v>2350</v>
      </c>
      <c r="E8" s="2886" t="s">
        <v>2351</v>
      </c>
      <c r="F8" s="2887" t="s">
        <v>2352</v>
      </c>
      <c r="G8" s="2888"/>
      <c r="H8" s="2844"/>
      <c r="I8" s="2845"/>
      <c r="J8" s="3755"/>
      <c r="K8" s="3757"/>
      <c r="L8" s="2879" t="s">
        <v>2353</v>
      </c>
      <c r="M8" s="2880"/>
      <c r="N8" s="2856"/>
      <c r="O8" s="2881"/>
      <c r="P8" s="2881"/>
      <c r="Q8" s="2882">
        <v>365</v>
      </c>
      <c r="R8" s="2883">
        <f t="shared" ref="R8:R13" si="0">ROUND(M8*N8*O8*P8*Q8/10000,0)</f>
        <v>0</v>
      </c>
      <c r="S8" s="2837"/>
      <c r="T8" s="2837" t="s">
        <v>2354</v>
      </c>
      <c r="U8" s="2837"/>
      <c r="V8" s="2845"/>
    </row>
    <row r="9" spans="1:22" s="2849" customFormat="1" ht="13.15" customHeight="1">
      <c r="A9" s="2884">
        <v>1</v>
      </c>
      <c r="B9" s="3759" t="s">
        <v>2355</v>
      </c>
      <c r="C9" s="3760"/>
      <c r="D9" s="2885">
        <f>ROUND(D6*E9,0)</f>
        <v>0</v>
      </c>
      <c r="E9" s="2889"/>
      <c r="F9" s="2890" t="s">
        <v>2356</v>
      </c>
      <c r="G9" s="2869"/>
      <c r="H9" s="2844"/>
      <c r="I9" s="2845"/>
      <c r="J9" s="3755"/>
      <c r="K9" s="3757"/>
      <c r="L9" s="2879" t="s">
        <v>2357</v>
      </c>
      <c r="M9" s="2880"/>
      <c r="N9" s="2856"/>
      <c r="O9" s="2881"/>
      <c r="P9" s="2881"/>
      <c r="Q9" s="2882">
        <v>365</v>
      </c>
      <c r="R9" s="2883">
        <f t="shared" si="0"/>
        <v>0</v>
      </c>
      <c r="S9" s="2837"/>
      <c r="T9" s="2837"/>
      <c r="U9" s="2837"/>
      <c r="V9" s="2845"/>
    </row>
    <row r="10" spans="1:22" s="2849" customFormat="1" ht="13.15" customHeight="1">
      <c r="A10" s="2884">
        <v>2</v>
      </c>
      <c r="B10" s="3759" t="s">
        <v>2358</v>
      </c>
      <c r="C10" s="3760"/>
      <c r="D10" s="2885">
        <f>ROUND(D6*E10,0)</f>
        <v>0</v>
      </c>
      <c r="E10" s="2889"/>
      <c r="F10" s="2890" t="s">
        <v>2359</v>
      </c>
      <c r="G10" s="2869"/>
      <c r="H10" s="2844"/>
      <c r="I10" s="2845"/>
      <c r="J10" s="3755"/>
      <c r="K10" s="3757"/>
      <c r="L10" s="2879" t="s">
        <v>2360</v>
      </c>
      <c r="M10" s="2880"/>
      <c r="N10" s="2856"/>
      <c r="O10" s="2881"/>
      <c r="P10" s="2881"/>
      <c r="Q10" s="2882">
        <v>365</v>
      </c>
      <c r="R10" s="2883">
        <f t="shared" si="0"/>
        <v>0</v>
      </c>
      <c r="S10" s="2837"/>
      <c r="T10" s="2837"/>
      <c r="U10" s="2837"/>
      <c r="V10" s="2845"/>
    </row>
    <row r="11" spans="1:22" s="2849" customFormat="1" ht="13.15" customHeight="1">
      <c r="A11" s="2884">
        <v>3</v>
      </c>
      <c r="B11" s="3759" t="s">
        <v>2361</v>
      </c>
      <c r="C11" s="3760"/>
      <c r="D11" s="2885">
        <f>D12+D14+D15+D16</f>
        <v>0</v>
      </c>
      <c r="E11" s="2891" t="e">
        <f>D11/D6</f>
        <v>#DIV/0!</v>
      </c>
      <c r="F11" s="2887"/>
      <c r="G11" s="2888"/>
      <c r="H11" s="2844"/>
      <c r="I11" s="2845"/>
      <c r="J11" s="3755"/>
      <c r="K11" s="3757"/>
      <c r="L11" s="2879" t="s">
        <v>2362</v>
      </c>
      <c r="M11" s="2880"/>
      <c r="N11" s="2856"/>
      <c r="O11" s="2881"/>
      <c r="P11" s="2881"/>
      <c r="Q11" s="2882">
        <v>365</v>
      </c>
      <c r="R11" s="2883">
        <f t="shared" si="0"/>
        <v>0</v>
      </c>
      <c r="S11" s="2837"/>
      <c r="T11" s="2837"/>
      <c r="U11" s="2837"/>
      <c r="V11" s="2845"/>
    </row>
    <row r="12" spans="1:22" s="2849" customFormat="1" ht="13.15" customHeight="1">
      <c r="A12" s="2892" t="s">
        <v>2363</v>
      </c>
      <c r="B12" s="3761" t="s">
        <v>2364</v>
      </c>
      <c r="C12" s="3762"/>
      <c r="D12" s="2893">
        <f>ROUND(D13*1.2%*(1-30%),0)</f>
        <v>0</v>
      </c>
      <c r="E12" s="2894">
        <v>1.2E-2</v>
      </c>
      <c r="F12" s="2887" t="s">
        <v>2365</v>
      </c>
      <c r="G12" s="2888"/>
      <c r="H12" s="2844"/>
      <c r="I12" s="2845"/>
      <c r="J12" s="3755"/>
      <c r="K12" s="3757"/>
      <c r="L12" s="2879" t="s">
        <v>2366</v>
      </c>
      <c r="M12" s="2880"/>
      <c r="N12" s="2856"/>
      <c r="O12" s="2881"/>
      <c r="P12" s="2881"/>
      <c r="Q12" s="2882">
        <v>365</v>
      </c>
      <c r="R12" s="2883">
        <f t="shared" si="0"/>
        <v>0</v>
      </c>
      <c r="S12" s="2837"/>
      <c r="T12" s="2837"/>
      <c r="U12" s="2837"/>
      <c r="V12" s="2845"/>
    </row>
    <row r="13" spans="1:22" s="2849" customFormat="1" ht="13.15" customHeight="1">
      <c r="A13" s="2892"/>
      <c r="B13" s="2895"/>
      <c r="C13" s="2896" t="s">
        <v>2367</v>
      </c>
      <c r="D13" s="2897"/>
      <c r="E13" s="2898"/>
      <c r="F13" s="2887"/>
      <c r="G13" s="2888"/>
      <c r="H13" s="2844"/>
      <c r="I13" s="2845"/>
      <c r="J13" s="3755"/>
      <c r="K13" s="3757"/>
      <c r="L13" s="2879" t="s">
        <v>2368</v>
      </c>
      <c r="M13" s="2880"/>
      <c r="N13" s="2856"/>
      <c r="O13" s="2881"/>
      <c r="P13" s="2881"/>
      <c r="Q13" s="2882">
        <v>365</v>
      </c>
      <c r="R13" s="2883">
        <f t="shared" si="0"/>
        <v>0</v>
      </c>
      <c r="S13" s="2837"/>
      <c r="T13" s="2837"/>
      <c r="U13" s="2837"/>
      <c r="V13" s="2845"/>
    </row>
    <row r="14" spans="1:22" s="2849" customFormat="1" ht="13.15" customHeight="1">
      <c r="A14" s="2892" t="s">
        <v>2369</v>
      </c>
      <c r="B14" s="3761" t="s">
        <v>2370</v>
      </c>
      <c r="C14" s="3762"/>
      <c r="D14" s="2893">
        <f>ROUND(E14*B5/10000,0)</f>
        <v>0</v>
      </c>
      <c r="E14" s="2882"/>
      <c r="F14" s="2887" t="s">
        <v>2371</v>
      </c>
      <c r="G14" s="2888"/>
      <c r="H14" s="2844"/>
      <c r="I14" s="2845"/>
      <c r="J14" s="3755"/>
      <c r="K14" s="3758"/>
      <c r="L14" s="2899" t="s">
        <v>2372</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2373</v>
      </c>
      <c r="B15" s="3761" t="s">
        <v>2374</v>
      </c>
      <c r="C15" s="3762"/>
      <c r="D15" s="2893">
        <f>ROUND(D6*E15,0)</f>
        <v>0</v>
      </c>
      <c r="E15" s="2894">
        <v>5.5E-2</v>
      </c>
      <c r="F15" s="2887" t="s">
        <v>2375</v>
      </c>
      <c r="G15" s="2869"/>
      <c r="H15" s="2844"/>
      <c r="I15" s="2845"/>
      <c r="J15" s="3755">
        <v>2</v>
      </c>
      <c r="K15" s="3756" t="s">
        <v>2376</v>
      </c>
      <c r="L15" s="2879" t="s">
        <v>2377</v>
      </c>
      <c r="M15" s="2880" t="s">
        <v>2378</v>
      </c>
      <c r="N15" s="2880" t="s">
        <v>2379</v>
      </c>
      <c r="O15" s="2881" t="s">
        <v>2380</v>
      </c>
      <c r="P15" s="2881" t="s">
        <v>2342</v>
      </c>
      <c r="Q15" s="2856" t="s">
        <v>2381</v>
      </c>
      <c r="R15" s="2903" t="s">
        <v>2343</v>
      </c>
      <c r="S15" s="2837"/>
      <c r="T15" s="2837"/>
      <c r="U15" s="2837"/>
      <c r="V15" s="2845"/>
    </row>
    <row r="16" spans="1:22" s="2849" customFormat="1" ht="13.15" customHeight="1">
      <c r="A16" s="2892" t="s">
        <v>2382</v>
      </c>
      <c r="B16" s="3761" t="s">
        <v>2383</v>
      </c>
      <c r="C16" s="3762"/>
      <c r="D16" s="2904">
        <f>D6*E16</f>
        <v>0</v>
      </c>
      <c r="E16" s="2905"/>
      <c r="F16" s="2890" t="s">
        <v>2384</v>
      </c>
      <c r="G16" s="2869"/>
      <c r="H16" s="2844"/>
      <c r="I16" s="2845"/>
      <c r="J16" s="3755"/>
      <c r="K16" s="3757"/>
      <c r="L16" s="2879" t="s">
        <v>2385</v>
      </c>
      <c r="M16" s="2880"/>
      <c r="N16" s="2880"/>
      <c r="O16" s="2881"/>
      <c r="P16" s="2882">
        <v>365</v>
      </c>
      <c r="Q16" s="2856"/>
      <c r="R16" s="2903">
        <f>ROUND(M16*N16*O16*P16/10000,0)</f>
        <v>0</v>
      </c>
      <c r="S16" s="2837"/>
      <c r="T16" s="2837"/>
      <c r="U16" s="2837"/>
      <c r="V16" s="2845"/>
    </row>
    <row r="17" spans="1:22" s="2849" customFormat="1" ht="13.15" customHeight="1" thickBot="1">
      <c r="A17" s="2906">
        <v>4</v>
      </c>
      <c r="B17" s="3763" t="s">
        <v>2386</v>
      </c>
      <c r="C17" s="3764"/>
      <c r="D17" s="2907">
        <f>ROUND(D6*E17,0)</f>
        <v>0</v>
      </c>
      <c r="E17" s="2908"/>
      <c r="F17" s="2909" t="s">
        <v>2387</v>
      </c>
      <c r="G17" s="2869"/>
      <c r="H17" s="2844"/>
      <c r="I17" s="2845"/>
      <c r="J17" s="3755"/>
      <c r="K17" s="3757"/>
      <c r="L17" s="2879" t="s">
        <v>2388</v>
      </c>
      <c r="M17" s="2880"/>
      <c r="N17" s="2880"/>
      <c r="O17" s="2881"/>
      <c r="P17" s="2882">
        <v>365</v>
      </c>
      <c r="Q17" s="2856"/>
      <c r="R17" s="2903">
        <f>ROUND(M17*N17*O17*P17/10000,0)</f>
        <v>0</v>
      </c>
      <c r="S17" s="2837"/>
      <c r="T17" s="2837"/>
      <c r="U17" s="2837"/>
      <c r="V17" s="2845"/>
    </row>
    <row r="18" spans="1:22" s="2849" customFormat="1" ht="13.15" customHeight="1" thickBot="1">
      <c r="A18" s="2872" t="s">
        <v>2389</v>
      </c>
      <c r="B18" s="2873"/>
      <c r="C18" s="2873"/>
      <c r="D18" s="2910">
        <f>ROUND(D6*E18,0)</f>
        <v>0</v>
      </c>
      <c r="E18" s="2911"/>
      <c r="F18" s="2912" t="s">
        <v>2390</v>
      </c>
      <c r="G18" s="2869"/>
      <c r="H18" s="2844"/>
      <c r="I18" s="2845"/>
      <c r="J18" s="3755"/>
      <c r="K18" s="3757"/>
      <c r="L18" s="2879" t="s">
        <v>2391</v>
      </c>
      <c r="M18" s="2880"/>
      <c r="N18" s="2880"/>
      <c r="O18" s="2881"/>
      <c r="P18" s="2882">
        <v>365</v>
      </c>
      <c r="Q18" s="2856"/>
      <c r="R18" s="2903">
        <f>ROUND(M18*N18*O18*P18/10000,0)</f>
        <v>0</v>
      </c>
      <c r="S18" s="2837"/>
      <c r="T18" s="2837"/>
      <c r="U18" s="2837"/>
      <c r="V18" s="2845"/>
    </row>
    <row r="19" spans="1:22" s="2849" customFormat="1" ht="13.15" customHeight="1" thickBot="1">
      <c r="A19" s="2913" t="s">
        <v>2392</v>
      </c>
      <c r="B19" s="2867"/>
      <c r="C19" s="2867"/>
      <c r="D19" s="2867"/>
      <c r="E19" s="2867"/>
      <c r="F19" s="2868"/>
      <c r="G19" s="2888"/>
      <c r="H19" s="2844"/>
      <c r="I19" s="2845"/>
      <c r="J19" s="3755"/>
      <c r="K19" s="3758"/>
      <c r="L19" s="2899" t="s">
        <v>2372</v>
      </c>
      <c r="M19" s="2900"/>
      <c r="N19" s="2900">
        <f>SUM(N16:N18)</f>
        <v>0</v>
      </c>
      <c r="O19" s="2901"/>
      <c r="P19" s="2914" t="s">
        <v>2436</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55">
        <v>3</v>
      </c>
      <c r="K20" s="3756" t="s">
        <v>2393</v>
      </c>
      <c r="L20" s="2879" t="s">
        <v>2394</v>
      </c>
      <c r="M20" s="2880" t="s">
        <v>2395</v>
      </c>
      <c r="N20" s="2917" t="s">
        <v>2396</v>
      </c>
      <c r="O20" s="2881" t="s">
        <v>2397</v>
      </c>
      <c r="P20" s="2882" t="s">
        <v>2398</v>
      </c>
      <c r="Q20" s="2856" t="s">
        <v>2399</v>
      </c>
      <c r="R20" s="2903" t="s">
        <v>2400</v>
      </c>
      <c r="S20" s="2918"/>
      <c r="T20" s="2918"/>
      <c r="U20" s="2918"/>
      <c r="V20" s="2845"/>
    </row>
    <row r="21" spans="1:22" s="2849" customFormat="1" ht="13.15" customHeight="1">
      <c r="A21" s="2872"/>
      <c r="B21" s="2873"/>
      <c r="C21" s="2919" t="s">
        <v>2401</v>
      </c>
      <c r="D21" s="2920" t="s">
        <v>2402</v>
      </c>
      <c r="E21" s="2921" t="s">
        <v>2403</v>
      </c>
      <c r="F21" s="2916"/>
      <c r="G21" s="2888"/>
      <c r="H21" s="2844"/>
      <c r="I21" s="2845"/>
      <c r="J21" s="3755"/>
      <c r="K21" s="3757"/>
      <c r="L21" s="2879" t="s">
        <v>2404</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2405</v>
      </c>
      <c r="D22" s="2924" t="s">
        <v>2406</v>
      </c>
      <c r="E22" s="2925" t="s">
        <v>2407</v>
      </c>
      <c r="F22" s="2916"/>
      <c r="G22" s="2926"/>
      <c r="H22" s="2844"/>
      <c r="I22" s="2845"/>
      <c r="J22" s="3755"/>
      <c r="K22" s="3757"/>
      <c r="L22" s="2879" t="s">
        <v>2408</v>
      </c>
      <c r="M22" s="2880"/>
      <c r="N22" s="2880"/>
      <c r="O22" s="2881"/>
      <c r="P22" s="2882">
        <v>365</v>
      </c>
      <c r="Q22" s="2856"/>
      <c r="R22" s="2922">
        <f>ROUND(M22*N22*O22*P22/10000,0)</f>
        <v>0</v>
      </c>
      <c r="S22" s="2918"/>
      <c r="T22" s="2918"/>
      <c r="U22" s="2918"/>
      <c r="V22" s="2845"/>
    </row>
    <row r="23" spans="1:22" s="2849" customFormat="1" ht="13.15" customHeight="1">
      <c r="A23" s="2927">
        <v>1</v>
      </c>
      <c r="B23" s="2928" t="s">
        <v>2409</v>
      </c>
      <c r="C23" s="2929">
        <f>D6</f>
        <v>0</v>
      </c>
      <c r="D23" s="2930">
        <f>C23*(1+D24)</f>
        <v>0</v>
      </c>
      <c r="E23" s="2931">
        <f>D23*(1+E24)</f>
        <v>0</v>
      </c>
      <c r="F23" s="2932"/>
      <c r="G23" s="2933"/>
      <c r="H23" s="2844"/>
      <c r="I23" s="2845"/>
      <c r="J23" s="3755"/>
      <c r="K23" s="3757"/>
      <c r="L23" s="2879" t="s">
        <v>2410</v>
      </c>
      <c r="M23" s="2880"/>
      <c r="N23" s="2880"/>
      <c r="O23" s="2881"/>
      <c r="P23" s="2882">
        <v>365</v>
      </c>
      <c r="Q23" s="2856"/>
      <c r="R23" s="2922">
        <f>ROUND(M23*N23*O23*P23/10000,0)</f>
        <v>0</v>
      </c>
      <c r="S23" s="2837"/>
      <c r="T23" s="2837"/>
      <c r="U23" s="2837"/>
      <c r="V23" s="2845"/>
    </row>
    <row r="24" spans="1:22" s="2849" customFormat="1" ht="13.15" customHeight="1">
      <c r="A24" s="2934"/>
      <c r="B24" s="2935" t="s">
        <v>2411</v>
      </c>
      <c r="C24" s="2936"/>
      <c r="D24" s="2937"/>
      <c r="E24" s="2938"/>
      <c r="F24" s="2939"/>
      <c r="G24" s="2933"/>
      <c r="H24" s="2844"/>
      <c r="I24" s="2845"/>
      <c r="J24" s="3755"/>
      <c r="K24" s="3758"/>
      <c r="L24" s="2899" t="s">
        <v>2372</v>
      </c>
      <c r="M24" s="2900">
        <f>SUM(M21:M23)</f>
        <v>0</v>
      </c>
      <c r="N24" s="2900"/>
      <c r="O24" s="2901"/>
      <c r="P24" s="2914" t="s">
        <v>2436</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2412</v>
      </c>
      <c r="L25" s="2942"/>
      <c r="M25" s="2942"/>
      <c r="N25" s="2942"/>
      <c r="O25" s="2942"/>
      <c r="P25" s="2943"/>
      <c r="Q25" s="2944">
        <v>0</v>
      </c>
      <c r="R25" s="2915">
        <f>ROUND(R14*Q25,0)</f>
        <v>0</v>
      </c>
      <c r="S25" s="2837"/>
      <c r="T25" s="2837"/>
      <c r="U25" s="2837"/>
      <c r="V25" s="2945"/>
    </row>
    <row r="26" spans="1:22" s="2946" customFormat="1" ht="13.15" customHeight="1">
      <c r="A26" s="2927">
        <v>2</v>
      </c>
      <c r="B26" s="2928" t="s">
        <v>2413</v>
      </c>
      <c r="C26" s="2929">
        <f>D7</f>
        <v>0</v>
      </c>
      <c r="D26" s="2930">
        <f>D23*D27</f>
        <v>0</v>
      </c>
      <c r="E26" s="2931">
        <f>E23*E27</f>
        <v>0</v>
      </c>
      <c r="F26" s="2932"/>
      <c r="G26" s="2933"/>
      <c r="H26" s="2844"/>
      <c r="I26" s="2845"/>
      <c r="J26" s="3765">
        <v>5</v>
      </c>
      <c r="K26" s="2947" t="s">
        <v>2414</v>
      </c>
      <c r="L26" s="2948"/>
      <c r="M26" s="2949"/>
      <c r="N26" s="2950" t="s">
        <v>2415</v>
      </c>
      <c r="O26" s="2950" t="s">
        <v>2416</v>
      </c>
      <c r="P26" s="2951" t="s">
        <v>2417</v>
      </c>
      <c r="Q26" s="2951" t="s">
        <v>2418</v>
      </c>
      <c r="R26" s="2854" t="s">
        <v>2343</v>
      </c>
      <c r="S26" s="2952"/>
      <c r="T26" s="2952"/>
      <c r="U26" s="2952"/>
      <c r="V26" s="2945"/>
    </row>
    <row r="27" spans="1:22" s="2849" customFormat="1" ht="13.15" customHeight="1">
      <c r="A27" s="2934"/>
      <c r="B27" s="2935" t="s">
        <v>2419</v>
      </c>
      <c r="C27" s="2953" t="e">
        <f>E7</f>
        <v>#DIV/0!</v>
      </c>
      <c r="D27" s="2937"/>
      <c r="E27" s="2938"/>
      <c r="F27" s="2939"/>
      <c r="G27" s="2933"/>
      <c r="H27" s="2954"/>
      <c r="I27" s="2945"/>
      <c r="J27" s="3766"/>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2420</v>
      </c>
      <c r="F28" s="2939"/>
      <c r="G28" s="2926"/>
      <c r="H28" s="2954"/>
      <c r="I28" s="2945"/>
      <c r="J28" s="2960">
        <v>6</v>
      </c>
      <c r="K28" s="2961" t="s">
        <v>2421</v>
      </c>
      <c r="L28" s="2962" t="s">
        <v>2422</v>
      </c>
      <c r="M28" s="2963"/>
      <c r="N28" s="2962" t="s">
        <v>2423</v>
      </c>
      <c r="O28" s="2964"/>
      <c r="P28" s="2962" t="s">
        <v>2424</v>
      </c>
      <c r="Q28" s="2965">
        <v>1.4999999999999999E-2</v>
      </c>
      <c r="R28" s="2966"/>
      <c r="S28" s="2918"/>
      <c r="T28" s="2918"/>
      <c r="U28" s="2918"/>
      <c r="V28" s="2945"/>
    </row>
    <row r="29" spans="1:22" s="2946" customFormat="1" ht="13.15" customHeight="1">
      <c r="A29" s="2927">
        <v>3</v>
      </c>
      <c r="B29" s="2928" t="s">
        <v>2425</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2419</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2426</v>
      </c>
      <c r="K31" s="2835"/>
      <c r="L31" s="2835"/>
      <c r="M31" s="2835"/>
      <c r="N31" s="2835"/>
      <c r="O31" s="2835"/>
      <c r="P31" s="2835"/>
      <c r="Q31" s="2835"/>
      <c r="R31" s="2836"/>
      <c r="S31" s="2918"/>
      <c r="T31" s="2837"/>
      <c r="U31" s="2837"/>
      <c r="V31" s="2945"/>
    </row>
    <row r="32" spans="1:22" s="2946" customFormat="1" ht="13.15" customHeight="1">
      <c r="A32" s="2927">
        <v>4</v>
      </c>
      <c r="B32" s="2928" t="s">
        <v>2427</v>
      </c>
      <c r="C32" s="2929">
        <f>C23-C26-C29</f>
        <v>0</v>
      </c>
      <c r="D32" s="2930">
        <f>D23-D26-D29</f>
        <v>0</v>
      </c>
      <c r="E32" s="2931">
        <f>E23-E26-E29</f>
        <v>0</v>
      </c>
      <c r="F32" s="2932"/>
      <c r="G32" s="2926"/>
      <c r="H32" s="2844"/>
      <c r="I32" s="2845"/>
      <c r="J32" s="3748" t="s">
        <v>2319</v>
      </c>
      <c r="K32" s="3749"/>
      <c r="L32" s="2846" t="s">
        <v>2320</v>
      </c>
      <c r="M32" s="2846" t="s">
        <v>2321</v>
      </c>
      <c r="N32" s="2846" t="s">
        <v>2322</v>
      </c>
      <c r="O32" s="2846" t="s">
        <v>2323</v>
      </c>
      <c r="P32" s="2846" t="s">
        <v>2324</v>
      </c>
      <c r="Q32" s="2847" t="s">
        <v>2325</v>
      </c>
      <c r="R32" s="2969" t="s">
        <v>2326</v>
      </c>
      <c r="S32" s="2918"/>
      <c r="T32" s="2837"/>
      <c r="U32" s="2837"/>
      <c r="V32" s="2945"/>
    </row>
    <row r="33" spans="1:23" s="2849" customFormat="1" ht="13.15" customHeight="1">
      <c r="A33" s="2927"/>
      <c r="B33" s="2928"/>
      <c r="C33" s="2929"/>
      <c r="D33" s="2970"/>
      <c r="E33" s="2971"/>
      <c r="F33" s="2932"/>
      <c r="G33" s="2926"/>
      <c r="H33" s="2954"/>
      <c r="I33" s="2945"/>
      <c r="J33" s="3750" t="s">
        <v>2329</v>
      </c>
      <c r="K33" s="3751"/>
      <c r="L33" s="2852"/>
      <c r="M33" s="2852"/>
      <c r="N33" s="2852"/>
      <c r="O33" s="2852"/>
      <c r="P33" s="2852"/>
      <c r="Q33" s="2853"/>
      <c r="R33" s="2972">
        <f>SUM(L33:Q33)</f>
        <v>0</v>
      </c>
      <c r="S33" s="2918"/>
      <c r="T33" s="2837"/>
      <c r="U33" s="2837"/>
      <c r="V33" s="2845"/>
    </row>
    <row r="34" spans="1:23" s="2849" customFormat="1" ht="13.15" customHeight="1">
      <c r="A34" s="2927">
        <v>5</v>
      </c>
      <c r="B34" s="2928" t="s">
        <v>2428</v>
      </c>
      <c r="C34" s="2973"/>
      <c r="D34" s="2974"/>
      <c r="E34" s="2975"/>
      <c r="F34" s="2932"/>
      <c r="G34" s="2926"/>
      <c r="H34" s="2954"/>
      <c r="I34" s="2945"/>
      <c r="J34" s="3750" t="s">
        <v>2331</v>
      </c>
      <c r="K34" s="3751"/>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2429</v>
      </c>
      <c r="C35" s="2977"/>
      <c r="D35" s="2978"/>
      <c r="E35" s="2979"/>
      <c r="F35" s="2932"/>
      <c r="G35" s="2980"/>
      <c r="H35" s="2844"/>
      <c r="I35" s="2945"/>
      <c r="J35" s="2863" t="s">
        <v>2333</v>
      </c>
      <c r="K35" s="2864"/>
      <c r="L35" s="2864"/>
      <c r="M35" s="2865"/>
      <c r="N35" s="2865"/>
      <c r="O35" s="2865"/>
      <c r="P35" s="2865"/>
      <c r="Q35" s="2865"/>
      <c r="R35" s="2981">
        <f>R40+R41+R43</f>
        <v>0</v>
      </c>
      <c r="S35" s="2918"/>
      <c r="T35" s="2837" t="s">
        <v>2334</v>
      </c>
      <c r="U35" s="2837"/>
      <c r="V35" s="2845"/>
    </row>
    <row r="36" spans="1:23" s="2849" customFormat="1" ht="13.15" customHeight="1" thickBot="1">
      <c r="A36" s="2927">
        <v>7</v>
      </c>
      <c r="B36" s="2982" t="s">
        <v>2430</v>
      </c>
      <c r="C36" s="2983"/>
      <c r="D36" s="2984"/>
      <c r="E36" s="2985"/>
      <c r="F36" s="2986">
        <f>C36+D36+E36</f>
        <v>0</v>
      </c>
      <c r="G36" s="2926"/>
      <c r="H36" s="2844"/>
      <c r="I36" s="2845"/>
      <c r="J36" s="3755">
        <v>1</v>
      </c>
      <c r="K36" s="3756" t="s">
        <v>2431</v>
      </c>
      <c r="L36" s="2870"/>
      <c r="M36" s="2871"/>
      <c r="N36" s="2871"/>
      <c r="O36" s="2871"/>
      <c r="P36" s="2871"/>
      <c r="Q36" s="2871"/>
      <c r="R36" s="2854" t="s">
        <v>2343</v>
      </c>
      <c r="S36" s="2918"/>
      <c r="T36" s="2837" t="s">
        <v>2344</v>
      </c>
      <c r="U36" s="2837"/>
      <c r="V36" s="2845"/>
    </row>
    <row r="37" spans="1:23" s="2849" customFormat="1" ht="13.15" customHeight="1">
      <c r="A37" s="2927"/>
      <c r="B37" s="2928"/>
      <c r="C37" s="2928"/>
      <c r="D37" s="2928"/>
      <c r="E37" s="2928"/>
      <c r="F37" s="2932"/>
      <c r="G37" s="2926"/>
      <c r="H37" s="2844"/>
      <c r="I37" s="2845"/>
      <c r="J37" s="3755"/>
      <c r="K37" s="3757"/>
      <c r="L37" s="2879"/>
      <c r="M37" s="2880"/>
      <c r="N37" s="2856"/>
      <c r="O37" s="2881"/>
      <c r="P37" s="2881"/>
      <c r="Q37" s="2882"/>
      <c r="R37" s="2883"/>
      <c r="S37" s="2918"/>
      <c r="T37" s="2837" t="s">
        <v>2347</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55"/>
      <c r="K38" s="3757"/>
      <c r="L38" s="2879"/>
      <c r="M38" s="2880"/>
      <c r="N38" s="2856"/>
      <c r="O38" s="2881"/>
      <c r="P38" s="2881"/>
      <c r="Q38" s="2882"/>
      <c r="R38" s="2883"/>
      <c r="S38" s="2918"/>
      <c r="T38" s="2837" t="s">
        <v>2354</v>
      </c>
      <c r="U38" s="2837"/>
      <c r="V38" s="2845"/>
    </row>
    <row r="39" spans="1:23" s="2849" customFormat="1" ht="13.15" customHeight="1">
      <c r="A39" s="2927">
        <v>9</v>
      </c>
      <c r="B39" s="2928" t="s">
        <v>2432</v>
      </c>
      <c r="C39" s="2893" t="e">
        <f>C38</f>
        <v>#DIV/0!</v>
      </c>
      <c r="D39" s="2928">
        <f>D38/(1+D34)^C36</f>
        <v>0</v>
      </c>
      <c r="E39" s="2928">
        <f>E38/(1+E34)^(C36+D36)</f>
        <v>0</v>
      </c>
      <c r="F39" s="2932"/>
      <c r="G39" s="2987"/>
      <c r="H39" s="2844"/>
      <c r="I39" s="2845"/>
      <c r="J39" s="3755"/>
      <c r="K39" s="3757"/>
      <c r="L39" s="2879"/>
      <c r="M39" s="2880"/>
      <c r="N39" s="2856"/>
      <c r="O39" s="2881"/>
      <c r="P39" s="2881"/>
      <c r="Q39" s="2882"/>
      <c r="R39" s="2883"/>
      <c r="S39" s="2918"/>
      <c r="T39" s="2837"/>
      <c r="U39" s="2837"/>
      <c r="V39" s="2845"/>
    </row>
    <row r="40" spans="1:23" s="2849" customFormat="1" ht="13.15" customHeight="1">
      <c r="A40" s="2988">
        <v>10</v>
      </c>
      <c r="B40" s="2928" t="s">
        <v>2433</v>
      </c>
      <c r="C40" s="2989" t="e">
        <f>C39+D39+E39</f>
        <v>#DIV/0!</v>
      </c>
      <c r="D40" s="2990"/>
      <c r="E40" s="2990"/>
      <c r="F40" s="2991"/>
      <c r="G40" s="2926"/>
      <c r="H40" s="2844"/>
      <c r="I40" s="2845"/>
      <c r="J40" s="3755"/>
      <c r="K40" s="3758"/>
      <c r="L40" s="2899" t="s">
        <v>2372</v>
      </c>
      <c r="M40" s="2900"/>
      <c r="N40" s="2900"/>
      <c r="O40" s="2901"/>
      <c r="P40" s="2901"/>
      <c r="Q40" s="2902"/>
      <c r="R40" s="2848">
        <f>SUM(R37:R39)</f>
        <v>0</v>
      </c>
      <c r="S40" s="2918"/>
      <c r="T40" s="2837"/>
      <c r="U40" s="2837"/>
      <c r="V40" s="2845"/>
    </row>
    <row r="41" spans="1:23" s="2849" customFormat="1" ht="13.15" customHeight="1" thickBot="1">
      <c r="A41" s="2992">
        <v>11</v>
      </c>
      <c r="B41" s="2993" t="s">
        <v>2434</v>
      </c>
      <c r="C41" s="2993" t="e">
        <f>ROUND(C40*10000/B4,0)</f>
        <v>#DIV/0!</v>
      </c>
      <c r="D41" s="2994"/>
      <c r="E41" s="2994"/>
      <c r="F41" s="2995"/>
      <c r="G41" s="2996"/>
      <c r="H41" s="2844"/>
      <c r="I41" s="2845"/>
      <c r="J41" s="2940">
        <v>2</v>
      </c>
      <c r="K41" s="2941" t="s">
        <v>2412</v>
      </c>
      <c r="L41" s="2942"/>
      <c r="M41" s="2942"/>
      <c r="N41" s="2942"/>
      <c r="O41" s="2942"/>
      <c r="P41" s="2943"/>
      <c r="Q41" s="2944"/>
      <c r="R41" s="2915">
        <f>ROUND(R40*Q41,0)</f>
        <v>0</v>
      </c>
      <c r="S41" s="2918"/>
      <c r="T41" s="2837"/>
      <c r="U41" s="2952"/>
      <c r="V41" s="2845"/>
    </row>
    <row r="42" spans="1:23" s="2849" customFormat="1" ht="13.15" customHeight="1">
      <c r="G42" s="2996"/>
      <c r="H42" s="2844"/>
      <c r="I42" s="2845"/>
      <c r="J42" s="3765">
        <v>3</v>
      </c>
      <c r="K42" s="2947" t="s">
        <v>2414</v>
      </c>
      <c r="L42" s="2948"/>
      <c r="M42" s="2949"/>
      <c r="N42" s="2950" t="s">
        <v>2415</v>
      </c>
      <c r="O42" s="2950" t="s">
        <v>2416</v>
      </c>
      <c r="P42" s="2951" t="s">
        <v>2417</v>
      </c>
      <c r="Q42" s="2951" t="s">
        <v>2418</v>
      </c>
      <c r="R42" s="2854" t="s">
        <v>2343</v>
      </c>
      <c r="S42" s="2952"/>
      <c r="T42" s="2952"/>
      <c r="U42" s="2837"/>
      <c r="V42" s="2845"/>
    </row>
    <row r="43" spans="1:23" ht="13.15" customHeight="1">
      <c r="A43" s="2849"/>
      <c r="B43" s="2849"/>
      <c r="C43" s="2849"/>
      <c r="D43" s="2849"/>
      <c r="E43" s="2849"/>
      <c r="F43" s="2849"/>
      <c r="I43" s="2832"/>
      <c r="J43" s="3766"/>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2421</v>
      </c>
      <c r="L44" s="3000" t="s">
        <v>2422</v>
      </c>
      <c r="M44" s="2963"/>
      <c r="N44" s="3000" t="s">
        <v>2423</v>
      </c>
      <c r="O44" s="2963"/>
      <c r="P44" s="3000" t="s">
        <v>2424</v>
      </c>
      <c r="Q44" s="2965">
        <v>1.4999999999999999E-2</v>
      </c>
      <c r="R44" s="29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28" sqref="J28"/>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1658</v>
      </c>
      <c r="B1" s="1864"/>
      <c r="C1" s="1864"/>
      <c r="D1" s="1864"/>
      <c r="E1" s="1865"/>
      <c r="F1" s="2703"/>
      <c r="G1" s="1485"/>
      <c r="H1" s="1485"/>
      <c r="I1" s="1485"/>
      <c r="J1" s="1485"/>
      <c r="K1" s="1485"/>
      <c r="L1" s="1485"/>
      <c r="M1" s="1485"/>
      <c r="N1" s="1485"/>
      <c r="O1" s="1485"/>
      <c r="P1" s="1485"/>
      <c r="Q1" s="1485"/>
      <c r="R1" s="1485"/>
      <c r="S1" s="1485"/>
    </row>
    <row r="2" spans="1:22" ht="15.75">
      <c r="A2" s="1866" t="s">
        <v>1462</v>
      </c>
      <c r="B2" s="1867">
        <f ca="1">SUMIF(B6:B13,"&lt;&gt;#ref!",B6:B13)</f>
        <v>-9175</v>
      </c>
      <c r="C2" s="1868" t="s">
        <v>1651</v>
      </c>
      <c r="D2" s="1869" t="s">
        <v>1652</v>
      </c>
      <c r="E2" s="2603">
        <f>SUM(E6:E13)</f>
        <v>47901.880000000012</v>
      </c>
      <c r="F2" s="2703"/>
      <c r="G2" s="1485"/>
      <c r="H2" s="1485"/>
      <c r="I2" s="1485"/>
      <c r="J2" s="1485"/>
      <c r="K2" s="1485"/>
      <c r="L2" s="1485"/>
      <c r="M2" s="1485"/>
      <c r="N2" s="1485"/>
      <c r="O2" s="1485"/>
      <c r="P2" s="1485"/>
      <c r="Q2" s="1485"/>
      <c r="R2" s="1485"/>
      <c r="S2" s="1485"/>
    </row>
    <row r="3" spans="1:22" ht="15.75">
      <c r="A3" s="1866" t="s">
        <v>686</v>
      </c>
      <c r="B3" s="2597">
        <f ca="1">ROUND(B2*10000/E2,0)</f>
        <v>-1915</v>
      </c>
      <c r="C3" s="1868" t="s">
        <v>1659</v>
      </c>
      <c r="D3" s="2705"/>
      <c r="E3" s="2707"/>
      <c r="F3" s="2703"/>
      <c r="G3" s="1485"/>
      <c r="H3" s="1485"/>
      <c r="I3" s="1485"/>
      <c r="J3" s="1485"/>
      <c r="K3" s="1485"/>
      <c r="L3" s="1485"/>
      <c r="M3" s="1485"/>
      <c r="N3" s="1485"/>
      <c r="O3" s="1485"/>
      <c r="P3" s="1485"/>
      <c r="Q3" s="1485"/>
      <c r="R3" s="1485"/>
      <c r="S3" s="1485"/>
    </row>
    <row r="4" spans="1:22" ht="15.75">
      <c r="A4" s="2708"/>
      <c r="B4" s="2705"/>
      <c r="C4" s="2705"/>
      <c r="D4" s="2705"/>
      <c r="E4" s="2707"/>
      <c r="F4" s="2703"/>
      <c r="G4" s="1485"/>
      <c r="H4" s="1485"/>
      <c r="I4" s="1485"/>
      <c r="J4" s="1485"/>
      <c r="K4" s="1485"/>
      <c r="L4" s="1485"/>
      <c r="M4" s="1485"/>
      <c r="N4" s="1485"/>
      <c r="O4" s="1485"/>
      <c r="P4" s="1485"/>
      <c r="Q4" s="1485"/>
      <c r="R4" s="1485"/>
      <c r="S4" s="1485"/>
    </row>
    <row r="5" spans="1:22" ht="15">
      <c r="A5" s="2599" t="s">
        <v>1653</v>
      </c>
      <c r="B5" s="3767" t="s">
        <v>1654</v>
      </c>
      <c r="C5" s="3768"/>
      <c r="D5" s="2704"/>
      <c r="E5" s="1870" t="s">
        <v>1655</v>
      </c>
      <c r="F5" s="1871" t="s">
        <v>1656</v>
      </c>
      <c r="G5" s="1485"/>
      <c r="H5" s="1485"/>
      <c r="I5" s="1485"/>
      <c r="J5" s="1485"/>
      <c r="K5" s="1485"/>
      <c r="L5" s="1485"/>
      <c r="M5" s="1485"/>
      <c r="N5" s="1485"/>
      <c r="O5" s="1485"/>
      <c r="P5" s="1485"/>
      <c r="Q5" s="1485"/>
      <c r="R5" s="1485"/>
      <c r="S5" s="1485"/>
    </row>
    <row r="6" spans="1:22">
      <c r="A6" s="2600">
        <f>'数据-取费表'!AN6</f>
        <v>0</v>
      </c>
      <c r="B6" s="2598" t="e">
        <f ca="1">IF(F6="是",'数据-取费表'!AO6,0)</f>
        <v>#REF!</v>
      </c>
      <c r="C6" s="1868" t="s">
        <v>1651</v>
      </c>
      <c r="D6" s="2705"/>
      <c r="E6" s="2602">
        <f>IF(OR(A6=0,F6="否"),0,'数据-取费表'!K6+'数据-取费表'!S6)</f>
        <v>0</v>
      </c>
      <c r="F6" s="1872" t="s">
        <v>1657</v>
      </c>
      <c r="G6" s="1485"/>
      <c r="H6" s="1485"/>
      <c r="I6" s="1485"/>
      <c r="J6" s="1485"/>
      <c r="K6" s="1485"/>
      <c r="L6" s="1485"/>
      <c r="M6" s="1485"/>
      <c r="N6" s="1485"/>
      <c r="O6" s="1485"/>
      <c r="P6" s="1485"/>
      <c r="Q6" s="1485"/>
      <c r="R6" s="1485"/>
      <c r="S6" s="1485"/>
    </row>
    <row r="7" spans="1:22">
      <c r="A7" s="2600">
        <f>'数据-取费表'!AN7</f>
        <v>0</v>
      </c>
      <c r="B7" s="2598" t="e">
        <f ca="1">IF(F7="是",'数据-取费表'!AO7,0)</f>
        <v>#REF!</v>
      </c>
      <c r="C7" s="1868" t="s">
        <v>1651</v>
      </c>
      <c r="D7" s="2705"/>
      <c r="E7" s="2602">
        <f>IF(OR(A7=0,F7="否"),0,'数据-取费表'!K7+'数据-取费表'!S7)</f>
        <v>0</v>
      </c>
      <c r="F7" s="1872" t="s">
        <v>1657</v>
      </c>
      <c r="G7" s="1485"/>
      <c r="H7" s="1485"/>
      <c r="I7" s="1485"/>
      <c r="J7" s="1485"/>
      <c r="K7" s="1485"/>
      <c r="L7" s="1485"/>
      <c r="M7" s="1485"/>
      <c r="N7" s="1485"/>
      <c r="O7" s="1485"/>
      <c r="P7" s="1485"/>
      <c r="Q7" s="1485"/>
      <c r="R7" s="1485"/>
      <c r="S7" s="1485"/>
    </row>
    <row r="8" spans="1:22">
      <c r="A8" s="2600">
        <f>'数据-取费表'!AN8</f>
        <v>0</v>
      </c>
      <c r="B8" s="2598" t="e">
        <f ca="1">IF(F8="是",'数据-取费表'!AO8,0)</f>
        <v>#REF!</v>
      </c>
      <c r="C8" s="1868" t="s">
        <v>1651</v>
      </c>
      <c r="D8" s="2705"/>
      <c r="E8" s="2602">
        <f>IF(OR(A8=0,F8="否"),0,'数据-取费表'!K8+'数据-取费表'!S8)</f>
        <v>0</v>
      </c>
      <c r="F8" s="1872" t="s">
        <v>1657</v>
      </c>
      <c r="G8" s="1485"/>
      <c r="H8" s="1485"/>
      <c r="I8" s="1485"/>
      <c r="J8" s="1485"/>
      <c r="K8" s="1485"/>
      <c r="L8" s="1485"/>
      <c r="M8" s="1485"/>
      <c r="N8" s="1485"/>
      <c r="O8" s="1485"/>
      <c r="P8" s="1485"/>
      <c r="Q8" s="1485"/>
      <c r="R8" s="1485"/>
      <c r="S8" s="1485"/>
    </row>
    <row r="9" spans="1:22">
      <c r="A9" s="2600" t="str">
        <f>'数据-取费表'!AN9</f>
        <v>收益法</v>
      </c>
      <c r="B9" s="2598">
        <f ca="1">IF(F9="是",'数据-取费表'!AO9,0)</f>
        <v>-9175</v>
      </c>
      <c r="C9" s="1868" t="s">
        <v>1651</v>
      </c>
      <c r="D9" s="2705"/>
      <c r="E9" s="2602">
        <f>IF(OR(A9=0,F9="否"),0,'数据-取费表'!K9+'数据-取费表'!S9)</f>
        <v>47901.880000000012</v>
      </c>
      <c r="F9" s="1872" t="s">
        <v>1657</v>
      </c>
      <c r="G9" s="1485"/>
      <c r="H9" s="1485"/>
      <c r="I9" s="1485"/>
      <c r="J9" s="1485"/>
      <c r="K9" s="1485"/>
      <c r="L9" s="1485"/>
      <c r="M9" s="1485"/>
      <c r="N9" s="1485"/>
      <c r="O9" s="1485"/>
      <c r="P9" s="1485"/>
      <c r="Q9" s="1485"/>
      <c r="R9" s="1485"/>
      <c r="S9" s="1485"/>
    </row>
    <row r="10" spans="1:22">
      <c r="A10" s="2600">
        <f>'数据-取费表'!AN10</f>
        <v>0</v>
      </c>
      <c r="B10" s="2598" t="e">
        <f ca="1">IF(F10="是",'数据-取费表'!AO10,0)</f>
        <v>#REF!</v>
      </c>
      <c r="C10" s="1868" t="s">
        <v>1651</v>
      </c>
      <c r="D10" s="2705"/>
      <c r="E10" s="2602">
        <f>IF(OR(A10=0,F10="否"),0,'数据-取费表'!K10+'数据-取费表'!S10)</f>
        <v>0</v>
      </c>
      <c r="F10" s="1872" t="s">
        <v>1657</v>
      </c>
      <c r="G10" s="1485"/>
      <c r="H10" s="1485"/>
      <c r="I10" s="1485"/>
      <c r="J10" s="1485"/>
      <c r="K10" s="1485"/>
      <c r="L10" s="1485"/>
      <c r="M10" s="1485"/>
      <c r="N10" s="1485"/>
      <c r="O10" s="1485"/>
      <c r="P10" s="1485"/>
      <c r="Q10" s="1485"/>
      <c r="R10" s="1485"/>
      <c r="S10" s="1485"/>
    </row>
    <row r="11" spans="1:22">
      <c r="A11" s="2600">
        <f>'数据-取费表'!AN11</f>
        <v>0</v>
      </c>
      <c r="B11" s="2598" t="e">
        <f ca="1">IF(F11="是",'数据-取费表'!AO11,0)</f>
        <v>#REF!</v>
      </c>
      <c r="C11" s="1868" t="s">
        <v>1651</v>
      </c>
      <c r="D11" s="2705"/>
      <c r="E11" s="2602">
        <f>IF(OR(A11=0,F11="否"),0,'数据-取费表'!K11+'数据-取费表'!S11)</f>
        <v>0</v>
      </c>
      <c r="F11" s="1872" t="s">
        <v>1657</v>
      </c>
      <c r="G11" s="1485"/>
      <c r="H11" s="1485"/>
      <c r="I11" s="1485"/>
      <c r="J11" s="1485"/>
      <c r="K11" s="1485"/>
      <c r="L11" s="1485"/>
      <c r="M11" s="1485"/>
      <c r="N11" s="1485"/>
      <c r="O11" s="1485"/>
      <c r="P11" s="1485"/>
      <c r="Q11" s="1485"/>
      <c r="R11" s="1485"/>
      <c r="S11" s="1485"/>
    </row>
    <row r="12" spans="1:22">
      <c r="A12" s="2600">
        <f>'数据-取费表'!AN12</f>
        <v>0</v>
      </c>
      <c r="B12" s="2598" t="e">
        <f ca="1">IF(F12="是",'数据-取费表'!AO12,0)</f>
        <v>#REF!</v>
      </c>
      <c r="C12" s="1868" t="s">
        <v>1651</v>
      </c>
      <c r="D12" s="2705"/>
      <c r="E12" s="2602">
        <f>IF(OR(A12=0,F12="否"),0,'数据-取费表'!K12+'数据-取费表'!S12)</f>
        <v>0</v>
      </c>
      <c r="F12" s="1872" t="s">
        <v>1657</v>
      </c>
      <c r="G12" s="1485"/>
      <c r="H12" s="1485"/>
      <c r="I12" s="1485"/>
      <c r="J12" s="1485"/>
      <c r="K12" s="1485"/>
      <c r="L12" s="1485"/>
      <c r="M12" s="1485"/>
      <c r="N12" s="1485"/>
      <c r="O12" s="1485"/>
      <c r="P12" s="1485"/>
      <c r="Q12" s="1485"/>
      <c r="R12" s="1485"/>
      <c r="S12" s="1485"/>
    </row>
    <row r="13" spans="1:22" ht="15" thickBot="1">
      <c r="A13" s="2601">
        <f>'数据-取费表'!AN13</f>
        <v>0</v>
      </c>
      <c r="B13" s="2598" t="e">
        <f ca="1">IF(F13="是",'数据-取费表'!AO13,0)</f>
        <v>#REF!</v>
      </c>
      <c r="C13" s="1873" t="s">
        <v>1651</v>
      </c>
      <c r="D13" s="2706"/>
      <c r="E13" s="2602">
        <f>IF(OR(A13=0,F13="否"),0,'数据-取费表'!K13+'数据-取费表'!S13)</f>
        <v>0</v>
      </c>
      <c r="F13" s="1872" t="s">
        <v>1657</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874" t="s">
        <v>1661</v>
      </c>
      <c r="C1" s="1234" t="s">
        <v>1662</v>
      </c>
      <c r="D1" s="1221"/>
      <c r="E1" s="3422"/>
      <c r="F1" s="1875"/>
      <c r="G1" s="1231" t="s">
        <v>1663</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7" customFormat="1" ht="28.5" customHeight="1" thickTop="1">
      <c r="A2" s="1217" t="s">
        <v>685</v>
      </c>
      <c r="B2" s="3423" t="b">
        <f>IF(E1="项目模式",IF(C2="——",ROUND(C49*D3/10000,0),ROUND(C49*D3/10000,0)-D2),IF(E1="单套模式",IF(C2="——",ROUND(C49*D3/10000,4),ROUND(C49*D3/10000,4)-D2)))</f>
        <v>0</v>
      </c>
      <c r="C2" s="1877"/>
      <c r="D2" s="1112" t="e">
        <f ca="1">IF(E1="项目模式",SUMIF(INDIRECT("'"&amp;F2&amp;"'"&amp;"!A:A"),"承租人权益价值",INDIRECT("'"&amp;F2&amp;"'"&amp;"!c:c")),SUMIF(INDIRECT("'"&amp;F2&amp;"'"&amp;"!A:A"),"承租人权益价值（单套）",INDIRECT("'"&amp;F2&amp;"'"&amp;"!c:c")))</f>
        <v>#REF!</v>
      </c>
      <c r="E2" s="1878" t="s">
        <v>1664</v>
      </c>
      <c r="F2" s="1879"/>
      <c r="G2" s="904"/>
      <c r="H2" s="904"/>
      <c r="I2" s="904"/>
      <c r="J2" s="904"/>
      <c r="K2" s="1880"/>
      <c r="L2" s="2709"/>
      <c r="M2" s="2710"/>
      <c r="N2" s="2710"/>
      <c r="O2" s="2710"/>
      <c r="P2" s="1881"/>
      <c r="Q2" s="1882"/>
      <c r="R2" s="1882"/>
      <c r="S2" s="1882"/>
      <c r="T2" s="1882"/>
      <c r="U2" s="1882"/>
      <c r="V2" s="1882"/>
      <c r="W2" s="1882"/>
      <c r="X2" s="1882"/>
      <c r="Y2" s="1882"/>
      <c r="Z2" s="1882"/>
      <c r="AA2" s="1882"/>
      <c r="AB2" s="1882"/>
      <c r="AC2" s="1883"/>
    </row>
    <row r="3" spans="1:29" s="347" customFormat="1" ht="28.5" customHeight="1" thickBot="1">
      <c r="A3" s="203" t="s">
        <v>686</v>
      </c>
      <c r="B3" s="353">
        <f>IF(C2="——",C49,ROUND(B2*10000/D3,0))</f>
        <v>0</v>
      </c>
      <c r="C3" s="354" t="s">
        <v>1665</v>
      </c>
      <c r="D3" s="353">
        <f>IF(D1="",'数据-汇总表'!E3,SUMIF('数据-汇总表'!$C19:$C33,D1,'数据-汇总表'!$E19:$E33))</f>
        <v>226846.22999999989</v>
      </c>
      <c r="E3" s="904"/>
      <c r="F3" s="1884"/>
      <c r="G3" s="904"/>
      <c r="H3" s="904"/>
      <c r="I3" s="904"/>
      <c r="J3" s="904"/>
      <c r="K3" s="1880"/>
      <c r="L3" s="2709"/>
      <c r="M3" s="2710"/>
      <c r="N3" s="2710"/>
      <c r="O3" s="2710"/>
      <c r="P3" s="1881"/>
      <c r="Q3" s="1882"/>
      <c r="R3" s="1882"/>
      <c r="S3" s="1882"/>
      <c r="T3" s="1882"/>
      <c r="U3" s="1882"/>
      <c r="V3" s="1882"/>
      <c r="W3" s="1882"/>
      <c r="X3" s="1882"/>
      <c r="Y3" s="1882"/>
      <c r="Z3" s="1882"/>
      <c r="AA3" s="1882"/>
      <c r="AB3" s="1882"/>
      <c r="AC3" s="1058"/>
    </row>
    <row r="4" spans="1:29" ht="15">
      <c r="A4" s="355" t="s">
        <v>1666</v>
      </c>
      <c r="B4" s="356"/>
      <c r="C4" s="3719" t="s">
        <v>1667</v>
      </c>
      <c r="D4" s="3720"/>
      <c r="E4" s="3721" t="s">
        <v>1668</v>
      </c>
      <c r="F4" s="3722"/>
      <c r="G4" s="3719" t="s">
        <v>1669</v>
      </c>
      <c r="H4" s="3720"/>
      <c r="I4" s="3719" t="s">
        <v>1670</v>
      </c>
      <c r="J4" s="3720"/>
      <c r="K4" s="1885" t="s">
        <v>1671</v>
      </c>
      <c r="L4" s="2711"/>
      <c r="M4" s="2712"/>
      <c r="N4" s="2712"/>
      <c r="O4" s="2712"/>
      <c r="P4" s="3723" t="s">
        <v>1672</v>
      </c>
      <c r="Q4" s="3724"/>
      <c r="R4" s="3706" t="s">
        <v>1668</v>
      </c>
      <c r="S4" s="3707"/>
      <c r="T4" s="3706" t="s">
        <v>1669</v>
      </c>
      <c r="U4" s="3707"/>
      <c r="V4" s="3731" t="s">
        <v>1670</v>
      </c>
      <c r="W4" s="3731"/>
      <c r="X4" s="1351"/>
      <c r="Y4" s="3706" t="s">
        <v>1672</v>
      </c>
      <c r="Z4" s="3707"/>
      <c r="AA4" s="3701" t="s">
        <v>1668</v>
      </c>
      <c r="AB4" s="3701" t="s">
        <v>1669</v>
      </c>
      <c r="AC4" s="3701" t="s">
        <v>1670</v>
      </c>
    </row>
    <row r="5" spans="1:29" ht="15">
      <c r="A5" s="358"/>
      <c r="B5" s="359"/>
      <c r="C5" s="3712" t="s">
        <v>1673</v>
      </c>
      <c r="D5" s="3713"/>
      <c r="E5" s="3710" t="s">
        <v>1674</v>
      </c>
      <c r="F5" s="3711"/>
      <c r="G5" s="3712" t="s">
        <v>1675</v>
      </c>
      <c r="H5" s="3713"/>
      <c r="I5" s="3712" t="s">
        <v>1676</v>
      </c>
      <c r="J5" s="3713"/>
      <c r="K5" s="1886"/>
      <c r="L5" s="2711"/>
      <c r="M5" s="2712"/>
      <c r="N5" s="2712"/>
      <c r="O5" s="2712"/>
      <c r="P5" s="3725"/>
      <c r="Q5" s="3726"/>
      <c r="R5" s="3708"/>
      <c r="S5" s="3709"/>
      <c r="T5" s="3708"/>
      <c r="U5" s="3709"/>
      <c r="V5" s="3731"/>
      <c r="W5" s="3731"/>
      <c r="X5" s="1351"/>
      <c r="Y5" s="3708"/>
      <c r="Z5" s="3709"/>
      <c r="AA5" s="3702"/>
      <c r="AB5" s="3702"/>
      <c r="AC5" s="3702"/>
    </row>
    <row r="6" spans="1:29" ht="15.75" thickBot="1">
      <c r="A6" s="360"/>
      <c r="B6" s="361"/>
      <c r="C6" s="3714" t="s">
        <v>1677</v>
      </c>
      <c r="D6" s="3715"/>
      <c r="E6" s="3716" t="s">
        <v>1677</v>
      </c>
      <c r="F6" s="3717"/>
      <c r="G6" s="3714" t="s">
        <v>1677</v>
      </c>
      <c r="H6" s="3715"/>
      <c r="I6" s="3714" t="s">
        <v>1677</v>
      </c>
      <c r="J6" s="3715"/>
      <c r="K6" s="1886" t="s">
        <v>1678</v>
      </c>
      <c r="L6" s="2711"/>
      <c r="M6" s="2712"/>
      <c r="N6" s="2712"/>
      <c r="O6" s="2712"/>
      <c r="P6" s="3727"/>
      <c r="Q6" s="3728"/>
      <c r="R6" s="3708"/>
      <c r="S6" s="3709"/>
      <c r="T6" s="3729"/>
      <c r="U6" s="3730"/>
      <c r="V6" s="3731"/>
      <c r="W6" s="3731"/>
      <c r="X6" s="1351"/>
      <c r="Y6" s="3729"/>
      <c r="Z6" s="3730"/>
      <c r="AA6" s="3703"/>
      <c r="AB6" s="3703"/>
      <c r="AC6" s="3703"/>
    </row>
    <row r="7" spans="1:29" s="108" customFormat="1" ht="15.75" thickBot="1">
      <c r="A7" s="362" t="s">
        <v>1679</v>
      </c>
      <c r="B7" s="363"/>
      <c r="C7" s="364">
        <f>'数据-取费表'!B2</f>
        <v>45005</v>
      </c>
      <c r="D7" s="365">
        <v>100</v>
      </c>
      <c r="E7" s="366"/>
      <c r="F7" s="367">
        <f>SUMIF(58:58,YEAR(E7)&amp;"-"&amp;MONTH(E7),59:59)</f>
        <v>0</v>
      </c>
      <c r="G7" s="366"/>
      <c r="H7" s="365">
        <f>SUMIF(58:58,YEAR(G7)&amp;"-"&amp;MONTH(G7),59:59)</f>
        <v>0</v>
      </c>
      <c r="I7" s="366"/>
      <c r="J7" s="365">
        <f>SUMIF(58:58,YEAR(I7)&amp;"-"&amp;MONTH(I7),59:59)</f>
        <v>0</v>
      </c>
      <c r="K7" s="1887"/>
      <c r="L7" s="2713"/>
      <c r="M7" s="2714"/>
      <c r="N7" s="2714"/>
      <c r="O7" s="2714"/>
      <c r="P7" s="3704" t="s">
        <v>1680</v>
      </c>
      <c r="Q7" s="3732"/>
      <c r="R7" s="701" t="s">
        <v>20</v>
      </c>
      <c r="S7" s="702">
        <f t="shared" ref="S7:S15" si="0">F7</f>
        <v>0</v>
      </c>
      <c r="T7" s="701" t="s">
        <v>20</v>
      </c>
      <c r="U7" s="702">
        <f t="shared" ref="U7:U15" si="1">H7</f>
        <v>0</v>
      </c>
      <c r="V7" s="701" t="s">
        <v>20</v>
      </c>
      <c r="W7" s="702">
        <f t="shared" ref="W7:W15" si="2">J7</f>
        <v>0</v>
      </c>
      <c r="X7" s="703"/>
      <c r="Y7" s="3704" t="s">
        <v>1680</v>
      </c>
      <c r="Z7" s="3705"/>
      <c r="AA7" s="704" t="e">
        <f>D7/F7</f>
        <v>#DIV/0!</v>
      </c>
      <c r="AB7" s="704" t="e">
        <f>D7/H7</f>
        <v>#DIV/0!</v>
      </c>
      <c r="AC7" s="704" t="e">
        <f>D7/J7</f>
        <v>#DIV/0!</v>
      </c>
    </row>
    <row r="8" spans="1:29" s="108" customFormat="1" ht="15.75" thickBot="1">
      <c r="A8" s="362" t="s">
        <v>1681</v>
      </c>
      <c r="B8" s="363"/>
      <c r="C8" s="368"/>
      <c r="D8" s="365">
        <v>100</v>
      </c>
      <c r="E8" s="1888"/>
      <c r="F8" s="367">
        <f>SUMIF(61:61,E8,62:62)-SUMIF(61:61,C8,62:62)+100</f>
        <v>100</v>
      </c>
      <c r="G8" s="368"/>
      <c r="H8" s="365">
        <f>SUMIF(61:61,G8,62:62)-SUMIF(61:61,C8,62:62)+100</f>
        <v>100</v>
      </c>
      <c r="I8" s="1888"/>
      <c r="J8" s="365">
        <f>SUMIF(61:61,I8,62:62)-SUMIF(61:61,C8,62:62)+100</f>
        <v>100</v>
      </c>
      <c r="K8" s="1887"/>
      <c r="L8" s="2713"/>
      <c r="M8" s="2714"/>
      <c r="N8" s="2714"/>
      <c r="O8" s="2714"/>
      <c r="P8" s="3704" t="s">
        <v>1683</v>
      </c>
      <c r="Q8" s="3705"/>
      <c r="R8" s="701" t="s">
        <v>20</v>
      </c>
      <c r="S8" s="702">
        <f t="shared" si="0"/>
        <v>100</v>
      </c>
      <c r="T8" s="701" t="s">
        <v>20</v>
      </c>
      <c r="U8" s="702">
        <f t="shared" si="1"/>
        <v>100</v>
      </c>
      <c r="V8" s="701" t="s">
        <v>20</v>
      </c>
      <c r="W8" s="702">
        <f t="shared" si="2"/>
        <v>100</v>
      </c>
      <c r="X8" s="703"/>
      <c r="Y8" s="3704" t="s">
        <v>1683</v>
      </c>
      <c r="Z8" s="370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7"/>
      <c r="L9" s="2713"/>
      <c r="M9" s="2714"/>
      <c r="N9" s="2714"/>
      <c r="O9" s="2714"/>
      <c r="P9" s="3742" t="s">
        <v>1686</v>
      </c>
      <c r="Q9" s="1339" t="str">
        <f t="shared" ref="Q9:Q15" si="6">B9</f>
        <v>用途</v>
      </c>
      <c r="R9" s="701" t="s">
        <v>14</v>
      </c>
      <c r="S9" s="702">
        <f t="shared" si="0"/>
        <v>100</v>
      </c>
      <c r="T9" s="701" t="s">
        <v>14</v>
      </c>
      <c r="U9" s="702">
        <f t="shared" si="1"/>
        <v>100</v>
      </c>
      <c r="V9" s="701" t="s">
        <v>14</v>
      </c>
      <c r="W9" s="702">
        <f t="shared" si="2"/>
        <v>100</v>
      </c>
      <c r="X9" s="703"/>
      <c r="Y9" s="3674"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1887"/>
      <c r="L10" s="2715"/>
      <c r="M10" s="2716"/>
      <c r="N10" s="2716"/>
      <c r="O10" s="2716"/>
      <c r="P10" s="3742"/>
      <c r="Q10" s="1339" t="str">
        <f t="shared" si="6"/>
        <v>土地使用年限（年）</v>
      </c>
      <c r="R10" s="701" t="s">
        <v>14</v>
      </c>
      <c r="S10" s="702">
        <f t="shared" si="0"/>
        <v>100</v>
      </c>
      <c r="T10" s="701" t="s">
        <v>14</v>
      </c>
      <c r="U10" s="702">
        <f t="shared" si="1"/>
        <v>100</v>
      </c>
      <c r="V10" s="701" t="s">
        <v>14</v>
      </c>
      <c r="W10" s="702">
        <f t="shared" si="2"/>
        <v>100</v>
      </c>
      <c r="X10" s="703"/>
      <c r="Y10" s="367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742"/>
      <c r="Q11" s="1339" t="str">
        <f t="shared" si="6"/>
        <v>容积率</v>
      </c>
      <c r="R11" s="701" t="s">
        <v>18</v>
      </c>
      <c r="S11" s="702" t="e">
        <f t="shared" si="0"/>
        <v>#N/A</v>
      </c>
      <c r="T11" s="701" t="s">
        <v>18</v>
      </c>
      <c r="U11" s="702" t="e">
        <f t="shared" si="1"/>
        <v>#N/A</v>
      </c>
      <c r="V11" s="701" t="s">
        <v>18</v>
      </c>
      <c r="W11" s="702" t="e">
        <f t="shared" si="2"/>
        <v>#N/A</v>
      </c>
      <c r="X11" s="703"/>
      <c r="Y11" s="3674"/>
      <c r="Z11" s="52" t="str">
        <f t="shared" si="7"/>
        <v>容积率</v>
      </c>
      <c r="AA11" s="704" t="e">
        <f t="shared" si="3"/>
        <v>#N/A</v>
      </c>
      <c r="AB11" s="704" t="e">
        <f t="shared" si="4"/>
        <v>#N/A</v>
      </c>
      <c r="AC11" s="704" t="e">
        <f t="shared" si="5"/>
        <v>#N/A</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13"/>
      <c r="M12" s="2714"/>
      <c r="N12" s="2714"/>
      <c r="O12" s="2714"/>
      <c r="P12" s="3742"/>
      <c r="Q12" s="1339">
        <f t="shared" si="6"/>
        <v>111</v>
      </c>
      <c r="R12" s="701" t="s">
        <v>18</v>
      </c>
      <c r="S12" s="702">
        <f t="shared" si="0"/>
        <v>100</v>
      </c>
      <c r="T12" s="701" t="s">
        <v>18</v>
      </c>
      <c r="U12" s="702">
        <f t="shared" si="1"/>
        <v>100</v>
      </c>
      <c r="V12" s="701" t="s">
        <v>18</v>
      </c>
      <c r="W12" s="702">
        <f t="shared" si="2"/>
        <v>100</v>
      </c>
      <c r="X12" s="703"/>
      <c r="Y12" s="3674"/>
      <c r="Z12" s="52">
        <f t="shared" si="7"/>
        <v>111</v>
      </c>
      <c r="AA12" s="704">
        <f>D12/F12</f>
        <v>1</v>
      </c>
      <c r="AB12" s="704">
        <f>D12/H12</f>
        <v>1</v>
      </c>
      <c r="AC12" s="704">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8"/>
      <c r="M13" s="2712"/>
      <c r="N13" s="2712"/>
      <c r="O13" s="2712"/>
      <c r="P13" s="3742"/>
      <c r="Q13" s="1339">
        <f t="shared" si="6"/>
        <v>111</v>
      </c>
      <c r="R13" s="701" t="s">
        <v>18</v>
      </c>
      <c r="S13" s="702">
        <f t="shared" si="0"/>
        <v>100</v>
      </c>
      <c r="T13" s="701" t="s">
        <v>18</v>
      </c>
      <c r="U13" s="702">
        <f t="shared" si="1"/>
        <v>100</v>
      </c>
      <c r="V13" s="701" t="s">
        <v>18</v>
      </c>
      <c r="W13" s="702">
        <f t="shared" si="2"/>
        <v>100</v>
      </c>
      <c r="X13" s="703"/>
      <c r="Y13" s="3674"/>
      <c r="Z13" s="52">
        <f t="shared" si="7"/>
        <v>111</v>
      </c>
      <c r="AA13" s="704">
        <f t="shared" si="3"/>
        <v>1</v>
      </c>
      <c r="AB13" s="704">
        <f t="shared" si="4"/>
        <v>1</v>
      </c>
      <c r="AC13" s="704">
        <f t="shared" si="5"/>
        <v>1</v>
      </c>
    </row>
    <row r="14" spans="1:29" ht="15.75"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8"/>
      <c r="M14" s="2712"/>
      <c r="N14" s="2712"/>
      <c r="O14" s="2712"/>
      <c r="P14" s="3742"/>
      <c r="Q14" s="1339">
        <f t="shared" si="6"/>
        <v>111</v>
      </c>
      <c r="R14" s="701" t="s">
        <v>18</v>
      </c>
      <c r="S14" s="702">
        <f t="shared" si="0"/>
        <v>100</v>
      </c>
      <c r="T14" s="701" t="s">
        <v>18</v>
      </c>
      <c r="U14" s="702">
        <f t="shared" si="1"/>
        <v>100</v>
      </c>
      <c r="V14" s="701" t="s">
        <v>18</v>
      </c>
      <c r="W14" s="702">
        <f t="shared" si="2"/>
        <v>100</v>
      </c>
      <c r="X14" s="703"/>
      <c r="Y14" s="3674"/>
      <c r="Z14" s="52">
        <f t="shared" si="7"/>
        <v>111</v>
      </c>
      <c r="AA14" s="704">
        <f t="shared" si="3"/>
        <v>1</v>
      </c>
      <c r="AB14" s="704">
        <f t="shared" si="4"/>
        <v>1</v>
      </c>
      <c r="AC14" s="704">
        <f t="shared" si="5"/>
        <v>1</v>
      </c>
    </row>
    <row r="15" spans="1:29" ht="85.5">
      <c r="A15" s="391" t="s">
        <v>1690</v>
      </c>
      <c r="B15" s="61" t="s">
        <v>1257</v>
      </c>
      <c r="C15" s="1892"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775" t="s">
        <v>1691</v>
      </c>
      <c r="Q15" s="1348" t="str">
        <f t="shared" si="6"/>
        <v>居住社区成熟度</v>
      </c>
      <c r="R15" s="705" t="s">
        <v>18</v>
      </c>
      <c r="S15" s="706">
        <f t="shared" si="0"/>
        <v>100</v>
      </c>
      <c r="T15" s="705" t="s">
        <v>18</v>
      </c>
      <c r="U15" s="706">
        <f t="shared" si="1"/>
        <v>100</v>
      </c>
      <c r="V15" s="705" t="s">
        <v>18</v>
      </c>
      <c r="W15" s="706">
        <f t="shared" si="2"/>
        <v>100</v>
      </c>
      <c r="X15" s="1351"/>
      <c r="Y15" s="3733" t="s">
        <v>1691</v>
      </c>
      <c r="Z15" s="1352" t="str">
        <f t="shared" si="7"/>
        <v>居住社区成熟度</v>
      </c>
      <c r="AA15" s="1349">
        <f t="shared" si="3"/>
        <v>1</v>
      </c>
      <c r="AB15" s="1349">
        <f t="shared" si="4"/>
        <v>1</v>
      </c>
      <c r="AC15" s="1349">
        <f t="shared" si="5"/>
        <v>1</v>
      </c>
    </row>
    <row r="16" spans="1:29" ht="15">
      <c r="A16" s="379"/>
      <c r="B16" s="397"/>
      <c r="C16" s="398"/>
      <c r="D16" s="399"/>
      <c r="E16" s="1893"/>
      <c r="F16" s="399"/>
      <c r="G16" s="1894"/>
      <c r="H16" s="401"/>
      <c r="I16" s="1894"/>
      <c r="J16" s="399"/>
      <c r="K16" s="1895"/>
      <c r="L16" s="2718"/>
      <c r="M16" s="2712"/>
      <c r="N16" s="2712"/>
      <c r="O16" s="2712"/>
      <c r="P16" s="3776"/>
      <c r="Q16" s="1348"/>
      <c r="R16" s="705"/>
      <c r="S16" s="706"/>
      <c r="T16" s="705"/>
      <c r="U16" s="706"/>
      <c r="V16" s="705"/>
      <c r="W16" s="706"/>
      <c r="X16" s="1351"/>
      <c r="Y16" s="3734"/>
      <c r="Z16" s="1352"/>
      <c r="AA16" s="1349">
        <v>1</v>
      </c>
      <c r="AB16" s="1349">
        <v>1</v>
      </c>
      <c r="AC16" s="1349">
        <v>1</v>
      </c>
    </row>
    <row r="17" spans="1:29" ht="71.25">
      <c r="A17" s="379"/>
      <c r="B17" s="402" t="s">
        <v>1259</v>
      </c>
      <c r="C17" s="1896"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776"/>
      <c r="Q17" s="1348" t="str">
        <f>B17</f>
        <v>交通便捷度</v>
      </c>
      <c r="R17" s="705" t="s">
        <v>18</v>
      </c>
      <c r="S17" s="706">
        <f>F17</f>
        <v>100</v>
      </c>
      <c r="T17" s="705" t="s">
        <v>18</v>
      </c>
      <c r="U17" s="706">
        <f>H17</f>
        <v>100</v>
      </c>
      <c r="V17" s="705" t="s">
        <v>18</v>
      </c>
      <c r="W17" s="706">
        <f>J17</f>
        <v>100</v>
      </c>
      <c r="X17" s="1351"/>
      <c r="Y17" s="3734"/>
      <c r="Z17" s="1352" t="str">
        <f>Q17</f>
        <v>交通便捷度</v>
      </c>
      <c r="AA17" s="1349">
        <f t="shared" si="3"/>
        <v>1</v>
      </c>
      <c r="AB17" s="1349">
        <f t="shared" si="4"/>
        <v>1</v>
      </c>
      <c r="AC17" s="1349">
        <f t="shared" si="5"/>
        <v>1</v>
      </c>
    </row>
    <row r="18" spans="1:29" ht="15">
      <c r="A18" s="379"/>
      <c r="B18" s="407"/>
      <c r="C18" s="1897"/>
      <c r="D18" s="401"/>
      <c r="E18" s="1898"/>
      <c r="F18" s="401"/>
      <c r="G18" s="1899"/>
      <c r="H18" s="399"/>
      <c r="I18" s="1899"/>
      <c r="J18" s="399"/>
      <c r="K18" s="1895"/>
      <c r="L18" s="2718"/>
      <c r="M18" s="2712"/>
      <c r="N18" s="2712"/>
      <c r="O18" s="2712"/>
      <c r="P18" s="3776"/>
      <c r="Q18" s="1348"/>
      <c r="R18" s="705"/>
      <c r="S18" s="706"/>
      <c r="T18" s="705"/>
      <c r="U18" s="706"/>
      <c r="V18" s="705"/>
      <c r="W18" s="706"/>
      <c r="X18" s="1351"/>
      <c r="Y18" s="3734"/>
      <c r="Z18" s="1352"/>
      <c r="AA18" s="1349">
        <v>1</v>
      </c>
      <c r="AB18" s="1349">
        <v>1</v>
      </c>
      <c r="AC18" s="1349">
        <v>1</v>
      </c>
    </row>
    <row r="19" spans="1:29" ht="42.75">
      <c r="A19" s="379"/>
      <c r="B19" s="402" t="s">
        <v>1258</v>
      </c>
      <c r="C19" s="1896"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776"/>
      <c r="Q19" s="1348" t="str">
        <f>B19</f>
        <v>公共配套设施</v>
      </c>
      <c r="R19" s="705" t="s">
        <v>18</v>
      </c>
      <c r="S19" s="706">
        <f>F19</f>
        <v>100</v>
      </c>
      <c r="T19" s="705" t="s">
        <v>18</v>
      </c>
      <c r="U19" s="706">
        <f>H19</f>
        <v>100</v>
      </c>
      <c r="V19" s="705" t="s">
        <v>18</v>
      </c>
      <c r="W19" s="706">
        <f>J19</f>
        <v>100</v>
      </c>
      <c r="X19" s="1351"/>
      <c r="Y19" s="3734"/>
      <c r="Z19" s="1352" t="str">
        <f>Q19</f>
        <v>公共配套设施</v>
      </c>
      <c r="AA19" s="1349">
        <f t="shared" si="3"/>
        <v>1</v>
      </c>
      <c r="AB19" s="1349">
        <f t="shared" si="4"/>
        <v>1</v>
      </c>
      <c r="AC19" s="1349">
        <f t="shared" si="5"/>
        <v>1</v>
      </c>
    </row>
    <row r="20" spans="1:29" ht="15">
      <c r="A20" s="379"/>
      <c r="B20" s="407"/>
      <c r="C20" s="398"/>
      <c r="D20" s="399"/>
      <c r="E20" s="1893"/>
      <c r="F20" s="399"/>
      <c r="G20" s="1894"/>
      <c r="H20" s="399"/>
      <c r="I20" s="1894"/>
      <c r="J20" s="399"/>
      <c r="K20" s="1895"/>
      <c r="L20" s="2718"/>
      <c r="M20" s="2712"/>
      <c r="N20" s="2712"/>
      <c r="O20" s="2712"/>
      <c r="P20" s="3776"/>
      <c r="Q20" s="1348"/>
      <c r="R20" s="705"/>
      <c r="S20" s="706"/>
      <c r="T20" s="705"/>
      <c r="U20" s="706"/>
      <c r="V20" s="705"/>
      <c r="W20" s="706"/>
      <c r="X20" s="1351"/>
      <c r="Y20" s="3734"/>
      <c r="Z20" s="1352"/>
      <c r="AA20" s="1349">
        <v>1</v>
      </c>
      <c r="AB20" s="1349">
        <v>1</v>
      </c>
      <c r="AC20" s="1349">
        <v>1</v>
      </c>
    </row>
    <row r="21" spans="1:29" ht="28.5">
      <c r="A21" s="379"/>
      <c r="B21" s="1128" t="s">
        <v>1260</v>
      </c>
      <c r="C21" s="1896"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776"/>
      <c r="Q21" s="1348" t="str">
        <f>B21</f>
        <v>基础设施水平</v>
      </c>
      <c r="R21" s="705" t="s">
        <v>14</v>
      </c>
      <c r="S21" s="706">
        <f>F21</f>
        <v>100</v>
      </c>
      <c r="T21" s="705" t="s">
        <v>14</v>
      </c>
      <c r="U21" s="706">
        <f>H21</f>
        <v>100</v>
      </c>
      <c r="V21" s="705" t="s">
        <v>14</v>
      </c>
      <c r="W21" s="706">
        <f>J21</f>
        <v>100</v>
      </c>
      <c r="X21" s="1351"/>
      <c r="Y21" s="3734"/>
      <c r="Z21" s="1352" t="str">
        <f>Q21</f>
        <v>基础设施水平</v>
      </c>
      <c r="AA21" s="1349">
        <f t="shared" ref="AA21" si="8">D21/F21</f>
        <v>1</v>
      </c>
      <c r="AB21" s="1349">
        <f t="shared" ref="AB21" si="9">D21/H21</f>
        <v>1</v>
      </c>
      <c r="AC21" s="1349">
        <f t="shared" ref="AC21" si="10">D21/J21</f>
        <v>1</v>
      </c>
    </row>
    <row r="22" spans="1:29" ht="15">
      <c r="A22" s="379"/>
      <c r="B22" s="1128"/>
      <c r="C22" s="1897"/>
      <c r="D22" s="399"/>
      <c r="E22" s="398"/>
      <c r="F22" s="399"/>
      <c r="G22" s="1900"/>
      <c r="H22" s="399"/>
      <c r="I22" s="398"/>
      <c r="J22" s="399"/>
      <c r="K22" s="1901"/>
      <c r="L22" s="2718"/>
      <c r="M22" s="2712"/>
      <c r="N22" s="2712"/>
      <c r="O22" s="2712"/>
      <c r="P22" s="3776"/>
      <c r="Q22" s="1348"/>
      <c r="R22" s="705"/>
      <c r="S22" s="706"/>
      <c r="T22" s="705"/>
      <c r="U22" s="706"/>
      <c r="V22" s="705"/>
      <c r="W22" s="706"/>
      <c r="X22" s="1351"/>
      <c r="Y22" s="3734"/>
      <c r="Z22" s="1352"/>
      <c r="AA22" s="1349">
        <v>1</v>
      </c>
      <c r="AB22" s="1349">
        <v>1</v>
      </c>
      <c r="AC22" s="1349">
        <v>1</v>
      </c>
    </row>
    <row r="23" spans="1:29" ht="42.75">
      <c r="A23" s="379"/>
      <c r="B23" s="402" t="s">
        <v>1261</v>
      </c>
      <c r="C23" s="1896"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776"/>
      <c r="Q23" s="1348" t="str">
        <f>B23</f>
        <v>自然及人文环境</v>
      </c>
      <c r="R23" s="705" t="s">
        <v>18</v>
      </c>
      <c r="S23" s="706">
        <f>F23</f>
        <v>100</v>
      </c>
      <c r="T23" s="705" t="s">
        <v>18</v>
      </c>
      <c r="U23" s="706">
        <f>H23</f>
        <v>100</v>
      </c>
      <c r="V23" s="705" t="s">
        <v>18</v>
      </c>
      <c r="W23" s="706">
        <f>J23</f>
        <v>100</v>
      </c>
      <c r="X23" s="1351"/>
      <c r="Y23" s="3734"/>
      <c r="Z23" s="1352" t="str">
        <f>Q23</f>
        <v>自然及人文环境</v>
      </c>
      <c r="AA23" s="1349">
        <f>D23/F23</f>
        <v>1</v>
      </c>
      <c r="AB23" s="1349">
        <f>D23/H23</f>
        <v>1</v>
      </c>
      <c r="AC23" s="1349">
        <f>D23/J23</f>
        <v>1</v>
      </c>
    </row>
    <row r="24" spans="1:29" ht="15">
      <c r="A24" s="379"/>
      <c r="B24" s="407"/>
      <c r="C24" s="398"/>
      <c r="D24" s="399"/>
      <c r="E24" s="1893"/>
      <c r="F24" s="399"/>
      <c r="G24" s="1894"/>
      <c r="H24" s="399"/>
      <c r="I24" s="1894"/>
      <c r="J24" s="399"/>
      <c r="K24" s="1895"/>
      <c r="L24" s="2718"/>
      <c r="M24" s="2712"/>
      <c r="N24" s="2712"/>
      <c r="O24" s="2712"/>
      <c r="P24" s="3776"/>
      <c r="Q24" s="1348"/>
      <c r="R24" s="705"/>
      <c r="S24" s="706"/>
      <c r="T24" s="705"/>
      <c r="U24" s="706"/>
      <c r="V24" s="705"/>
      <c r="W24" s="706"/>
      <c r="X24" s="1351"/>
      <c r="Y24" s="3734"/>
      <c r="Z24" s="1352"/>
      <c r="AA24" s="1349">
        <v>1</v>
      </c>
      <c r="AB24" s="1349">
        <v>1</v>
      </c>
      <c r="AC24" s="1349">
        <v>1</v>
      </c>
    </row>
    <row r="25" spans="1:29" ht="15">
      <c r="A25" s="379"/>
      <c r="B25" s="375" t="s">
        <v>1692</v>
      </c>
      <c r="C25" s="411"/>
      <c r="D25" s="386">
        <v>100</v>
      </c>
      <c r="E25" s="1902"/>
      <c r="F25" s="386">
        <f>SUMIF(86:86,E25,87:87)-SUMIF(86:86,C25,87:87)+100</f>
        <v>100</v>
      </c>
      <c r="G25" s="1903"/>
      <c r="H25" s="386">
        <f>SUMIF(86:86,G25,87:87)-SUMIF(86:86,C25,87:87)+100</f>
        <v>100</v>
      </c>
      <c r="I25" s="1903"/>
      <c r="J25" s="386">
        <f>SUMIF(86:86,I25,87:87)-SUMIF(86:86,C25,87:87)+100</f>
        <v>100</v>
      </c>
      <c r="K25" s="377"/>
      <c r="L25" s="2718"/>
      <c r="M25" s="2712"/>
      <c r="N25" s="2712"/>
      <c r="O25" s="2712"/>
      <c r="P25" s="3776"/>
      <c r="Q25" s="1348" t="str">
        <f t="shared" ref="Q25:Q46" si="11">B25</f>
        <v>楼层-1</v>
      </c>
      <c r="R25" s="705" t="s">
        <v>18</v>
      </c>
      <c r="S25" s="706">
        <f t="shared" ref="S25:S46" si="12">F25</f>
        <v>100</v>
      </c>
      <c r="T25" s="705" t="s">
        <v>18</v>
      </c>
      <c r="U25" s="706">
        <f t="shared" ref="U25:U46" si="13">H25</f>
        <v>100</v>
      </c>
      <c r="V25" s="705" t="s">
        <v>18</v>
      </c>
      <c r="W25" s="706">
        <f t="shared" ref="W25:W46" si="14">J25</f>
        <v>100</v>
      </c>
      <c r="X25" s="1351"/>
      <c r="Y25" s="3734"/>
      <c r="Z25" s="1352" t="str">
        <f>Q25</f>
        <v>楼层-1</v>
      </c>
      <c r="AA25" s="1349">
        <f t="shared" ref="AA25:AA46" si="15">D25/F25</f>
        <v>1</v>
      </c>
      <c r="AB25" s="1349">
        <f t="shared" ref="AB25:AB46" si="16">D25/H25</f>
        <v>1</v>
      </c>
      <c r="AC25" s="1349">
        <f t="shared" ref="AC25:AC46" si="17">D25/J25</f>
        <v>1</v>
      </c>
    </row>
    <row r="26" spans="1:29" ht="15">
      <c r="A26" s="379"/>
      <c r="B26" s="375" t="s">
        <v>1693</v>
      </c>
      <c r="C26" s="411"/>
      <c r="D26" s="386">
        <v>100</v>
      </c>
      <c r="E26" s="1902"/>
      <c r="F26" s="386">
        <f>SUMIF(88:88,E26,89:89)-SUMIF(88:88,C26,89:89)+100</f>
        <v>100</v>
      </c>
      <c r="G26" s="1903"/>
      <c r="H26" s="386">
        <f>SUMIF(88:88,G26,89:89)-SUMIF(88:88,C26,89:89)+100</f>
        <v>100</v>
      </c>
      <c r="I26" s="1903"/>
      <c r="J26" s="386">
        <f>SUMIF(88:88,I26,89:89)-SUMIF(88:88,C26,89:89)+100</f>
        <v>100</v>
      </c>
      <c r="K26" s="377"/>
      <c r="L26" s="2718"/>
      <c r="M26" s="2712"/>
      <c r="N26" s="2712"/>
      <c r="O26" s="2712"/>
      <c r="P26" s="3776"/>
      <c r="Q26" s="1348" t="str">
        <f t="shared" si="11"/>
        <v>朝向</v>
      </c>
      <c r="R26" s="705" t="s">
        <v>18</v>
      </c>
      <c r="S26" s="706">
        <f t="shared" si="12"/>
        <v>100</v>
      </c>
      <c r="T26" s="705" t="s">
        <v>18</v>
      </c>
      <c r="U26" s="706">
        <f t="shared" si="13"/>
        <v>100</v>
      </c>
      <c r="V26" s="705" t="s">
        <v>18</v>
      </c>
      <c r="W26" s="706">
        <f t="shared" si="14"/>
        <v>100</v>
      </c>
      <c r="X26" s="1351"/>
      <c r="Y26" s="3734"/>
      <c r="Z26" s="1352" t="str">
        <f>Q26</f>
        <v>朝向</v>
      </c>
      <c r="AA26" s="1349">
        <f t="shared" si="15"/>
        <v>1</v>
      </c>
      <c r="AB26" s="1349">
        <f t="shared" si="16"/>
        <v>1</v>
      </c>
      <c r="AC26" s="1349">
        <f t="shared" si="17"/>
        <v>1</v>
      </c>
    </row>
    <row r="27" spans="1:29" s="108" customFormat="1" ht="15">
      <c r="A27" s="382"/>
      <c r="B27" s="1130">
        <v>111</v>
      </c>
      <c r="C27" s="383"/>
      <c r="D27" s="413">
        <v>100</v>
      </c>
      <c r="E27" s="416"/>
      <c r="F27" s="413">
        <f>SUMIF(90:90,E27,91:91)-SUMIF(90:90,C27,91:91)+100</f>
        <v>100</v>
      </c>
      <c r="G27" s="414"/>
      <c r="H27" s="413">
        <f>SUMIF(90:90,G27,91:91)-SUMIF(90:90,C27,91:91)+100</f>
        <v>100</v>
      </c>
      <c r="I27" s="414"/>
      <c r="J27" s="413">
        <f>SUMIF(90:90,I27,91:91)-SUMIF(90:90,C27,91:91)+100</f>
        <v>100</v>
      </c>
      <c r="K27" s="1890"/>
      <c r="L27" s="2713"/>
      <c r="M27" s="2714"/>
      <c r="N27" s="2714"/>
      <c r="O27" s="2714"/>
      <c r="P27" s="3776"/>
      <c r="Q27" s="1339">
        <f t="shared" si="11"/>
        <v>111</v>
      </c>
      <c r="R27" s="701" t="s">
        <v>18</v>
      </c>
      <c r="S27" s="702">
        <f t="shared" si="12"/>
        <v>100</v>
      </c>
      <c r="T27" s="701" t="s">
        <v>18</v>
      </c>
      <c r="U27" s="702">
        <f t="shared" si="13"/>
        <v>100</v>
      </c>
      <c r="V27" s="701" t="s">
        <v>18</v>
      </c>
      <c r="W27" s="702">
        <f t="shared" si="14"/>
        <v>100</v>
      </c>
      <c r="X27" s="703"/>
      <c r="Y27" s="3734"/>
      <c r="Z27" s="52">
        <f>Q27</f>
        <v>111</v>
      </c>
      <c r="AA27" s="1349">
        <f t="shared" si="15"/>
        <v>1</v>
      </c>
      <c r="AB27" s="1349">
        <f t="shared" si="16"/>
        <v>1</v>
      </c>
      <c r="AC27" s="1349">
        <f t="shared" si="17"/>
        <v>1</v>
      </c>
    </row>
    <row r="28" spans="1:29" ht="15">
      <c r="A28" s="379"/>
      <c r="B28" s="1130">
        <v>111</v>
      </c>
      <c r="C28" s="385"/>
      <c r="D28" s="386">
        <v>100</v>
      </c>
      <c r="E28" s="385"/>
      <c r="F28" s="386">
        <f>SUMIF(92:92,E28,93:93)-SUMIF(92:92,C28,93:93)+100</f>
        <v>100</v>
      </c>
      <c r="G28" s="1904"/>
      <c r="H28" s="386">
        <f>SUMIF(92:92,G28,93:93)-SUMIF(92:92,C28,93:93)+100</f>
        <v>100</v>
      </c>
      <c r="I28" s="385"/>
      <c r="J28" s="386">
        <f>SUMIF(92:92,I28,93:93)-SUMIF(92:92,C28,93:93)+100</f>
        <v>100</v>
      </c>
      <c r="K28" s="1890"/>
      <c r="L28" s="2718"/>
      <c r="M28" s="2712"/>
      <c r="N28" s="2712"/>
      <c r="O28" s="2712"/>
      <c r="P28" s="3776"/>
      <c r="Q28" s="1348">
        <f t="shared" si="11"/>
        <v>111</v>
      </c>
      <c r="R28" s="705" t="s">
        <v>18</v>
      </c>
      <c r="S28" s="706">
        <f t="shared" si="12"/>
        <v>100</v>
      </c>
      <c r="T28" s="705" t="s">
        <v>18</v>
      </c>
      <c r="U28" s="706">
        <f t="shared" si="13"/>
        <v>100</v>
      </c>
      <c r="V28" s="705" t="s">
        <v>18</v>
      </c>
      <c r="W28" s="706">
        <f t="shared" si="14"/>
        <v>100</v>
      </c>
      <c r="X28" s="1351"/>
      <c r="Y28" s="3734"/>
      <c r="Z28" s="1352">
        <f t="shared" ref="Z28:Z46" si="18">Q28</f>
        <v>111</v>
      </c>
      <c r="AA28" s="1349">
        <f t="shared" si="15"/>
        <v>1</v>
      </c>
      <c r="AB28" s="1349">
        <f t="shared" si="16"/>
        <v>1</v>
      </c>
      <c r="AC28" s="1349">
        <f t="shared" si="17"/>
        <v>1</v>
      </c>
    </row>
    <row r="29" spans="1:29" ht="15">
      <c r="A29" s="379"/>
      <c r="B29" s="1130">
        <v>111</v>
      </c>
      <c r="C29" s="385"/>
      <c r="D29" s="386">
        <v>100</v>
      </c>
      <c r="E29" s="385"/>
      <c r="F29" s="386">
        <f>SUMIF(94:94,E29,95:95)-SUMIF(94:94,C29,95:95)+100</f>
        <v>100</v>
      </c>
      <c r="G29" s="1904"/>
      <c r="H29" s="386">
        <f>SUMIF(94:94,G29,95:95)-SUMIF(94:94,C29,95:95)+100</f>
        <v>100</v>
      </c>
      <c r="I29" s="385"/>
      <c r="J29" s="386">
        <f>SUMIF(94:94,I29,95:95)-SUMIF(94:94,C29,95:95)+100</f>
        <v>100</v>
      </c>
      <c r="K29" s="1890"/>
      <c r="L29" s="2718"/>
      <c r="M29" s="2712"/>
      <c r="N29" s="2712"/>
      <c r="O29" s="2712"/>
      <c r="P29" s="3776"/>
      <c r="Q29" s="1348">
        <f t="shared" si="11"/>
        <v>111</v>
      </c>
      <c r="R29" s="705" t="s">
        <v>18</v>
      </c>
      <c r="S29" s="706">
        <f t="shared" si="12"/>
        <v>100</v>
      </c>
      <c r="T29" s="705" t="s">
        <v>18</v>
      </c>
      <c r="U29" s="706">
        <f t="shared" si="13"/>
        <v>100</v>
      </c>
      <c r="V29" s="705" t="s">
        <v>18</v>
      </c>
      <c r="W29" s="706">
        <f t="shared" si="14"/>
        <v>100</v>
      </c>
      <c r="X29" s="1351"/>
      <c r="Y29" s="3734"/>
      <c r="Z29" s="1352">
        <f t="shared" si="18"/>
        <v>111</v>
      </c>
      <c r="AA29" s="1349">
        <f t="shared" si="15"/>
        <v>1</v>
      </c>
      <c r="AB29" s="1349">
        <f t="shared" si="16"/>
        <v>1</v>
      </c>
      <c r="AC29" s="1349">
        <f t="shared" si="17"/>
        <v>1</v>
      </c>
    </row>
    <row r="30" spans="1:29" ht="15">
      <c r="A30" s="379"/>
      <c r="B30" s="1130">
        <v>111</v>
      </c>
      <c r="C30" s="385"/>
      <c r="D30" s="386">
        <v>100</v>
      </c>
      <c r="E30" s="385"/>
      <c r="F30" s="386">
        <f>SUMIF(96:96,E30,97:97)-SUMIF(96:96,C30,97:97)+100</f>
        <v>100</v>
      </c>
      <c r="G30" s="1904"/>
      <c r="H30" s="386">
        <f>SUMIF(96:96,G30,97:97)-SUMIF(96:96,C30,97:97)+100</f>
        <v>100</v>
      </c>
      <c r="I30" s="385"/>
      <c r="J30" s="386">
        <f>SUMIF(96:96,I30,97:97)-SUMIF(96:96,C30,97:97)+100</f>
        <v>100</v>
      </c>
      <c r="K30" s="1890"/>
      <c r="L30" s="2718"/>
      <c r="M30" s="2712"/>
      <c r="N30" s="2712"/>
      <c r="O30" s="2712"/>
      <c r="P30" s="3776"/>
      <c r="Q30" s="1348">
        <f t="shared" si="11"/>
        <v>111</v>
      </c>
      <c r="R30" s="705" t="s">
        <v>18</v>
      </c>
      <c r="S30" s="706">
        <f t="shared" si="12"/>
        <v>100</v>
      </c>
      <c r="T30" s="705" t="s">
        <v>18</v>
      </c>
      <c r="U30" s="706">
        <f t="shared" si="13"/>
        <v>100</v>
      </c>
      <c r="V30" s="705" t="s">
        <v>18</v>
      </c>
      <c r="W30" s="706">
        <f t="shared" si="14"/>
        <v>100</v>
      </c>
      <c r="X30" s="1351"/>
      <c r="Y30" s="3734"/>
      <c r="Z30" s="1352">
        <f t="shared" si="18"/>
        <v>111</v>
      </c>
      <c r="AA30" s="1349">
        <f t="shared" si="15"/>
        <v>1</v>
      </c>
      <c r="AB30" s="1349">
        <f t="shared" si="16"/>
        <v>1</v>
      </c>
      <c r="AC30" s="1349">
        <f t="shared" si="17"/>
        <v>1</v>
      </c>
    </row>
    <row r="31" spans="1:29" ht="15.75" thickBot="1">
      <c r="A31" s="387"/>
      <c r="B31" s="1130">
        <v>111</v>
      </c>
      <c r="C31" s="388"/>
      <c r="D31" s="389">
        <v>100</v>
      </c>
      <c r="E31" s="388"/>
      <c r="F31" s="389">
        <f>SUMIF(98:98,E31,99:99)-SUMIF(98:98,C31,99:99)+100</f>
        <v>100</v>
      </c>
      <c r="G31" s="1905"/>
      <c r="H31" s="389">
        <f>SUMIF(98:98,G31,99:99)-SUMIF(98:98,C31,99:99)+100</f>
        <v>100</v>
      </c>
      <c r="I31" s="388"/>
      <c r="J31" s="389">
        <f>SUMIF(98:98,I31,99:99)-SUMIF(98:98,C31,99:99)+100</f>
        <v>100</v>
      </c>
      <c r="K31" s="1890"/>
      <c r="L31" s="2718"/>
      <c r="M31" s="2712"/>
      <c r="N31" s="2712"/>
      <c r="O31" s="2712"/>
      <c r="P31" s="3776"/>
      <c r="Q31" s="1348">
        <f t="shared" si="11"/>
        <v>111</v>
      </c>
      <c r="R31" s="705" t="s">
        <v>18</v>
      </c>
      <c r="S31" s="706">
        <f t="shared" si="12"/>
        <v>100</v>
      </c>
      <c r="T31" s="705" t="s">
        <v>18</v>
      </c>
      <c r="U31" s="706">
        <f t="shared" si="13"/>
        <v>100</v>
      </c>
      <c r="V31" s="705" t="s">
        <v>18</v>
      </c>
      <c r="W31" s="706">
        <f t="shared" si="14"/>
        <v>100</v>
      </c>
      <c r="X31" s="1351"/>
      <c r="Y31" s="3734"/>
      <c r="Z31" s="1352">
        <f t="shared" si="18"/>
        <v>111</v>
      </c>
      <c r="AA31" s="1349">
        <f t="shared" si="15"/>
        <v>1</v>
      </c>
      <c r="AB31" s="1349">
        <f t="shared" si="16"/>
        <v>1</v>
      </c>
      <c r="AC31" s="1349">
        <f t="shared" si="17"/>
        <v>1</v>
      </c>
    </row>
    <row r="32" spans="1:29" ht="15">
      <c r="A32" s="391" t="s">
        <v>1694</v>
      </c>
      <c r="B32" s="63" t="s">
        <v>1695</v>
      </c>
      <c r="C32" s="1906"/>
      <c r="D32" s="418">
        <v>100</v>
      </c>
      <c r="E32" s="1907"/>
      <c r="F32" s="412">
        <f>SUMIF(100:100,E32,101:101)-SUMIF(100:100,C32,101:101)+100</f>
        <v>100</v>
      </c>
      <c r="G32" s="1906"/>
      <c r="H32" s="418">
        <f>SUMIF(100:100,G32,101:101)-SUMIF(100:100,C32,101:101)+100</f>
        <v>100</v>
      </c>
      <c r="I32" s="1907"/>
      <c r="J32" s="386">
        <f>SUMIF(100:100,I32,101:101)-SUMIF(100:100,C32,101:101)+100</f>
        <v>100</v>
      </c>
      <c r="K32" s="377"/>
      <c r="L32" s="2718"/>
      <c r="M32" s="2712"/>
      <c r="N32" s="2712"/>
      <c r="O32" s="2712"/>
      <c r="P32" s="3771" t="s">
        <v>1696</v>
      </c>
      <c r="Q32" s="1348" t="str">
        <f t="shared" si="11"/>
        <v>建筑类型</v>
      </c>
      <c r="R32" s="705" t="s">
        <v>18</v>
      </c>
      <c r="S32" s="706">
        <f t="shared" si="12"/>
        <v>100</v>
      </c>
      <c r="T32" s="705" t="s">
        <v>18</v>
      </c>
      <c r="U32" s="706">
        <f t="shared" si="13"/>
        <v>100</v>
      </c>
      <c r="V32" s="705" t="s">
        <v>18</v>
      </c>
      <c r="W32" s="706">
        <f t="shared" si="14"/>
        <v>100</v>
      </c>
      <c r="X32" s="1351"/>
      <c r="Y32" s="3736" t="s">
        <v>1696</v>
      </c>
      <c r="Z32" s="1352" t="str">
        <f t="shared" si="18"/>
        <v>建筑类型</v>
      </c>
      <c r="AA32" s="1349">
        <f t="shared" si="15"/>
        <v>1</v>
      </c>
      <c r="AB32" s="1349">
        <f t="shared" si="16"/>
        <v>1</v>
      </c>
      <c r="AC32" s="1349">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0"/>
      <c r="L33" s="2717"/>
      <c r="M33" s="2719"/>
      <c r="N33" s="2719"/>
      <c r="O33" s="2719"/>
      <c r="P33" s="3772"/>
      <c r="Q33" s="707" t="str">
        <f t="shared" si="11"/>
        <v>项目建筑规模</v>
      </c>
      <c r="R33" s="708" t="s">
        <v>18</v>
      </c>
      <c r="S33" s="709" t="e">
        <f t="shared" si="12"/>
        <v>#N/A</v>
      </c>
      <c r="T33" s="708" t="s">
        <v>18</v>
      </c>
      <c r="U33" s="709" t="e">
        <f t="shared" si="13"/>
        <v>#N/A</v>
      </c>
      <c r="V33" s="708" t="s">
        <v>18</v>
      </c>
      <c r="W33" s="709" t="e">
        <f t="shared" si="14"/>
        <v>#N/A</v>
      </c>
      <c r="X33" s="710"/>
      <c r="Y33" s="3736"/>
      <c r="Z33" s="711" t="str">
        <f t="shared" si="18"/>
        <v>项目建筑规模</v>
      </c>
      <c r="AA33" s="1349" t="e">
        <f t="shared" si="15"/>
        <v>#N/A</v>
      </c>
      <c r="AB33" s="1349" t="e">
        <f t="shared" si="16"/>
        <v>#N/A</v>
      </c>
      <c r="AC33" s="1349" t="e">
        <f t="shared" si="17"/>
        <v>#N/A</v>
      </c>
    </row>
    <row r="34" spans="1:29" ht="15">
      <c r="A34" s="423"/>
      <c r="B34" s="375" t="s">
        <v>1698</v>
      </c>
      <c r="C34" s="1908"/>
      <c r="D34" s="386">
        <v>100</v>
      </c>
      <c r="E34" s="1909"/>
      <c r="F34" s="412">
        <f>SUMIF(105:105,E34,106:106)-SUMIF(105:105,C34,106:106)+100</f>
        <v>100</v>
      </c>
      <c r="G34" s="1908"/>
      <c r="H34" s="386">
        <f>SUMIF(105:105,G34,106:106)-SUMIF(105:105,C34,106:106)+100</f>
        <v>100</v>
      </c>
      <c r="I34" s="1909"/>
      <c r="J34" s="386">
        <f>SUMIF(105:105,I34,106:106)-SUMIF(105:105,C34,106:106)+100</f>
        <v>100</v>
      </c>
      <c r="K34" s="377"/>
      <c r="L34" s="2718"/>
      <c r="M34" s="2712"/>
      <c r="N34" s="2712"/>
      <c r="O34" s="2712"/>
      <c r="P34" s="3772"/>
      <c r="Q34" s="1348" t="str">
        <f t="shared" si="11"/>
        <v>建筑结构</v>
      </c>
      <c r="R34" s="705" t="s">
        <v>18</v>
      </c>
      <c r="S34" s="706">
        <f t="shared" si="12"/>
        <v>100</v>
      </c>
      <c r="T34" s="705" t="s">
        <v>18</v>
      </c>
      <c r="U34" s="706">
        <f t="shared" si="13"/>
        <v>100</v>
      </c>
      <c r="V34" s="705" t="s">
        <v>18</v>
      </c>
      <c r="W34" s="706">
        <f t="shared" si="14"/>
        <v>100</v>
      </c>
      <c r="X34" s="1351"/>
      <c r="Y34" s="3736"/>
      <c r="Z34" s="1352" t="str">
        <f t="shared" si="18"/>
        <v>建筑结构</v>
      </c>
      <c r="AA34" s="1349">
        <f t="shared" si="15"/>
        <v>1</v>
      </c>
      <c r="AB34" s="1349">
        <f t="shared" si="16"/>
        <v>1</v>
      </c>
      <c r="AC34" s="1349">
        <f t="shared" si="17"/>
        <v>1</v>
      </c>
    </row>
    <row r="35" spans="1:29" ht="15">
      <c r="A35" s="423"/>
      <c r="B35" s="375" t="s">
        <v>1699</v>
      </c>
      <c r="C35" s="1902"/>
      <c r="D35" s="386">
        <v>100</v>
      </c>
      <c r="E35" s="1903"/>
      <c r="F35" s="412">
        <f>SUMIF(107:107,E35,108:108)-SUMIF(107:107,C35,108:108)+100</f>
        <v>100</v>
      </c>
      <c r="G35" s="1902"/>
      <c r="H35" s="386">
        <f>SUMIF(107:107,G35,108:108)-SUMIF(107:107,C35,108:108)+100</f>
        <v>100</v>
      </c>
      <c r="I35" s="1903"/>
      <c r="J35" s="386">
        <f>SUMIF(107:107,I35,108:108)-SUMIF(107:107,C35,108:108)+100</f>
        <v>100</v>
      </c>
      <c r="K35" s="377"/>
      <c r="L35" s="2718"/>
      <c r="M35" s="2712"/>
      <c r="N35" s="2712"/>
      <c r="O35" s="2712"/>
      <c r="P35" s="3772"/>
      <c r="Q35" s="1348" t="str">
        <f t="shared" si="11"/>
        <v>建筑品质</v>
      </c>
      <c r="R35" s="705" t="s">
        <v>18</v>
      </c>
      <c r="S35" s="706">
        <f t="shared" si="12"/>
        <v>100</v>
      </c>
      <c r="T35" s="705" t="s">
        <v>18</v>
      </c>
      <c r="U35" s="706">
        <f t="shared" si="13"/>
        <v>100</v>
      </c>
      <c r="V35" s="705" t="s">
        <v>18</v>
      </c>
      <c r="W35" s="706">
        <f t="shared" si="14"/>
        <v>100</v>
      </c>
      <c r="X35" s="1351"/>
      <c r="Y35" s="3736"/>
      <c r="Z35" s="1352" t="str">
        <f t="shared" si="18"/>
        <v>建筑品质</v>
      </c>
      <c r="AA35" s="1349">
        <f t="shared" si="15"/>
        <v>1</v>
      </c>
      <c r="AB35" s="1349">
        <f t="shared" si="16"/>
        <v>1</v>
      </c>
      <c r="AC35" s="1349">
        <f t="shared" si="17"/>
        <v>1</v>
      </c>
    </row>
    <row r="36" spans="1:29" ht="15">
      <c r="A36" s="423"/>
      <c r="B36" s="375" t="s">
        <v>1700</v>
      </c>
      <c r="C36" s="1902"/>
      <c r="D36" s="386">
        <v>100</v>
      </c>
      <c r="E36" s="1903"/>
      <c r="F36" s="412">
        <f>SUMIF(109:109,E36,110:110)-SUMIF(109:109,C36,110:110)+100</f>
        <v>100</v>
      </c>
      <c r="G36" s="1902"/>
      <c r="H36" s="386">
        <f>SUMIF(109:109,G36,110:110)-SUMIF(109:109,C36,110:110)+100</f>
        <v>100</v>
      </c>
      <c r="I36" s="1903"/>
      <c r="J36" s="386">
        <f>SUMIF(109:109,I36,110:110)-SUMIF(109:109,C36,110:110)+100</f>
        <v>100</v>
      </c>
      <c r="K36" s="377"/>
      <c r="L36" s="2718"/>
      <c r="M36" s="2712"/>
      <c r="N36" s="2712"/>
      <c r="O36" s="2712"/>
      <c r="P36" s="3772"/>
      <c r="Q36" s="1348" t="str">
        <f t="shared" si="11"/>
        <v>公共部分装修</v>
      </c>
      <c r="R36" s="705" t="s">
        <v>18</v>
      </c>
      <c r="S36" s="706">
        <f t="shared" si="12"/>
        <v>100</v>
      </c>
      <c r="T36" s="705" t="s">
        <v>18</v>
      </c>
      <c r="U36" s="706">
        <f t="shared" si="13"/>
        <v>100</v>
      </c>
      <c r="V36" s="705" t="s">
        <v>18</v>
      </c>
      <c r="W36" s="706">
        <f t="shared" si="14"/>
        <v>100</v>
      </c>
      <c r="X36" s="1351"/>
      <c r="Y36" s="3736"/>
      <c r="Z36" s="1352" t="str">
        <f t="shared" si="18"/>
        <v>公共部分装修</v>
      </c>
      <c r="AA36" s="1349">
        <f t="shared" si="15"/>
        <v>1</v>
      </c>
      <c r="AB36" s="1349">
        <f t="shared" si="16"/>
        <v>1</v>
      </c>
      <c r="AC36" s="1349">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772"/>
      <c r="Q37" s="1339" t="str">
        <f t="shared" si="11"/>
        <v>成新度</v>
      </c>
      <c r="R37" s="701" t="s">
        <v>18</v>
      </c>
      <c r="S37" s="702" t="e">
        <f t="shared" si="12"/>
        <v>#N/A</v>
      </c>
      <c r="T37" s="701" t="s">
        <v>18</v>
      </c>
      <c r="U37" s="702" t="e">
        <f t="shared" si="13"/>
        <v>#N/A</v>
      </c>
      <c r="V37" s="701" t="s">
        <v>18</v>
      </c>
      <c r="W37" s="702" t="e">
        <f t="shared" si="14"/>
        <v>#N/A</v>
      </c>
      <c r="X37" s="703"/>
      <c r="Y37" s="3736"/>
      <c r="Z37" s="52" t="str">
        <f t="shared" si="18"/>
        <v>成新度</v>
      </c>
      <c r="AA37" s="704" t="e">
        <f t="shared" si="15"/>
        <v>#N/A</v>
      </c>
      <c r="AB37" s="704" t="e">
        <f t="shared" si="16"/>
        <v>#N/A</v>
      </c>
      <c r="AC37" s="704" t="e">
        <f t="shared" si="17"/>
        <v>#N/A</v>
      </c>
    </row>
    <row r="38" spans="1:29" ht="15">
      <c r="A38" s="423"/>
      <c r="B38" s="375" t="s">
        <v>1702</v>
      </c>
      <c r="C38" s="1902"/>
      <c r="D38" s="386">
        <v>100</v>
      </c>
      <c r="E38" s="1903"/>
      <c r="F38" s="412">
        <f>SUMIF(114:114,E38,115:115)-SUMIF(114:114,C38,115:115)+100</f>
        <v>100</v>
      </c>
      <c r="G38" s="1902"/>
      <c r="H38" s="386">
        <f>SUMIF(114:114,G38,115:115)-SUMIF(114:114,C38,115:115)+100</f>
        <v>100</v>
      </c>
      <c r="I38" s="1903"/>
      <c r="J38" s="386">
        <f>SUMIF(114:114,I38,115:115)-SUMIF(114:114,C38,115:115)+100</f>
        <v>100</v>
      </c>
      <c r="K38" s="377"/>
      <c r="L38" s="2718"/>
      <c r="M38" s="2712"/>
      <c r="N38" s="2712"/>
      <c r="O38" s="2712"/>
      <c r="P38" s="3772" t="s">
        <v>1696</v>
      </c>
      <c r="Q38" s="1348" t="str">
        <f t="shared" si="11"/>
        <v>物业管理</v>
      </c>
      <c r="R38" s="705" t="s">
        <v>18</v>
      </c>
      <c r="S38" s="706">
        <f t="shared" si="12"/>
        <v>100</v>
      </c>
      <c r="T38" s="705" t="s">
        <v>18</v>
      </c>
      <c r="U38" s="706">
        <f t="shared" si="13"/>
        <v>100</v>
      </c>
      <c r="V38" s="705" t="s">
        <v>18</v>
      </c>
      <c r="W38" s="706">
        <f t="shared" si="14"/>
        <v>100</v>
      </c>
      <c r="X38" s="1351"/>
      <c r="Y38" s="3736" t="s">
        <v>1696</v>
      </c>
      <c r="Z38" s="1352" t="str">
        <f t="shared" si="18"/>
        <v>物业管理</v>
      </c>
      <c r="AA38" s="1349">
        <f t="shared" si="15"/>
        <v>1</v>
      </c>
      <c r="AB38" s="1349">
        <f t="shared" si="16"/>
        <v>1</v>
      </c>
      <c r="AC38" s="1349">
        <f t="shared" si="17"/>
        <v>1</v>
      </c>
    </row>
    <row r="39" spans="1:29" ht="15">
      <c r="A39" s="423"/>
      <c r="B39" s="375" t="s">
        <v>1703</v>
      </c>
      <c r="C39" s="1902"/>
      <c r="D39" s="386">
        <v>100</v>
      </c>
      <c r="E39" s="1903"/>
      <c r="F39" s="412">
        <f>SUMIF(116:116,E39,117:117)-SUMIF(116:116,C39,117:117)+100</f>
        <v>100</v>
      </c>
      <c r="G39" s="1902"/>
      <c r="H39" s="386">
        <f>SUMIF(116:116,G39,117:117)-SUMIF(116:116,C39,117:117)+100</f>
        <v>100</v>
      </c>
      <c r="I39" s="1903"/>
      <c r="J39" s="386">
        <f>SUMIF(116:116,I39,117:117)-SUMIF(116:116,C39,117:117)+100</f>
        <v>100</v>
      </c>
      <c r="K39" s="377"/>
      <c r="L39" s="2718"/>
      <c r="M39" s="2712"/>
      <c r="N39" s="2712"/>
      <c r="O39" s="2712"/>
      <c r="P39" s="3772"/>
      <c r="Q39" s="1348" t="str">
        <f t="shared" si="11"/>
        <v>市政基础设施</v>
      </c>
      <c r="R39" s="705" t="s">
        <v>18</v>
      </c>
      <c r="S39" s="706">
        <f t="shared" si="12"/>
        <v>100</v>
      </c>
      <c r="T39" s="705" t="s">
        <v>18</v>
      </c>
      <c r="U39" s="706">
        <f t="shared" si="13"/>
        <v>100</v>
      </c>
      <c r="V39" s="705" t="s">
        <v>18</v>
      </c>
      <c r="W39" s="706">
        <f t="shared" si="14"/>
        <v>100</v>
      </c>
      <c r="X39" s="1351"/>
      <c r="Y39" s="3736"/>
      <c r="Z39" s="1352" t="str">
        <f t="shared" si="18"/>
        <v>市政基础设施</v>
      </c>
      <c r="AA39" s="1349">
        <f t="shared" si="15"/>
        <v>1</v>
      </c>
      <c r="AB39" s="1349">
        <f t="shared" si="16"/>
        <v>1</v>
      </c>
      <c r="AC39" s="1349">
        <f t="shared" si="17"/>
        <v>1</v>
      </c>
    </row>
    <row r="40" spans="1:29" ht="15">
      <c r="A40" s="423"/>
      <c r="B40" s="375" t="s">
        <v>1704</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8"/>
      <c r="M40" s="2712"/>
      <c r="N40" s="2712"/>
      <c r="O40" s="2712"/>
      <c r="P40" s="3772"/>
      <c r="Q40" s="1348" t="str">
        <f t="shared" si="11"/>
        <v>房型</v>
      </c>
      <c r="R40" s="705" t="s">
        <v>18</v>
      </c>
      <c r="S40" s="706">
        <f t="shared" si="12"/>
        <v>100</v>
      </c>
      <c r="T40" s="705" t="s">
        <v>18</v>
      </c>
      <c r="U40" s="706">
        <f t="shared" si="13"/>
        <v>100</v>
      </c>
      <c r="V40" s="705" t="s">
        <v>18</v>
      </c>
      <c r="W40" s="706">
        <f t="shared" si="14"/>
        <v>100</v>
      </c>
      <c r="X40" s="1351"/>
      <c r="Y40" s="3736"/>
      <c r="Z40" s="1352" t="str">
        <f t="shared" si="18"/>
        <v>房型</v>
      </c>
      <c r="AA40" s="1349">
        <f t="shared" si="15"/>
        <v>1</v>
      </c>
      <c r="AB40" s="1349">
        <f t="shared" si="16"/>
        <v>1</v>
      </c>
      <c r="AC40" s="1349">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0"/>
      <c r="L41" s="2717"/>
      <c r="M41" s="2719"/>
      <c r="N41" s="2719"/>
      <c r="O41" s="2719"/>
      <c r="P41" s="3772"/>
      <c r="Q41" s="707" t="str">
        <f t="shared" si="11"/>
        <v>单套/主力户型建筑面积</v>
      </c>
      <c r="R41" s="708" t="s">
        <v>18</v>
      </c>
      <c r="S41" s="709">
        <f t="shared" si="12"/>
        <v>100</v>
      </c>
      <c r="T41" s="708" t="s">
        <v>18</v>
      </c>
      <c r="U41" s="709">
        <f t="shared" si="13"/>
        <v>100</v>
      </c>
      <c r="V41" s="708" t="s">
        <v>18</v>
      </c>
      <c r="W41" s="709">
        <f t="shared" si="14"/>
        <v>100</v>
      </c>
      <c r="X41" s="710"/>
      <c r="Y41" s="3736"/>
      <c r="Z41" s="711" t="str">
        <f t="shared" si="18"/>
        <v>单套/主力户型建筑面积</v>
      </c>
      <c r="AA41" s="1349">
        <f t="shared" si="15"/>
        <v>1</v>
      </c>
      <c r="AB41" s="1349">
        <f t="shared" si="16"/>
        <v>1</v>
      </c>
      <c r="AC41" s="1349">
        <f t="shared" si="17"/>
        <v>1</v>
      </c>
    </row>
    <row r="42" spans="1:29" ht="15">
      <c r="A42" s="423"/>
      <c r="B42" s="375" t="s">
        <v>1706</v>
      </c>
      <c r="C42" s="1902"/>
      <c r="D42" s="386">
        <v>100</v>
      </c>
      <c r="E42" s="1903"/>
      <c r="F42" s="412">
        <f>SUMIF(122:122,E42,123:123)-SUMIF(122:122,C42,123:123)+100</f>
        <v>100</v>
      </c>
      <c r="G42" s="1902"/>
      <c r="H42" s="386">
        <f>SUMIF(122:122,G42,123:123)-SUMIF(122:122,C42,123:123)+100</f>
        <v>100</v>
      </c>
      <c r="I42" s="1903"/>
      <c r="J42" s="386">
        <f>SUMIF(122:122,I42,123:123)-SUMIF(122:122,C42,123:123)+100</f>
        <v>100</v>
      </c>
      <c r="K42" s="377"/>
      <c r="L42" s="2718"/>
      <c r="M42" s="2712"/>
      <c r="N42" s="2712"/>
      <c r="O42" s="2712"/>
      <c r="P42" s="3772"/>
      <c r="Q42" s="1348" t="str">
        <f t="shared" si="11"/>
        <v>内部装修</v>
      </c>
      <c r="R42" s="705" t="s">
        <v>18</v>
      </c>
      <c r="S42" s="706">
        <f t="shared" si="12"/>
        <v>100</v>
      </c>
      <c r="T42" s="705" t="s">
        <v>18</v>
      </c>
      <c r="U42" s="706">
        <f t="shared" si="13"/>
        <v>100</v>
      </c>
      <c r="V42" s="705" t="s">
        <v>18</v>
      </c>
      <c r="W42" s="706">
        <f t="shared" si="14"/>
        <v>100</v>
      </c>
      <c r="X42" s="1351"/>
      <c r="Y42" s="3736"/>
      <c r="Z42" s="1352" t="str">
        <f t="shared" si="18"/>
        <v>内部装修</v>
      </c>
      <c r="AA42" s="1349">
        <f t="shared" si="15"/>
        <v>1</v>
      </c>
      <c r="AB42" s="1349">
        <f t="shared" si="16"/>
        <v>1</v>
      </c>
      <c r="AC42" s="1349">
        <f t="shared" si="17"/>
        <v>1</v>
      </c>
    </row>
    <row r="43" spans="1:29" ht="15">
      <c r="A43" s="423"/>
      <c r="B43" s="375" t="s">
        <v>1707</v>
      </c>
      <c r="C43" s="1902"/>
      <c r="D43" s="386">
        <v>100</v>
      </c>
      <c r="E43" s="1903"/>
      <c r="F43" s="412">
        <f>SUMIF(124:124,E43,125:125)-SUMIF(124:124,C43,125:125)+100</f>
        <v>100</v>
      </c>
      <c r="G43" s="1902"/>
      <c r="H43" s="386">
        <f>SUMIF(124:124,G43,125:125)-SUMIF(124:124,C43,125:125)+100</f>
        <v>100</v>
      </c>
      <c r="I43" s="1903"/>
      <c r="J43" s="386">
        <f>SUMIF(124:124,I43,125:125)-SUMIF(124:124,C43,125:125)+100</f>
        <v>100</v>
      </c>
      <c r="K43" s="377"/>
      <c r="L43" s="2718"/>
      <c r="M43" s="2712"/>
      <c r="N43" s="2712"/>
      <c r="O43" s="2712"/>
      <c r="P43" s="3772"/>
      <c r="Q43" s="1348" t="str">
        <f t="shared" si="11"/>
        <v>内部装修维护情况</v>
      </c>
      <c r="R43" s="705" t="s">
        <v>18</v>
      </c>
      <c r="S43" s="706">
        <f t="shared" si="12"/>
        <v>100</v>
      </c>
      <c r="T43" s="705" t="s">
        <v>18</v>
      </c>
      <c r="U43" s="706">
        <f t="shared" si="13"/>
        <v>100</v>
      </c>
      <c r="V43" s="705" t="s">
        <v>18</v>
      </c>
      <c r="W43" s="706">
        <f t="shared" si="14"/>
        <v>100</v>
      </c>
      <c r="X43" s="1351"/>
      <c r="Y43" s="3736"/>
      <c r="Z43" s="1352" t="str">
        <f t="shared" si="18"/>
        <v>内部装修维护情况</v>
      </c>
      <c r="AA43" s="1349">
        <f t="shared" si="15"/>
        <v>1</v>
      </c>
      <c r="AB43" s="1349">
        <f t="shared" si="16"/>
        <v>1</v>
      </c>
      <c r="AC43" s="1349">
        <f t="shared" si="17"/>
        <v>1</v>
      </c>
    </row>
    <row r="44" spans="1:29" s="108" customFormat="1" ht="15">
      <c r="A44" s="424"/>
      <c r="B44" s="1130">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0"/>
      <c r="L44" s="2713"/>
      <c r="M44" s="2714"/>
      <c r="N44" s="2714"/>
      <c r="O44" s="2714"/>
      <c r="P44" s="3772"/>
      <c r="Q44" s="1339">
        <f t="shared" si="11"/>
        <v>111</v>
      </c>
      <c r="R44" s="701" t="s">
        <v>18</v>
      </c>
      <c r="S44" s="702">
        <f t="shared" si="12"/>
        <v>100</v>
      </c>
      <c r="T44" s="701" t="s">
        <v>18</v>
      </c>
      <c r="U44" s="702">
        <f t="shared" si="13"/>
        <v>100</v>
      </c>
      <c r="V44" s="701" t="s">
        <v>18</v>
      </c>
      <c r="W44" s="702">
        <f t="shared" si="14"/>
        <v>100</v>
      </c>
      <c r="X44" s="703"/>
      <c r="Y44" s="3736"/>
      <c r="Z44" s="52">
        <f t="shared" si="18"/>
        <v>111</v>
      </c>
      <c r="AA44" s="704">
        <f t="shared" si="15"/>
        <v>1</v>
      </c>
      <c r="AB44" s="704">
        <f t="shared" si="16"/>
        <v>1</v>
      </c>
      <c r="AC44" s="704">
        <f t="shared" si="17"/>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8"/>
      <c r="M45" s="2712"/>
      <c r="N45" s="2712"/>
      <c r="O45" s="2712"/>
      <c r="P45" s="3772"/>
      <c r="Q45" s="1348">
        <f t="shared" si="11"/>
        <v>111</v>
      </c>
      <c r="R45" s="705" t="s">
        <v>18</v>
      </c>
      <c r="S45" s="706">
        <f t="shared" si="12"/>
        <v>100</v>
      </c>
      <c r="T45" s="705" t="s">
        <v>18</v>
      </c>
      <c r="U45" s="706">
        <f t="shared" si="13"/>
        <v>100</v>
      </c>
      <c r="V45" s="705" t="s">
        <v>18</v>
      </c>
      <c r="W45" s="706">
        <f t="shared" si="14"/>
        <v>100</v>
      </c>
      <c r="X45" s="1351"/>
      <c r="Y45" s="3736"/>
      <c r="Z45" s="1352">
        <f t="shared" si="18"/>
        <v>111</v>
      </c>
      <c r="AA45" s="1349">
        <f t="shared" si="15"/>
        <v>1</v>
      </c>
      <c r="AB45" s="1349">
        <f t="shared" si="16"/>
        <v>1</v>
      </c>
      <c r="AC45" s="1349">
        <f t="shared" si="17"/>
        <v>1</v>
      </c>
    </row>
    <row r="46" spans="1:29" ht="15.75"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8"/>
      <c r="M46" s="2712"/>
      <c r="N46" s="2712"/>
      <c r="O46" s="2712"/>
      <c r="P46" s="3773"/>
      <c r="Q46" s="1348">
        <f t="shared" si="11"/>
        <v>111</v>
      </c>
      <c r="R46" s="705" t="s">
        <v>17</v>
      </c>
      <c r="S46" s="706">
        <f t="shared" si="12"/>
        <v>100</v>
      </c>
      <c r="T46" s="705" t="s">
        <v>17</v>
      </c>
      <c r="U46" s="706">
        <f t="shared" si="13"/>
        <v>100</v>
      </c>
      <c r="V46" s="705" t="s">
        <v>17</v>
      </c>
      <c r="W46" s="706">
        <f t="shared" si="14"/>
        <v>100</v>
      </c>
      <c r="X46" s="1351"/>
      <c r="Y46" s="3774"/>
      <c r="Z46" s="1352">
        <f t="shared" si="18"/>
        <v>111</v>
      </c>
      <c r="AA46" s="1349">
        <f t="shared" si="15"/>
        <v>1</v>
      </c>
      <c r="AB46" s="1349">
        <f t="shared" si="16"/>
        <v>1</v>
      </c>
      <c r="AC46" s="1349">
        <f t="shared" si="17"/>
        <v>1</v>
      </c>
    </row>
    <row r="47" spans="1:29" ht="15">
      <c r="A47" s="430" t="s">
        <v>1708</v>
      </c>
      <c r="B47" s="431"/>
      <c r="C47" s="1151" t="s">
        <v>16</v>
      </c>
      <c r="D47" s="1152"/>
      <c r="E47" s="1153"/>
      <c r="F47" s="1154"/>
      <c r="G47" s="1155"/>
      <c r="H47" s="1156"/>
      <c r="I47" s="1153"/>
      <c r="J47" s="1156"/>
      <c r="K47" s="1910"/>
      <c r="L47" s="2720"/>
      <c r="M47" s="2721"/>
      <c r="N47" s="2712"/>
      <c r="O47" s="2721"/>
      <c r="P47" s="3718" t="str">
        <f>A47</f>
        <v>成交单价（元/平方米）</v>
      </c>
      <c r="Q47" s="3718"/>
      <c r="R47" s="3770">
        <f>E47</f>
        <v>0</v>
      </c>
      <c r="S47" s="3770"/>
      <c r="T47" s="3770">
        <f>G47</f>
        <v>0</v>
      </c>
      <c r="U47" s="3770"/>
      <c r="V47" s="3770">
        <f>I47</f>
        <v>0</v>
      </c>
      <c r="W47" s="3770"/>
      <c r="X47" s="690"/>
      <c r="Y47" s="712"/>
      <c r="Z47" s="690"/>
      <c r="AA47" s="690"/>
      <c r="AB47" s="690"/>
      <c r="AC47" s="690"/>
    </row>
    <row r="48" spans="1:29" ht="15.75" thickBot="1">
      <c r="A48" s="437" t="s">
        <v>1709</v>
      </c>
      <c r="B48" s="438"/>
      <c r="C48" s="1157" t="e">
        <f>R49</f>
        <v>#DIV/0!</v>
      </c>
      <c r="D48" s="2313" t="s">
        <v>2137</v>
      </c>
      <c r="E48" s="1158" t="e">
        <f>R48</f>
        <v>#DIV/0!</v>
      </c>
      <c r="F48" s="2314"/>
      <c r="G48" s="1157" t="e">
        <f>T48</f>
        <v>#DIV/0!</v>
      </c>
      <c r="H48" s="2314"/>
      <c r="I48" s="1158" t="e">
        <f>V48</f>
        <v>#DIV/0!</v>
      </c>
      <c r="J48" s="2314"/>
      <c r="K48" s="2315">
        <f>F48+H48+J48</f>
        <v>0</v>
      </c>
      <c r="L48" s="2720"/>
      <c r="M48" s="2721"/>
      <c r="N48" s="2721"/>
      <c r="O48" s="2721"/>
      <c r="P48" s="3718" t="str">
        <f>A48</f>
        <v>比较价值（元/平方米）</v>
      </c>
      <c r="Q48" s="3718"/>
      <c r="R48" s="3770" t="e">
        <f>IF(F1="售价",ROUND(PRODUCT(R47,AA7:AA46),0),ROUND(PRODUCT(R47,AA7:AA46),1))</f>
        <v>#DIV/0!</v>
      </c>
      <c r="S48" s="3770"/>
      <c r="T48" s="3770" t="e">
        <f>IF(F1="售价",ROUND(PRODUCT(T47,AB7:AB46),0),ROUND(PRODUCT(T47,AB7:AB46),1))</f>
        <v>#DIV/0!</v>
      </c>
      <c r="U48" s="3770"/>
      <c r="V48" s="3770" t="e">
        <f>IF(F1="售价",ROUND(PRODUCT(V47,AC7:AC46),0),ROUND(PRODUCT(V47,AC7:AC46),1))</f>
        <v>#DIV/0!</v>
      </c>
      <c r="W48" s="3770"/>
      <c r="X48" s="690"/>
      <c r="Y48" s="690"/>
      <c r="Z48" s="690"/>
      <c r="AA48" s="690"/>
      <c r="AB48" s="690"/>
      <c r="AC48" s="690"/>
    </row>
    <row r="49" spans="1:29" ht="15.75" thickBot="1">
      <c r="A49" s="441" t="s">
        <v>1710</v>
      </c>
      <c r="B49" s="442"/>
      <c r="C49" s="1159" t="e">
        <f>R49</f>
        <v>#DIV/0!</v>
      </c>
      <c r="D49" s="1160"/>
      <c r="E49" s="1160"/>
      <c r="F49" s="1160"/>
      <c r="G49" s="1160"/>
      <c r="H49" s="1160"/>
      <c r="I49" s="1160"/>
      <c r="J49" s="1160"/>
      <c r="K49" s="1911"/>
      <c r="L49" s="2720"/>
      <c r="M49" s="2721"/>
      <c r="N49" s="2721"/>
      <c r="O49" s="2721"/>
      <c r="P49" s="3738" t="str">
        <f>A49</f>
        <v>估价对象XX用房的比较价值（楼面单价，元/平方米）</v>
      </c>
      <c r="Q49" s="3739"/>
      <c r="R49" s="3769" t="e">
        <f>IF(F1="售价",ROUND(IF(D48="简单平均",AVERAGE(R48:V48),R48*F48+T48*H48+V48*J48),0),ROUND(IF(D48="简单平均",AVERAGE(R48:V48),R48*F48+T48*H48+V48*J48),1))</f>
        <v>#DIV/0!</v>
      </c>
      <c r="S49" s="3769"/>
      <c r="T49" s="3769"/>
      <c r="U49" s="3769"/>
      <c r="V49" s="3769"/>
      <c r="W49" s="3769"/>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3"/>
    </row>
    <row r="55" spans="1:29" s="451" customFormat="1">
      <c r="A55" s="2724"/>
      <c r="B55" s="2727"/>
      <c r="C55" s="2728"/>
      <c r="D55" s="2724"/>
      <c r="E55" s="2724"/>
      <c r="F55" s="2724"/>
      <c r="G55" s="2724"/>
      <c r="H55" s="2724"/>
      <c r="I55" s="2724"/>
      <c r="J55" s="2724"/>
      <c r="K55" s="2729"/>
      <c r="L55" s="2723"/>
      <c r="M55" s="2724"/>
      <c r="N55" s="2724"/>
      <c r="O55" s="2724"/>
      <c r="P55" s="1913"/>
    </row>
    <row r="56" spans="1:29">
      <c r="A56" s="2721"/>
      <c r="B56" s="2727"/>
      <c r="C56" s="2728"/>
      <c r="D56" s="2721"/>
      <c r="E56" s="2721"/>
      <c r="F56" s="2721"/>
      <c r="G56" s="2721"/>
      <c r="H56" s="2721"/>
      <c r="I56" s="2721"/>
      <c r="J56" s="2721"/>
      <c r="K56" s="2726"/>
      <c r="L56" s="2722"/>
      <c r="M56" s="2721"/>
      <c r="N56" s="2721"/>
      <c r="O56" s="2721"/>
    </row>
    <row r="57" spans="1:29" ht="21.75" thickBot="1">
      <c r="A57" s="694" t="s">
        <v>1714</v>
      </c>
      <c r="B57" s="690"/>
      <c r="C57" s="695"/>
      <c r="D57" s="695"/>
      <c r="E57" s="695"/>
      <c r="F57" s="696"/>
      <c r="G57" s="696"/>
      <c r="H57" s="695"/>
      <c r="I57" s="695"/>
      <c r="J57" s="695"/>
      <c r="K57" s="938"/>
      <c r="L57" s="939"/>
      <c r="M57" s="937"/>
      <c r="N57" s="937"/>
      <c r="O57" s="937"/>
      <c r="P57" s="1914"/>
      <c r="Q57" s="453"/>
    </row>
    <row r="58" spans="1:29" s="457" customFormat="1" ht="15">
      <c r="A58" s="454" t="s">
        <v>1715</v>
      </c>
      <c r="B58" s="455"/>
      <c r="C58" s="1182" t="str">
        <f>YEAR(C7)&amp;"-"&amp;MONTH(C7)</f>
        <v>2023-3</v>
      </c>
      <c r="D58" s="1181">
        <f>EDATE(C58,-1)</f>
        <v>44958</v>
      </c>
      <c r="E58" s="1181">
        <f>EDATE(D58,-1)</f>
        <v>44927</v>
      </c>
      <c r="F58" s="1181">
        <f t="shared" ref="F58:O58" si="19">EDATE(E58,-1)</f>
        <v>44896</v>
      </c>
      <c r="G58" s="1181">
        <f t="shared" si="19"/>
        <v>44866</v>
      </c>
      <c r="H58" s="1181">
        <f t="shared" si="19"/>
        <v>44835</v>
      </c>
      <c r="I58" s="1181">
        <f t="shared" si="19"/>
        <v>44805</v>
      </c>
      <c r="J58" s="1181">
        <f t="shared" si="19"/>
        <v>44774</v>
      </c>
      <c r="K58" s="1181">
        <f t="shared" si="19"/>
        <v>44743</v>
      </c>
      <c r="L58" s="1181">
        <f t="shared" si="19"/>
        <v>44713</v>
      </c>
      <c r="M58" s="1181">
        <f t="shared" si="19"/>
        <v>44682</v>
      </c>
      <c r="N58" s="1181">
        <f t="shared" si="19"/>
        <v>44652</v>
      </c>
      <c r="O58" s="1181">
        <f t="shared" si="19"/>
        <v>44621</v>
      </c>
      <c r="P58" s="1177"/>
    </row>
    <row r="59" spans="1:29" s="108" customFormat="1" ht="15">
      <c r="A59" s="458"/>
      <c r="B59" s="1915"/>
      <c r="C59" s="1179">
        <v>100</v>
      </c>
      <c r="D59" s="460"/>
      <c r="E59" s="461"/>
      <c r="F59" s="461"/>
      <c r="G59" s="461"/>
      <c r="H59" s="461"/>
      <c r="I59" s="461"/>
      <c r="J59" s="461"/>
      <c r="K59" s="461"/>
      <c r="L59" s="461"/>
      <c r="M59" s="462"/>
      <c r="N59" s="461"/>
      <c r="O59" s="462"/>
      <c r="P59" s="1916"/>
    </row>
    <row r="60" spans="1:29" s="108" customFormat="1" ht="15.75" thickBot="1">
      <c r="A60" s="464" t="s">
        <v>1716</v>
      </c>
      <c r="B60" s="465"/>
      <c r="C60" s="466"/>
      <c r="D60" s="467"/>
      <c r="E60" s="467"/>
      <c r="F60" s="467"/>
      <c r="G60" s="467"/>
      <c r="H60" s="467"/>
      <c r="I60" s="467"/>
      <c r="J60" s="467"/>
      <c r="K60" s="467"/>
      <c r="L60" s="467"/>
      <c r="M60" s="468"/>
      <c r="N60" s="467"/>
      <c r="O60" s="468"/>
      <c r="P60" s="1916"/>
      <c r="Q60" s="453"/>
    </row>
    <row r="61" spans="1:29" s="108" customFormat="1" ht="15">
      <c r="A61" s="470" t="s">
        <v>1717</v>
      </c>
      <c r="B61" s="459"/>
      <c r="C61" s="471" t="s">
        <v>1718</v>
      </c>
      <c r="D61" s="472"/>
      <c r="E61" s="472"/>
      <c r="F61" s="472"/>
      <c r="G61" s="472"/>
      <c r="H61" s="472"/>
      <c r="I61" s="472"/>
      <c r="J61" s="472"/>
      <c r="K61" s="472"/>
      <c r="L61" s="473"/>
      <c r="M61" s="474"/>
      <c r="N61" s="929"/>
      <c r="O61" s="929"/>
      <c r="P61" s="1917"/>
      <c r="Q61" s="453"/>
    </row>
    <row r="62" spans="1:29" s="108" customFormat="1" ht="15.75" thickBot="1">
      <c r="A62" s="470"/>
      <c r="B62" s="459"/>
      <c r="C62" s="460">
        <v>100</v>
      </c>
      <c r="D62" s="461"/>
      <c r="E62" s="461"/>
      <c r="F62" s="461"/>
      <c r="G62" s="461"/>
      <c r="H62" s="461"/>
      <c r="I62" s="461"/>
      <c r="J62" s="461"/>
      <c r="K62" s="461"/>
      <c r="L62" s="461"/>
      <c r="M62" s="463"/>
      <c r="N62" s="929"/>
      <c r="O62" s="929"/>
      <c r="P62" s="1916"/>
      <c r="Q62" s="453"/>
    </row>
    <row r="63" spans="1:29">
      <c r="A63" s="476" t="s">
        <v>1719</v>
      </c>
      <c r="B63" s="477" t="s">
        <v>1685</v>
      </c>
      <c r="C63" s="478">
        <f>C9</f>
        <v>0</v>
      </c>
      <c r="D63" s="479"/>
      <c r="E63" s="479"/>
      <c r="F63" s="479"/>
      <c r="G63" s="479"/>
      <c r="H63" s="479"/>
      <c r="I63" s="479"/>
      <c r="J63" s="479"/>
      <c r="K63" s="480"/>
      <c r="L63" s="481"/>
      <c r="M63" s="482"/>
      <c r="N63" s="930"/>
      <c r="O63" s="930"/>
      <c r="P63" s="1918"/>
      <c r="Q63" s="453"/>
    </row>
    <row r="64" spans="1:29" ht="15.75" thickBot="1">
      <c r="A64" s="483"/>
      <c r="B64" s="484"/>
      <c r="C64" s="485">
        <v>100</v>
      </c>
      <c r="D64" s="485"/>
      <c r="E64" s="485"/>
      <c r="F64" s="485"/>
      <c r="G64" s="485"/>
      <c r="H64" s="485"/>
      <c r="I64" s="485"/>
      <c r="J64" s="485"/>
      <c r="K64" s="485"/>
      <c r="L64" s="485"/>
      <c r="M64" s="486"/>
      <c r="N64" s="931"/>
      <c r="O64" s="931"/>
      <c r="P64" s="1918"/>
      <c r="Q64" s="453"/>
    </row>
    <row r="65" spans="1:17" ht="27.75" thickTop="1">
      <c r="A65" s="483"/>
      <c r="B65" s="487" t="s">
        <v>1688</v>
      </c>
      <c r="C65" s="532"/>
      <c r="D65" s="532"/>
      <c r="E65" s="532"/>
      <c r="F65" s="532"/>
      <c r="G65" s="532"/>
      <c r="H65" s="532"/>
      <c r="I65" s="532"/>
      <c r="J65" s="532"/>
      <c r="K65" s="532"/>
      <c r="L65" s="532"/>
      <c r="M65" s="532"/>
      <c r="N65" s="931"/>
      <c r="O65" s="931"/>
      <c r="P65" s="1918"/>
      <c r="Q65" s="453"/>
    </row>
    <row r="66" spans="1:17" ht="15.75" thickBot="1">
      <c r="A66" s="483"/>
      <c r="B66" s="492"/>
      <c r="C66" s="485"/>
      <c r="D66" s="485"/>
      <c r="E66" s="485"/>
      <c r="F66" s="485"/>
      <c r="G66" s="485"/>
      <c r="H66" s="485"/>
      <c r="I66" s="485"/>
      <c r="J66" s="485"/>
      <c r="K66" s="485"/>
      <c r="L66" s="485"/>
      <c r="M66" s="486"/>
      <c r="N66" s="931"/>
      <c r="O66" s="931"/>
      <c r="P66" s="1918"/>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1"/>
      <c r="O67" s="931"/>
      <c r="P67" s="1918"/>
      <c r="Q67" s="453"/>
    </row>
    <row r="68" spans="1:17" ht="15">
      <c r="A68" s="483"/>
      <c r="B68" s="497"/>
      <c r="C68" s="498"/>
      <c r="D68" s="498"/>
      <c r="E68" s="498"/>
      <c r="F68" s="498"/>
      <c r="G68" s="498"/>
      <c r="H68" s="498"/>
      <c r="I68" s="498"/>
      <c r="J68" s="498"/>
      <c r="K68" s="499"/>
      <c r="L68" s="500"/>
      <c r="M68" s="501"/>
      <c r="N68" s="930"/>
      <c r="O68" s="930"/>
      <c r="P68" s="1918"/>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1"/>
      <c r="O69" s="931"/>
      <c r="P69" s="1918"/>
      <c r="Q69" s="453"/>
    </row>
    <row r="70" spans="1:17" s="422" customFormat="1" ht="15.75" thickTop="1">
      <c r="A70" s="502"/>
      <c r="B70" s="487">
        <f>B12</f>
        <v>111</v>
      </c>
      <c r="C70" s="503"/>
      <c r="D70" s="503"/>
      <c r="E70" s="503"/>
      <c r="F70" s="503"/>
      <c r="G70" s="503"/>
      <c r="H70" s="504"/>
      <c r="I70" s="504"/>
      <c r="J70" s="504"/>
      <c r="K70" s="504"/>
      <c r="L70" s="505"/>
      <c r="M70" s="506"/>
      <c r="N70" s="932"/>
      <c r="O70" s="932"/>
      <c r="P70" s="1919"/>
      <c r="Q70" s="508"/>
    </row>
    <row r="71" spans="1:17" s="422" customFormat="1" ht="15.75" thickBot="1">
      <c r="A71" s="502"/>
      <c r="B71" s="492"/>
      <c r="C71" s="509"/>
      <c r="D71" s="485"/>
      <c r="E71" s="485"/>
      <c r="F71" s="485"/>
      <c r="G71" s="485"/>
      <c r="H71" s="485"/>
      <c r="I71" s="485"/>
      <c r="J71" s="485"/>
      <c r="K71" s="485"/>
      <c r="L71" s="485"/>
      <c r="M71" s="486"/>
      <c r="N71" s="931"/>
      <c r="O71" s="931"/>
      <c r="P71" s="1919"/>
      <c r="Q71" s="508"/>
    </row>
    <row r="72" spans="1:17" s="422" customFormat="1" ht="15.75" thickTop="1">
      <c r="A72" s="502"/>
      <c r="B72" s="487">
        <f>B13</f>
        <v>111</v>
      </c>
      <c r="C72" s="503"/>
      <c r="D72" s="503"/>
      <c r="E72" s="503"/>
      <c r="F72" s="503"/>
      <c r="G72" s="503"/>
      <c r="H72" s="504"/>
      <c r="I72" s="504"/>
      <c r="J72" s="504"/>
      <c r="K72" s="504"/>
      <c r="L72" s="505"/>
      <c r="M72" s="506"/>
      <c r="N72" s="932"/>
      <c r="O72" s="932"/>
      <c r="P72" s="1920"/>
      <c r="Q72" s="510"/>
    </row>
    <row r="73" spans="1:17" s="422" customFormat="1" ht="15.75" thickBot="1">
      <c r="A73" s="502"/>
      <c r="B73" s="492"/>
      <c r="C73" s="509"/>
      <c r="D73" s="509"/>
      <c r="E73" s="509"/>
      <c r="F73" s="509"/>
      <c r="G73" s="509"/>
      <c r="H73" s="511"/>
      <c r="I73" s="511"/>
      <c r="J73" s="511"/>
      <c r="K73" s="511"/>
      <c r="L73" s="511"/>
      <c r="M73" s="512"/>
      <c r="N73" s="932"/>
      <c r="O73" s="932"/>
      <c r="P73" s="1919"/>
      <c r="Q73" s="508"/>
    </row>
    <row r="74" spans="1:17" s="422" customFormat="1" ht="15.75" thickTop="1">
      <c r="A74" s="502"/>
      <c r="B74" s="495">
        <f>B14</f>
        <v>111</v>
      </c>
      <c r="C74" s="503"/>
      <c r="D74" s="503"/>
      <c r="E74" s="503"/>
      <c r="F74" s="503"/>
      <c r="G74" s="472"/>
      <c r="H74" s="513"/>
      <c r="I74" s="513"/>
      <c r="J74" s="513"/>
      <c r="K74" s="513"/>
      <c r="L74" s="514"/>
      <c r="M74" s="515"/>
      <c r="N74" s="932"/>
      <c r="O74" s="932"/>
      <c r="P74" s="1921"/>
      <c r="Q74" s="508"/>
    </row>
    <row r="75" spans="1:17" s="422" customFormat="1" ht="15.75" thickBot="1">
      <c r="A75" s="517"/>
      <c r="B75" s="518"/>
      <c r="C75" s="519"/>
      <c r="D75" s="519"/>
      <c r="E75" s="519"/>
      <c r="F75" s="519"/>
      <c r="G75" s="519"/>
      <c r="H75" s="520"/>
      <c r="I75" s="520"/>
      <c r="J75" s="520"/>
      <c r="K75" s="520"/>
      <c r="L75" s="520"/>
      <c r="M75" s="521"/>
      <c r="N75" s="932"/>
      <c r="O75" s="932"/>
      <c r="P75" s="1919"/>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0"/>
      <c r="O76" s="930"/>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1"/>
      <c r="O77" s="931"/>
      <c r="P77" s="1918"/>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0"/>
      <c r="O78" s="930"/>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1"/>
      <c r="O79" s="931"/>
      <c r="P79" s="1918"/>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0"/>
      <c r="O80" s="930"/>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1"/>
      <c r="O81" s="931"/>
      <c r="P81" s="1918"/>
      <c r="Q81" s="453"/>
    </row>
    <row r="82" spans="1:17" ht="15.75" thickTop="1">
      <c r="A82" s="483"/>
      <c r="B82" s="495" t="s">
        <v>1260</v>
      </c>
      <c r="C82" s="488" t="s">
        <v>1728</v>
      </c>
      <c r="D82" s="488" t="s">
        <v>1729</v>
      </c>
      <c r="E82" s="488" t="s">
        <v>1730</v>
      </c>
      <c r="F82" s="488" t="s">
        <v>1731</v>
      </c>
      <c r="G82" s="488" t="s">
        <v>1732</v>
      </c>
      <c r="H82" s="488"/>
      <c r="I82" s="488"/>
      <c r="J82" s="488"/>
      <c r="K82" s="488"/>
      <c r="L82" s="488"/>
      <c r="M82" s="1126"/>
      <c r="N82" s="931"/>
      <c r="O82" s="931"/>
      <c r="P82" s="1918"/>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1"/>
      <c r="O83" s="931"/>
      <c r="P83" s="1918"/>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0"/>
      <c r="O84" s="930"/>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1"/>
      <c r="O85" s="931"/>
      <c r="P85" s="1918"/>
      <c r="Q85" s="453"/>
    </row>
    <row r="86" spans="1:17" s="108" customFormat="1" ht="15.75" thickTop="1">
      <c r="A86" s="528"/>
      <c r="B86" s="487" t="s">
        <v>1734</v>
      </c>
      <c r="C86" s="503"/>
      <c r="D86" s="503"/>
      <c r="E86" s="503"/>
      <c r="F86" s="503"/>
      <c r="G86" s="503"/>
      <c r="H86" s="503"/>
      <c r="I86" s="503"/>
      <c r="J86" s="503"/>
      <c r="K86" s="503"/>
      <c r="L86" s="529"/>
      <c r="M86" s="530"/>
      <c r="N86" s="929"/>
      <c r="O86" s="929"/>
      <c r="P86" s="1918"/>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1"/>
      <c r="O87" s="931"/>
      <c r="P87" s="1918"/>
      <c r="Q87" s="453"/>
    </row>
    <row r="88" spans="1:17" s="108" customFormat="1" ht="15.75" thickTop="1">
      <c r="A88" s="528"/>
      <c r="B88" s="487" t="s">
        <v>1735</v>
      </c>
      <c r="C88" s="503"/>
      <c r="D88" s="503"/>
      <c r="E88" s="503"/>
      <c r="F88" s="1923"/>
      <c r="G88" s="503"/>
      <c r="H88" s="503"/>
      <c r="I88" s="503"/>
      <c r="J88" s="503"/>
      <c r="K88" s="503"/>
      <c r="L88" s="503"/>
      <c r="M88" s="530"/>
      <c r="N88" s="929"/>
      <c r="O88" s="929"/>
      <c r="P88" s="1918"/>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1"/>
      <c r="O89" s="931"/>
      <c r="P89" s="1918"/>
      <c r="Q89" s="453"/>
    </row>
    <row r="90" spans="1:17" s="422" customFormat="1" ht="15.75" thickTop="1">
      <c r="A90" s="502"/>
      <c r="B90" s="487">
        <f>B27</f>
        <v>111</v>
      </c>
      <c r="C90" s="503"/>
      <c r="D90" s="503"/>
      <c r="E90" s="503"/>
      <c r="F90" s="503"/>
      <c r="G90" s="503"/>
      <c r="H90" s="504"/>
      <c r="I90" s="504"/>
      <c r="J90" s="504"/>
      <c r="K90" s="504"/>
      <c r="L90" s="505"/>
      <c r="M90" s="506"/>
      <c r="N90" s="932"/>
      <c r="O90" s="932"/>
      <c r="P90" s="1919"/>
      <c r="Q90" s="508"/>
    </row>
    <row r="91" spans="1:17" s="422" customFormat="1" ht="15.75" thickBot="1">
      <c r="A91" s="502"/>
      <c r="B91" s="492"/>
      <c r="C91" s="509"/>
      <c r="D91" s="509"/>
      <c r="E91" s="509"/>
      <c r="F91" s="509"/>
      <c r="G91" s="509"/>
      <c r="H91" s="511"/>
      <c r="I91" s="511"/>
      <c r="J91" s="511"/>
      <c r="K91" s="511"/>
      <c r="L91" s="511"/>
      <c r="M91" s="512"/>
      <c r="N91" s="932"/>
      <c r="O91" s="932"/>
      <c r="P91" s="1919"/>
      <c r="Q91" s="508"/>
    </row>
    <row r="92" spans="1:17" ht="15.75" thickTop="1">
      <c r="A92" s="483"/>
      <c r="B92" s="487">
        <f>B28</f>
        <v>111</v>
      </c>
      <c r="C92" s="503"/>
      <c r="D92" s="503"/>
      <c r="E92" s="503"/>
      <c r="F92" s="503"/>
      <c r="G92" s="532"/>
      <c r="H92" s="532"/>
      <c r="I92" s="532"/>
      <c r="J92" s="532"/>
      <c r="K92" s="533"/>
      <c r="L92" s="534"/>
      <c r="M92" s="535"/>
      <c r="N92" s="930"/>
      <c r="O92" s="930"/>
      <c r="P92" s="1918"/>
      <c r="Q92" s="453"/>
    </row>
    <row r="93" spans="1:17" ht="15.75" thickBot="1">
      <c r="A93" s="483"/>
      <c r="B93" s="492"/>
      <c r="C93" s="509"/>
      <c r="D93" s="485"/>
      <c r="E93" s="485"/>
      <c r="F93" s="485"/>
      <c r="G93" s="485"/>
      <c r="H93" s="485"/>
      <c r="I93" s="485"/>
      <c r="J93" s="485"/>
      <c r="K93" s="485"/>
      <c r="L93" s="485"/>
      <c r="M93" s="486"/>
      <c r="N93" s="931"/>
      <c r="O93" s="931"/>
      <c r="P93" s="1918"/>
      <c r="Q93" s="453"/>
    </row>
    <row r="94" spans="1:17" ht="15.75" thickTop="1">
      <c r="A94" s="483"/>
      <c r="B94" s="487">
        <f>B29</f>
        <v>111</v>
      </c>
      <c r="C94" s="503"/>
      <c r="D94" s="503"/>
      <c r="E94" s="503"/>
      <c r="F94" s="503"/>
      <c r="G94" s="532"/>
      <c r="H94" s="532"/>
      <c r="I94" s="532"/>
      <c r="J94" s="532"/>
      <c r="K94" s="533"/>
      <c r="L94" s="534"/>
      <c r="M94" s="535"/>
      <c r="N94" s="930"/>
      <c r="O94" s="930"/>
      <c r="P94" s="1918"/>
      <c r="Q94" s="453"/>
    </row>
    <row r="95" spans="1:17" ht="15.75" thickBot="1">
      <c r="A95" s="483"/>
      <c r="B95" s="492"/>
      <c r="C95" s="509"/>
      <c r="D95" s="509"/>
      <c r="E95" s="509"/>
      <c r="F95" s="509"/>
      <c r="G95" s="485"/>
      <c r="H95" s="485"/>
      <c r="I95" s="485"/>
      <c r="J95" s="485"/>
      <c r="K95" s="485"/>
      <c r="L95" s="485"/>
      <c r="M95" s="486"/>
      <c r="N95" s="931"/>
      <c r="O95" s="931"/>
      <c r="P95" s="1918"/>
      <c r="Q95" s="453"/>
    </row>
    <row r="96" spans="1:17" ht="15.75" thickTop="1">
      <c r="A96" s="483"/>
      <c r="B96" s="487">
        <f>B30</f>
        <v>111</v>
      </c>
      <c r="C96" s="503"/>
      <c r="D96" s="503"/>
      <c r="E96" s="503"/>
      <c r="F96" s="503"/>
      <c r="G96" s="532"/>
      <c r="H96" s="532"/>
      <c r="I96" s="532"/>
      <c r="J96" s="532"/>
      <c r="K96" s="533"/>
      <c r="L96" s="534"/>
      <c r="M96" s="535"/>
      <c r="N96" s="930"/>
      <c r="O96" s="930"/>
      <c r="P96" s="1918"/>
      <c r="Q96" s="453"/>
    </row>
    <row r="97" spans="1:17" ht="15.75" thickBot="1">
      <c r="A97" s="483"/>
      <c r="B97" s="492"/>
      <c r="C97" s="519"/>
      <c r="D97" s="519"/>
      <c r="E97" s="519"/>
      <c r="F97" s="519"/>
      <c r="G97" s="485"/>
      <c r="H97" s="485"/>
      <c r="I97" s="485"/>
      <c r="J97" s="485"/>
      <c r="K97" s="485"/>
      <c r="L97" s="485"/>
      <c r="M97" s="486"/>
      <c r="N97" s="931"/>
      <c r="O97" s="931"/>
      <c r="P97" s="1918"/>
      <c r="Q97" s="453"/>
    </row>
    <row r="98" spans="1:17" ht="15.75" thickTop="1">
      <c r="A98" s="483"/>
      <c r="B98" s="495">
        <f>B31</f>
        <v>111</v>
      </c>
      <c r="C98" s="536"/>
      <c r="D98" s="536"/>
      <c r="E98" s="536"/>
      <c r="F98" s="536"/>
      <c r="G98" s="536"/>
      <c r="H98" s="536"/>
      <c r="I98" s="536"/>
      <c r="J98" s="536"/>
      <c r="K98" s="537"/>
      <c r="L98" s="538"/>
      <c r="M98" s="539"/>
      <c r="N98" s="930"/>
      <c r="O98" s="930"/>
      <c r="P98" s="1918"/>
      <c r="Q98" s="453"/>
    </row>
    <row r="99" spans="1:17" ht="15.75" thickBot="1">
      <c r="A99" s="1924"/>
      <c r="B99" s="518"/>
      <c r="C99" s="540"/>
      <c r="D99" s="540"/>
      <c r="E99" s="540"/>
      <c r="F99" s="540"/>
      <c r="G99" s="540"/>
      <c r="H99" s="540"/>
      <c r="I99" s="540"/>
      <c r="J99" s="540"/>
      <c r="K99" s="540"/>
      <c r="L99" s="540"/>
      <c r="M99" s="541"/>
      <c r="N99" s="931"/>
      <c r="O99" s="931"/>
      <c r="P99" s="1918"/>
      <c r="Q99" s="453"/>
    </row>
    <row r="100" spans="1:17">
      <c r="A100" s="476" t="s">
        <v>1694</v>
      </c>
      <c r="B100" s="477" t="s">
        <v>1736</v>
      </c>
      <c r="C100" s="479"/>
      <c r="D100" s="479"/>
      <c r="E100" s="479"/>
      <c r="F100" s="479"/>
      <c r="G100" s="479"/>
      <c r="H100" s="479"/>
      <c r="I100" s="479"/>
      <c r="J100" s="479"/>
      <c r="K100" s="480"/>
      <c r="L100" s="481"/>
      <c r="M100" s="482"/>
      <c r="N100" s="930"/>
      <c r="O100" s="930"/>
      <c r="P100" s="1918"/>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1"/>
      <c r="O101" s="931"/>
      <c r="P101" s="1918"/>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9"/>
      <c r="O102" s="929"/>
      <c r="P102" s="1918"/>
      <c r="Q102" s="453"/>
    </row>
    <row r="103" spans="1:17" s="422" customFormat="1">
      <c r="A103" s="542"/>
      <c r="B103" s="543"/>
      <c r="C103" s="544"/>
      <c r="D103" s="544"/>
      <c r="E103" s="544"/>
      <c r="F103" s="544"/>
      <c r="G103" s="544"/>
      <c r="H103" s="544"/>
      <c r="I103" s="544"/>
      <c r="J103" s="545"/>
      <c r="K103" s="545"/>
      <c r="L103" s="546"/>
      <c r="M103" s="547"/>
      <c r="N103" s="932"/>
      <c r="O103" s="932"/>
      <c r="P103" s="1919"/>
      <c r="Q103" s="508"/>
    </row>
    <row r="104" spans="1:17" s="422" customFormat="1" ht="15.75" thickBot="1">
      <c r="A104" s="502"/>
      <c r="B104" s="492"/>
      <c r="C104" s="509"/>
      <c r="D104" s="485"/>
      <c r="E104" s="485"/>
      <c r="F104" s="485"/>
      <c r="G104" s="485"/>
      <c r="H104" s="485"/>
      <c r="I104" s="485"/>
      <c r="J104" s="485"/>
      <c r="K104" s="485"/>
      <c r="L104" s="485"/>
      <c r="M104" s="485"/>
      <c r="N104" s="931"/>
      <c r="O104" s="931"/>
      <c r="P104" s="1919"/>
      <c r="Q104" s="508"/>
    </row>
    <row r="105" spans="1:17" ht="15" thickTop="1">
      <c r="A105" s="548"/>
      <c r="B105" s="487" t="s">
        <v>1738</v>
      </c>
      <c r="C105" s="503"/>
      <c r="D105" s="503"/>
      <c r="E105" s="532"/>
      <c r="F105" s="532"/>
      <c r="G105" s="532"/>
      <c r="H105" s="532"/>
      <c r="I105" s="532"/>
      <c r="J105" s="532"/>
      <c r="K105" s="533"/>
      <c r="L105" s="534"/>
      <c r="M105" s="535"/>
      <c r="N105" s="930"/>
      <c r="O105" s="930"/>
      <c r="P105" s="1918"/>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1"/>
      <c r="O106" s="931"/>
      <c r="P106" s="1918"/>
      <c r="Q106" s="453"/>
    </row>
    <row r="107" spans="1:17" ht="15" thickTop="1">
      <c r="A107" s="548"/>
      <c r="B107" s="487" t="s">
        <v>1739</v>
      </c>
      <c r="C107" s="532"/>
      <c r="D107" s="532"/>
      <c r="E107" s="532"/>
      <c r="F107" s="532"/>
      <c r="G107" s="532"/>
      <c r="H107" s="532"/>
      <c r="I107" s="532"/>
      <c r="J107" s="532"/>
      <c r="K107" s="533"/>
      <c r="L107" s="534"/>
      <c r="M107" s="535"/>
      <c r="N107" s="930"/>
      <c r="O107" s="930"/>
      <c r="P107" s="1918"/>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1"/>
      <c r="O108" s="931"/>
      <c r="P108" s="1918"/>
      <c r="Q108" s="453"/>
    </row>
    <row r="109" spans="1:17" ht="15" thickTop="1">
      <c r="A109" s="548"/>
      <c r="B109" s="487" t="s">
        <v>1740</v>
      </c>
      <c r="C109" s="503"/>
      <c r="D109" s="503"/>
      <c r="E109" s="503"/>
      <c r="F109" s="532"/>
      <c r="G109" s="532"/>
      <c r="H109" s="532"/>
      <c r="I109" s="532"/>
      <c r="J109" s="532"/>
      <c r="K109" s="533"/>
      <c r="L109" s="534"/>
      <c r="M109" s="535"/>
      <c r="N109" s="930"/>
      <c r="O109" s="930"/>
      <c r="P109" s="1918"/>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1"/>
      <c r="O110" s="931"/>
      <c r="P110" s="1918"/>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2"/>
      <c r="O111" s="932"/>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2"/>
      <c r="O112" s="932"/>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2"/>
      <c r="O113" s="932"/>
      <c r="P113" s="1919"/>
      <c r="Q113" s="508"/>
    </row>
    <row r="114" spans="1:17" ht="15" thickTop="1">
      <c r="A114" s="548"/>
      <c r="B114" s="487" t="s">
        <v>1741</v>
      </c>
      <c r="C114" s="503"/>
      <c r="D114" s="503"/>
      <c r="E114" s="532"/>
      <c r="F114" s="532"/>
      <c r="G114" s="532"/>
      <c r="H114" s="532"/>
      <c r="I114" s="532"/>
      <c r="J114" s="532"/>
      <c r="K114" s="533"/>
      <c r="L114" s="534"/>
      <c r="M114" s="535"/>
      <c r="N114" s="930"/>
      <c r="O114" s="930"/>
      <c r="P114" s="1918"/>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1"/>
      <c r="O115" s="931"/>
      <c r="P115" s="1918"/>
      <c r="Q115" s="453"/>
    </row>
    <row r="116" spans="1:17" ht="15" thickTop="1">
      <c r="A116" s="548"/>
      <c r="B116" s="487" t="s">
        <v>1742</v>
      </c>
      <c r="C116" s="503"/>
      <c r="D116" s="503"/>
      <c r="E116" s="503"/>
      <c r="F116" s="503"/>
      <c r="G116" s="503"/>
      <c r="H116" s="532"/>
      <c r="I116" s="532"/>
      <c r="J116" s="532"/>
      <c r="K116" s="533"/>
      <c r="L116" s="534"/>
      <c r="M116" s="535"/>
      <c r="N116" s="930"/>
      <c r="O116" s="930"/>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1"/>
      <c r="O117" s="931"/>
      <c r="P117" s="1918"/>
      <c r="Q117" s="453"/>
    </row>
    <row r="118" spans="1:17" ht="15" thickTop="1">
      <c r="A118" s="548"/>
      <c r="B118" s="487" t="s">
        <v>1743</v>
      </c>
      <c r="C118" s="532"/>
      <c r="D118" s="532"/>
      <c r="E118" s="532"/>
      <c r="F118" s="532"/>
      <c r="G118" s="532"/>
      <c r="H118" s="532"/>
      <c r="I118" s="532"/>
      <c r="J118" s="532"/>
      <c r="K118" s="533"/>
      <c r="L118" s="534"/>
      <c r="M118" s="535"/>
      <c r="N118" s="930"/>
      <c r="O118" s="930"/>
      <c r="P118" s="1918"/>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1"/>
      <c r="O119" s="931"/>
      <c r="P119" s="1918"/>
      <c r="Q119" s="453"/>
    </row>
    <row r="120" spans="1:17" s="422" customFormat="1" ht="28.5" thickTop="1">
      <c r="A120" s="542"/>
      <c r="B120" s="487" t="s">
        <v>1705</v>
      </c>
      <c r="C120" s="503"/>
      <c r="D120" s="503"/>
      <c r="E120" s="503"/>
      <c r="F120" s="503"/>
      <c r="G120" s="503"/>
      <c r="H120" s="503"/>
      <c r="I120" s="503"/>
      <c r="J120" s="503"/>
      <c r="K120" s="503"/>
      <c r="L120" s="529"/>
      <c r="M120" s="530"/>
      <c r="N120" s="932"/>
      <c r="O120" s="932"/>
      <c r="P120" s="1919"/>
      <c r="Q120" s="508"/>
    </row>
    <row r="121" spans="1:17" s="422" customFormat="1" ht="15.75" thickBot="1">
      <c r="A121" s="502"/>
      <c r="B121" s="484"/>
      <c r="C121" s="509"/>
      <c r="D121" s="485"/>
      <c r="E121" s="485"/>
      <c r="F121" s="485"/>
      <c r="G121" s="485"/>
      <c r="H121" s="485"/>
      <c r="I121" s="485"/>
      <c r="J121" s="485"/>
      <c r="K121" s="485"/>
      <c r="L121" s="485"/>
      <c r="M121" s="485"/>
      <c r="N121" s="932"/>
      <c r="O121" s="932"/>
      <c r="P121" s="1919"/>
      <c r="Q121" s="508"/>
    </row>
    <row r="122" spans="1:17" ht="15" thickTop="1">
      <c r="A122" s="548"/>
      <c r="B122" s="487" t="s">
        <v>1744</v>
      </c>
      <c r="C122" s="503"/>
      <c r="D122" s="503"/>
      <c r="E122" s="503"/>
      <c r="F122" s="532"/>
      <c r="G122" s="532"/>
      <c r="H122" s="532"/>
      <c r="I122" s="532"/>
      <c r="J122" s="532"/>
      <c r="K122" s="533"/>
      <c r="L122" s="534"/>
      <c r="M122" s="535"/>
      <c r="N122" s="930"/>
      <c r="O122" s="930"/>
      <c r="P122" s="1918"/>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1"/>
      <c r="O123" s="931"/>
      <c r="P123" s="1918"/>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0"/>
      <c r="O124" s="930"/>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1"/>
      <c r="O125" s="931"/>
      <c r="P125" s="1918"/>
      <c r="Q125" s="453"/>
    </row>
    <row r="126" spans="1:17" s="422" customFormat="1" ht="15" thickTop="1">
      <c r="A126" s="542"/>
      <c r="B126" s="487">
        <f>B44</f>
        <v>111</v>
      </c>
      <c r="C126" s="503"/>
      <c r="D126" s="503"/>
      <c r="E126" s="503"/>
      <c r="F126" s="503"/>
      <c r="G126" s="503"/>
      <c r="H126" s="504"/>
      <c r="I126" s="504"/>
      <c r="J126" s="504"/>
      <c r="K126" s="504"/>
      <c r="L126" s="505"/>
      <c r="M126" s="506"/>
      <c r="N126" s="932"/>
      <c r="O126" s="932"/>
      <c r="P126" s="1919"/>
      <c r="Q126" s="508"/>
    </row>
    <row r="127" spans="1:17" s="422" customFormat="1" ht="15.75" thickBot="1">
      <c r="A127" s="502"/>
      <c r="B127" s="492"/>
      <c r="C127" s="509"/>
      <c r="D127" s="485"/>
      <c r="E127" s="485"/>
      <c r="F127" s="485"/>
      <c r="G127" s="509"/>
      <c r="H127" s="511"/>
      <c r="I127" s="511"/>
      <c r="J127" s="511"/>
      <c r="K127" s="511"/>
      <c r="L127" s="511"/>
      <c r="M127" s="512"/>
      <c r="N127" s="932"/>
      <c r="O127" s="932"/>
      <c r="P127" s="1919"/>
      <c r="Q127" s="508"/>
    </row>
    <row r="128" spans="1:17" ht="15" thickTop="1">
      <c r="A128" s="548"/>
      <c r="B128" s="487">
        <f>B45</f>
        <v>111</v>
      </c>
      <c r="C128" s="503"/>
      <c r="D128" s="503"/>
      <c r="E128" s="503"/>
      <c r="F128" s="503"/>
      <c r="G128" s="532"/>
      <c r="H128" s="532"/>
      <c r="I128" s="532"/>
      <c r="J128" s="532"/>
      <c r="K128" s="533"/>
      <c r="L128" s="534"/>
      <c r="M128" s="535"/>
      <c r="N128" s="930"/>
      <c r="O128" s="930"/>
      <c r="P128" s="1918"/>
      <c r="Q128" s="453"/>
    </row>
    <row r="129" spans="1:17" ht="15.75" thickBot="1">
      <c r="A129" s="483"/>
      <c r="B129" s="492"/>
      <c r="C129" s="509"/>
      <c r="D129" s="509"/>
      <c r="E129" s="509"/>
      <c r="F129" s="509"/>
      <c r="G129" s="485"/>
      <c r="H129" s="485"/>
      <c r="I129" s="485"/>
      <c r="J129" s="485"/>
      <c r="K129" s="485"/>
      <c r="L129" s="485"/>
      <c r="M129" s="486"/>
      <c r="N129" s="931"/>
      <c r="O129" s="931"/>
      <c r="P129" s="1918"/>
      <c r="Q129" s="453"/>
    </row>
    <row r="130" spans="1:17" ht="15" thickTop="1">
      <c r="A130" s="548"/>
      <c r="B130" s="495">
        <f>B46</f>
        <v>111</v>
      </c>
      <c r="C130" s="503"/>
      <c r="D130" s="503"/>
      <c r="E130" s="503"/>
      <c r="F130" s="503"/>
      <c r="G130" s="536"/>
      <c r="H130" s="536"/>
      <c r="I130" s="536"/>
      <c r="J130" s="536"/>
      <c r="K130" s="472"/>
      <c r="L130" s="473"/>
      <c r="M130" s="539"/>
      <c r="N130" s="930"/>
      <c r="O130" s="930"/>
      <c r="P130" s="1918"/>
      <c r="Q130" s="453"/>
    </row>
    <row r="131" spans="1:17" ht="15.75" thickBot="1">
      <c r="A131" s="1924"/>
      <c r="B131" s="518"/>
      <c r="C131" s="519"/>
      <c r="D131" s="519"/>
      <c r="E131" s="519"/>
      <c r="F131" s="519"/>
      <c r="G131" s="540"/>
      <c r="H131" s="540"/>
      <c r="I131" s="540"/>
      <c r="J131" s="540"/>
      <c r="K131" s="540"/>
      <c r="L131" s="540"/>
      <c r="M131" s="541"/>
      <c r="N131" s="931"/>
      <c r="O131" s="931"/>
      <c r="P131" s="1918"/>
      <c r="Q131" s="453"/>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7" t="s">
        <v>1749</v>
      </c>
      <c r="D138" s="137" t="s">
        <v>1750</v>
      </c>
      <c r="E138" s="1933" t="s">
        <v>1751</v>
      </c>
      <c r="F138" s="1934" t="s">
        <v>1752</v>
      </c>
      <c r="G138" s="137" t="s">
        <v>1750</v>
      </c>
      <c r="H138" s="138" t="s">
        <v>1751</v>
      </c>
      <c r="I138" s="1935"/>
      <c r="J138" s="137" t="s">
        <v>1753</v>
      </c>
      <c r="K138" s="138" t="s">
        <v>1754</v>
      </c>
    </row>
    <row r="139" spans="1:17" ht="15">
      <c r="B139" s="864">
        <v>6</v>
      </c>
      <c r="C139" s="865">
        <v>96</v>
      </c>
      <c r="D139" s="1936" t="s">
        <v>1755</v>
      </c>
      <c r="E139" s="866">
        <v>100</v>
      </c>
      <c r="F139" s="867">
        <v>102.5</v>
      </c>
      <c r="G139" s="1936" t="s">
        <v>1755</v>
      </c>
      <c r="H139" s="868">
        <v>105</v>
      </c>
      <c r="I139" s="1937" t="s">
        <v>1756</v>
      </c>
      <c r="J139" s="865">
        <v>20</v>
      </c>
      <c r="K139" s="869">
        <f>C145/(J139-2)</f>
        <v>4.0555555555555553E-3</v>
      </c>
    </row>
    <row r="140" spans="1:17" ht="15">
      <c r="B140" s="870">
        <v>5</v>
      </c>
      <c r="C140" s="871">
        <v>100</v>
      </c>
      <c r="D140" s="871"/>
      <c r="E140" s="872"/>
      <c r="F140" s="873">
        <v>102</v>
      </c>
      <c r="G140" s="871"/>
      <c r="H140" s="874"/>
      <c r="I140" s="1938" t="s">
        <v>1757</v>
      </c>
      <c r="J140" s="271">
        <f>ROUNDUP((J139-1)/2,0)</f>
        <v>10</v>
      </c>
      <c r="K140" s="875">
        <v>100</v>
      </c>
    </row>
    <row r="141" spans="1:17" ht="15">
      <c r="B141" s="870">
        <v>4</v>
      </c>
      <c r="C141" s="871">
        <v>102</v>
      </c>
      <c r="D141" s="871"/>
      <c r="E141" s="872"/>
      <c r="F141" s="873">
        <v>101.5</v>
      </c>
      <c r="G141" s="871"/>
      <c r="H141" s="874"/>
      <c r="I141" s="1938" t="s">
        <v>1758</v>
      </c>
      <c r="J141" s="271">
        <v>1</v>
      </c>
      <c r="K141" s="876">
        <f>ROUND(100+(J141-J140)*K139*100,1)</f>
        <v>96.4</v>
      </c>
    </row>
    <row r="142" spans="1:17" ht="15">
      <c r="B142" s="870">
        <v>3</v>
      </c>
      <c r="C142" s="871">
        <v>103</v>
      </c>
      <c r="D142" s="871"/>
      <c r="E142" s="872"/>
      <c r="F142" s="873">
        <v>101</v>
      </c>
      <c r="G142" s="871"/>
      <c r="H142" s="874"/>
      <c r="I142" s="1938" t="s">
        <v>1759</v>
      </c>
      <c r="J142" s="271">
        <f>J139</f>
        <v>20</v>
      </c>
      <c r="K142" s="877">
        <v>95</v>
      </c>
    </row>
    <row r="143" spans="1:17" ht="15">
      <c r="B143" s="870">
        <v>2</v>
      </c>
      <c r="C143" s="871">
        <v>100</v>
      </c>
      <c r="D143" s="871"/>
      <c r="E143" s="872"/>
      <c r="F143" s="873">
        <v>100.5</v>
      </c>
      <c r="G143" s="871"/>
      <c r="H143" s="874"/>
      <c r="I143" s="1938" t="s">
        <v>1760</v>
      </c>
      <c r="J143" s="871">
        <v>15</v>
      </c>
      <c r="K143" s="876">
        <f>ROUND(100+(J143-J140)*K139*100,1)</f>
        <v>102</v>
      </c>
    </row>
    <row r="144" spans="1:17" ht="15">
      <c r="B144" s="870">
        <v>1</v>
      </c>
      <c r="C144" s="871">
        <v>98</v>
      </c>
      <c r="D144" s="1939" t="s">
        <v>1761</v>
      </c>
      <c r="E144" s="872">
        <v>102</v>
      </c>
      <c r="F144" s="878">
        <v>100</v>
      </c>
      <c r="G144" s="1939" t="s">
        <v>1761</v>
      </c>
      <c r="H144" s="874">
        <v>105</v>
      </c>
      <c r="I144" s="1938" t="s">
        <v>1760</v>
      </c>
      <c r="J144" s="871">
        <v>18</v>
      </c>
      <c r="K144" s="876">
        <f>ROUND(100+(J144-J140)*K139*100,1)</f>
        <v>103.2</v>
      </c>
    </row>
    <row r="145" spans="2:11" ht="15.75" thickBot="1">
      <c r="B145" s="1940" t="s">
        <v>1762</v>
      </c>
      <c r="C145" s="879">
        <f>ROUND(MAX(C139:C144)/MIN(C139:C144)-1,3)</f>
        <v>7.2999999999999995E-2</v>
      </c>
      <c r="D145" s="880"/>
      <c r="E145" s="880"/>
      <c r="F145" s="1941" t="s">
        <v>1763</v>
      </c>
      <c r="G145" s="1942"/>
      <c r="H145" s="1943"/>
      <c r="I145" s="1944" t="s">
        <v>1760</v>
      </c>
      <c r="J145" s="881">
        <v>8</v>
      </c>
      <c r="K145" s="882">
        <f>ROUND(100+(J145-J140)*K139*100,1)</f>
        <v>99.2</v>
      </c>
    </row>
    <row r="147" spans="2:11">
      <c r="B147" s="1925" t="s">
        <v>1764</v>
      </c>
    </row>
    <row r="148" spans="2:11">
      <c r="B148" s="1925"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43" priority="19" stopIfTrue="1" operator="containsText" text="超过">
      <formula>NOT(ISERROR(SEARCH("超过",F52)))</formula>
    </cfRule>
  </conditionalFormatting>
  <conditionalFormatting sqref="J54">
    <cfRule type="containsText" dxfId="142" priority="18" stopIfTrue="1" operator="containsText" text="超过">
      <formula>NOT(ISERROR(SEARCH("超过",J54)))</formula>
    </cfRule>
  </conditionalFormatting>
  <conditionalFormatting sqref="H54">
    <cfRule type="containsText" dxfId="141" priority="17" stopIfTrue="1" operator="containsText" text="超过">
      <formula>NOT(ISERROR(SEARCH("超过",H54)))</formula>
    </cfRule>
  </conditionalFormatting>
  <conditionalFormatting sqref="F54">
    <cfRule type="containsText" dxfId="140" priority="16" stopIfTrue="1" operator="containsText" text="超过">
      <formula>NOT(ISERROR(SEARCH("超过",F54)))</formula>
    </cfRule>
  </conditionalFormatting>
  <conditionalFormatting sqref="F53 H53 J53">
    <cfRule type="containsText" dxfId="139" priority="15" stopIfTrue="1" operator="containsText" text="超过">
      <formula>NOT(ISERROR(SEARCH("超过",F53)))</formula>
    </cfRule>
  </conditionalFormatting>
  <conditionalFormatting sqref="E52">
    <cfRule type="expression" dxfId="138" priority="14" stopIfTrue="1">
      <formula>$F$52="超过30%"</formula>
    </cfRule>
  </conditionalFormatting>
  <conditionalFormatting sqref="G54">
    <cfRule type="expression" dxfId="137" priority="12" stopIfTrue="1">
      <formula>$H$54="超过30%"</formula>
    </cfRule>
  </conditionalFormatting>
  <conditionalFormatting sqref="E53">
    <cfRule type="expression" dxfId="136" priority="11" stopIfTrue="1">
      <formula>$F$53="超过20%"</formula>
    </cfRule>
  </conditionalFormatting>
  <conditionalFormatting sqref="E54">
    <cfRule type="expression" dxfId="135" priority="10" stopIfTrue="1">
      <formula>$F$54="超过30%"</formula>
    </cfRule>
  </conditionalFormatting>
  <conditionalFormatting sqref="G52">
    <cfRule type="expression" dxfId="134" priority="9" stopIfTrue="1">
      <formula>$H$52="超过30%"</formula>
    </cfRule>
  </conditionalFormatting>
  <conditionalFormatting sqref="G53">
    <cfRule type="expression" dxfId="133" priority="8" stopIfTrue="1">
      <formula>$H$53="超过20%"</formula>
    </cfRule>
  </conditionalFormatting>
  <conditionalFormatting sqref="I52">
    <cfRule type="expression" dxfId="132" priority="7" stopIfTrue="1">
      <formula>$J$52="超过30%"</formula>
    </cfRule>
  </conditionalFormatting>
  <conditionalFormatting sqref="I53">
    <cfRule type="expression" dxfId="131" priority="6" stopIfTrue="1">
      <formula>$J$53="超过20%"</formula>
    </cfRule>
  </conditionalFormatting>
  <conditionalFormatting sqref="I54">
    <cfRule type="expression" dxfId="130" priority="5" stopIfTrue="1">
      <formula>$J$54="超过30%"</formula>
    </cfRule>
  </conditionalFormatting>
  <conditionalFormatting sqref="F48">
    <cfRule type="expression" dxfId="129" priority="4">
      <formula>$D$48="简单平均"</formula>
    </cfRule>
  </conditionalFormatting>
  <conditionalFormatting sqref="H48">
    <cfRule type="expression" dxfId="128" priority="3">
      <formula>$D$48="简单平均"</formula>
    </cfRule>
  </conditionalFormatting>
  <conditionalFormatting sqref="J48">
    <cfRule type="expression" dxfId="127" priority="2">
      <formula>$D$48="简单平均"</formula>
    </cfRule>
  </conditionalFormatting>
  <conditionalFormatting sqref="F7:F46 H7:H46 J7:J46">
    <cfRule type="cellIs" dxfId="12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C22" zoomScale="60" zoomScaleNormal="70" workbookViewId="0">
      <selection activeCell="N19" sqref="N1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953" t="s">
        <v>1810</v>
      </c>
      <c r="C1" s="1220" t="s">
        <v>1662</v>
      </c>
      <c r="D1" s="1221" t="s">
        <v>21</v>
      </c>
      <c r="E1" s="3429" t="s">
        <v>3937</v>
      </c>
      <c r="F1" s="1875" t="s">
        <v>3938</v>
      </c>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1">
        <f>IF(E1="项目模式",IF(C2="——",ROUND(C50*D3/10000,0),ROUND(C50*D3/10000,0)-D2),IF(E1="单套模式",IF(C2="——",ROUND(C50*D3/10000,4),ROUND(C50*D3/10000,4)-D2)))</f>
        <v>358238</v>
      </c>
      <c r="C2" s="1877" t="s">
        <v>43</v>
      </c>
      <c r="D2" s="1112" t="e">
        <f ca="1">IF(E1="项目模式",SUMIF(INDIRECT("'"&amp;F2&amp;"'"&amp;"!A:A"),"承租人权益价值",INDIRECT("'"&amp;F2&amp;"'"&amp;"!c:c")),SUMIF(INDIRECT("'"&amp;F2&amp;"'"&amp;"!A:A"),"承租人权益价值（单套）",INDIRECT("'"&amp;F2&amp;"'"&amp;"!c:c")))</f>
        <v>#REF!</v>
      </c>
      <c r="E2" s="1878" t="s">
        <v>1463</v>
      </c>
      <c r="F2" s="1879"/>
      <c r="G2" s="905"/>
      <c r="H2" s="905"/>
      <c r="I2" s="905"/>
      <c r="J2" s="905"/>
      <c r="K2" s="905"/>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22558</v>
      </c>
      <c r="C3" s="354" t="s">
        <v>1768</v>
      </c>
      <c r="D3" s="353">
        <f>IF(D1="",'数据-汇总表'!E3,SUMIF('数据-汇总表'!$C19:$C33,D1,'数据-汇总表'!$E19:$E33))</f>
        <v>158807.61999999988</v>
      </c>
      <c r="E3" s="1950"/>
      <c r="F3" s="906"/>
      <c r="G3" s="905"/>
      <c r="H3" s="905"/>
      <c r="I3" s="905"/>
      <c r="J3" s="905"/>
      <c r="K3" s="907"/>
      <c r="L3" s="2730"/>
      <c r="M3" s="2731"/>
      <c r="N3" s="2731"/>
      <c r="O3" s="2731"/>
      <c r="P3" s="699"/>
      <c r="Q3" s="699"/>
      <c r="R3" s="699"/>
      <c r="S3" s="699"/>
      <c r="T3" s="699"/>
      <c r="U3" s="699"/>
      <c r="V3" s="699"/>
      <c r="W3" s="699"/>
      <c r="X3" s="699"/>
      <c r="Y3" s="699"/>
      <c r="Z3" s="699"/>
      <c r="AA3" s="699"/>
      <c r="AB3" s="699"/>
      <c r="AC3" s="700"/>
    </row>
    <row r="4" spans="1:29" ht="15">
      <c r="A4" s="355" t="s">
        <v>1769</v>
      </c>
      <c r="B4" s="356"/>
      <c r="C4" s="3719" t="s">
        <v>1770</v>
      </c>
      <c r="D4" s="3720"/>
      <c r="E4" s="3721" t="s">
        <v>1771</v>
      </c>
      <c r="F4" s="3722"/>
      <c r="G4" s="3719" t="s">
        <v>1772</v>
      </c>
      <c r="H4" s="3720"/>
      <c r="I4" s="3719" t="s">
        <v>1773</v>
      </c>
      <c r="J4" s="3720"/>
      <c r="K4" s="559" t="s">
        <v>1774</v>
      </c>
      <c r="L4" s="2711"/>
      <c r="M4" s="2712"/>
      <c r="N4" s="2712"/>
      <c r="O4" s="2712"/>
      <c r="P4" s="3785" t="s">
        <v>1775</v>
      </c>
      <c r="Q4" s="3786"/>
      <c r="R4" s="3778" t="s">
        <v>1771</v>
      </c>
      <c r="S4" s="3779"/>
      <c r="T4" s="3778" t="s">
        <v>1772</v>
      </c>
      <c r="U4" s="3779"/>
      <c r="V4" s="3789" t="s">
        <v>1773</v>
      </c>
      <c r="W4" s="3789"/>
      <c r="X4" s="1954"/>
      <c r="Y4" s="3778" t="s">
        <v>1775</v>
      </c>
      <c r="Z4" s="3779"/>
      <c r="AA4" s="3777" t="s">
        <v>1771</v>
      </c>
      <c r="AB4" s="3777" t="s">
        <v>1772</v>
      </c>
      <c r="AC4" s="3782" t="s">
        <v>1773</v>
      </c>
    </row>
    <row r="5" spans="1:29" ht="15">
      <c r="A5" s="358"/>
      <c r="B5" s="359"/>
      <c r="C5" s="3712" t="s">
        <v>1673</v>
      </c>
      <c r="D5" s="3713"/>
      <c r="E5" s="3780" t="s">
        <v>3939</v>
      </c>
      <c r="F5" s="3711"/>
      <c r="G5" s="3781" t="s">
        <v>3950</v>
      </c>
      <c r="H5" s="3713"/>
      <c r="I5" s="3781" t="s">
        <v>3947</v>
      </c>
      <c r="J5" s="3713"/>
      <c r="K5" s="559"/>
      <c r="L5" s="2711"/>
      <c r="M5" s="2712"/>
      <c r="N5" s="2712"/>
      <c r="O5" s="2712"/>
      <c r="P5" s="3787"/>
      <c r="Q5" s="3726"/>
      <c r="R5" s="3708"/>
      <c r="S5" s="3709"/>
      <c r="T5" s="3708"/>
      <c r="U5" s="3709"/>
      <c r="V5" s="3731"/>
      <c r="W5" s="3731"/>
      <c r="X5" s="1351"/>
      <c r="Y5" s="3708"/>
      <c r="Z5" s="3709"/>
      <c r="AA5" s="3702"/>
      <c r="AB5" s="3702"/>
      <c r="AC5" s="3783"/>
    </row>
    <row r="6" spans="1:29" ht="15.75" thickBot="1">
      <c r="A6" s="360"/>
      <c r="B6" s="361"/>
      <c r="C6" s="3714" t="s">
        <v>1677</v>
      </c>
      <c r="D6" s="3715"/>
      <c r="E6" s="3716" t="s">
        <v>1677</v>
      </c>
      <c r="F6" s="3717"/>
      <c r="G6" s="3714" t="s">
        <v>1677</v>
      </c>
      <c r="H6" s="3715"/>
      <c r="I6" s="3714" t="s">
        <v>1677</v>
      </c>
      <c r="J6" s="3715"/>
      <c r="K6" s="559" t="s">
        <v>1678</v>
      </c>
      <c r="L6" s="2711"/>
      <c r="M6" s="2712"/>
      <c r="N6" s="2712"/>
      <c r="O6" s="2712"/>
      <c r="P6" s="3788"/>
      <c r="Q6" s="3728"/>
      <c r="R6" s="3708"/>
      <c r="S6" s="3709"/>
      <c r="T6" s="3729"/>
      <c r="U6" s="3730"/>
      <c r="V6" s="3731"/>
      <c r="W6" s="3731"/>
      <c r="X6" s="1351"/>
      <c r="Y6" s="3729"/>
      <c r="Z6" s="3730"/>
      <c r="AA6" s="3703"/>
      <c r="AB6" s="3703"/>
      <c r="AC6" s="3784"/>
    </row>
    <row r="7" spans="1:29" s="108" customFormat="1" ht="15.75" thickBot="1">
      <c r="A7" s="362" t="s">
        <v>1679</v>
      </c>
      <c r="B7" s="363"/>
      <c r="C7" s="364">
        <f>'数据-取费表'!B2</f>
        <v>45005</v>
      </c>
      <c r="D7" s="365">
        <v>100</v>
      </c>
      <c r="E7" s="366">
        <f>C7</f>
        <v>45005</v>
      </c>
      <c r="F7" s="367">
        <f>SUMIF(59:59,YEAR(E7)&amp;"-"&amp;MONTH(E7),60:60)</f>
        <v>100</v>
      </c>
      <c r="G7" s="366">
        <f>C7</f>
        <v>45005</v>
      </c>
      <c r="H7" s="365">
        <f>SUMIF(59:59,YEAR(G7)&amp;"-"&amp;MONTH(G7),60:60)</f>
        <v>100</v>
      </c>
      <c r="I7" s="366">
        <f>C7</f>
        <v>45005</v>
      </c>
      <c r="J7" s="365">
        <f>SUMIF(59:59,YEAR(I7)&amp;"-"&amp;MONTH(I7),60:60)</f>
        <v>100</v>
      </c>
      <c r="K7" s="560"/>
      <c r="L7" s="2713"/>
      <c r="M7" s="2714"/>
      <c r="N7" s="2714"/>
      <c r="O7" s="2714"/>
      <c r="P7" s="3790" t="s">
        <v>1680</v>
      </c>
      <c r="Q7" s="3732"/>
      <c r="R7" s="701" t="s">
        <v>14</v>
      </c>
      <c r="S7" s="702">
        <f t="shared" ref="S7:S15" si="0">F7</f>
        <v>100</v>
      </c>
      <c r="T7" s="701" t="s">
        <v>14</v>
      </c>
      <c r="U7" s="702">
        <f t="shared" ref="U7:U15" si="1">H7</f>
        <v>100</v>
      </c>
      <c r="V7" s="701" t="s">
        <v>14</v>
      </c>
      <c r="W7" s="702">
        <f t="shared" ref="W7:W15" si="2">J7</f>
        <v>100</v>
      </c>
      <c r="X7" s="703"/>
      <c r="Y7" s="3704" t="s">
        <v>1680</v>
      </c>
      <c r="Z7" s="3705"/>
      <c r="AA7" s="704">
        <f>D7/F7</f>
        <v>1</v>
      </c>
      <c r="AB7" s="704">
        <f>D7/H7</f>
        <v>1</v>
      </c>
      <c r="AC7" s="1955">
        <f>D7/J7</f>
        <v>1</v>
      </c>
    </row>
    <row r="8" spans="1:29" s="108" customFormat="1" ht="15.75" thickBot="1">
      <c r="A8" s="362" t="s">
        <v>1681</v>
      </c>
      <c r="B8" s="363"/>
      <c r="C8" s="368" t="s">
        <v>3940</v>
      </c>
      <c r="D8" s="365">
        <v>100</v>
      </c>
      <c r="E8" s="368" t="s">
        <v>3940</v>
      </c>
      <c r="F8" s="367">
        <f>SUMIF(62:62,E8,63:63)-SUMIF(62:62,C8,63:63)+100</f>
        <v>100</v>
      </c>
      <c r="G8" s="3484" t="s">
        <v>3941</v>
      </c>
      <c r="H8" s="365">
        <f>SUMIF(62:62,G8,63:63)-SUMIF(62:62,C8,63:63)+100</f>
        <v>100</v>
      </c>
      <c r="I8" s="3484" t="s">
        <v>3941</v>
      </c>
      <c r="J8" s="365">
        <f>SUMIF(62:62,I8,63:63)-SUMIF(62:62,C8,63:63)+100</f>
        <v>100</v>
      </c>
      <c r="K8" s="560"/>
      <c r="L8" s="2713"/>
      <c r="M8" s="2714"/>
      <c r="N8" s="2714"/>
      <c r="O8" s="2714"/>
      <c r="P8" s="3790" t="s">
        <v>1683</v>
      </c>
      <c r="Q8" s="3705"/>
      <c r="R8" s="701" t="s">
        <v>14</v>
      </c>
      <c r="S8" s="702">
        <f t="shared" si="0"/>
        <v>100</v>
      </c>
      <c r="T8" s="701" t="s">
        <v>14</v>
      </c>
      <c r="U8" s="702">
        <f t="shared" si="1"/>
        <v>100</v>
      </c>
      <c r="V8" s="701" t="s">
        <v>14</v>
      </c>
      <c r="W8" s="702">
        <f t="shared" si="2"/>
        <v>100</v>
      </c>
      <c r="X8" s="703"/>
      <c r="Y8" s="3704" t="s">
        <v>1683</v>
      </c>
      <c r="Z8" s="3705"/>
      <c r="AA8" s="704">
        <f t="shared" ref="AA8:AA47" si="3">D8/F8</f>
        <v>1</v>
      </c>
      <c r="AB8" s="704">
        <f t="shared" ref="AB8:AB47" si="4">D8/H8</f>
        <v>1</v>
      </c>
      <c r="AC8" s="1955">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742" t="s">
        <v>1686</v>
      </c>
      <c r="Q9" s="1339" t="str">
        <f t="shared" ref="Q9:Q15" si="6">B9</f>
        <v>用途</v>
      </c>
      <c r="R9" s="701" t="s">
        <v>14</v>
      </c>
      <c r="S9" s="702">
        <f t="shared" si="0"/>
        <v>100</v>
      </c>
      <c r="T9" s="701" t="s">
        <v>14</v>
      </c>
      <c r="U9" s="702">
        <f t="shared" si="1"/>
        <v>100</v>
      </c>
      <c r="V9" s="701" t="s">
        <v>14</v>
      </c>
      <c r="W9" s="702">
        <f t="shared" si="2"/>
        <v>100</v>
      </c>
      <c r="X9" s="703"/>
      <c r="Y9" s="3674" t="s">
        <v>1687</v>
      </c>
      <c r="Z9" s="52" t="str">
        <f t="shared" ref="Z9:Z15" si="7">Q9</f>
        <v>用途</v>
      </c>
      <c r="AA9" s="704">
        <f t="shared" si="3"/>
        <v>1</v>
      </c>
      <c r="AB9" s="704">
        <f t="shared" si="4"/>
        <v>1</v>
      </c>
      <c r="AC9" s="1955">
        <f t="shared" si="5"/>
        <v>1</v>
      </c>
    </row>
    <row r="10" spans="1:29" s="378" customFormat="1" ht="27">
      <c r="A10" s="374"/>
      <c r="B10" s="375" t="s">
        <v>1688</v>
      </c>
      <c r="C10" s="3430" t="s">
        <v>3942</v>
      </c>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742"/>
      <c r="Q10" s="1339" t="str">
        <f t="shared" si="6"/>
        <v>土地使用年限（年）</v>
      </c>
      <c r="R10" s="701" t="s">
        <v>14</v>
      </c>
      <c r="S10" s="702">
        <f t="shared" si="0"/>
        <v>100</v>
      </c>
      <c r="T10" s="701" t="s">
        <v>14</v>
      </c>
      <c r="U10" s="702">
        <f t="shared" si="1"/>
        <v>100</v>
      </c>
      <c r="V10" s="701" t="s">
        <v>14</v>
      </c>
      <c r="W10" s="702">
        <f t="shared" si="2"/>
        <v>100</v>
      </c>
      <c r="X10" s="703"/>
      <c r="Y10" s="3674"/>
      <c r="Z10" s="52" t="str">
        <f t="shared" si="7"/>
        <v>土地使用年限（年）</v>
      </c>
      <c r="AA10" s="704">
        <f t="shared" si="3"/>
        <v>1</v>
      </c>
      <c r="AB10" s="704">
        <f t="shared" si="4"/>
        <v>1</v>
      </c>
      <c r="AC10" s="1955">
        <f t="shared" si="5"/>
        <v>1</v>
      </c>
    </row>
    <row r="11" spans="1:29" ht="15">
      <c r="A11" s="379"/>
      <c r="B11" s="375" t="s">
        <v>1689</v>
      </c>
      <c r="C11" s="380">
        <f>'数据-汇总表'!I6</f>
        <v>11.11</v>
      </c>
      <c r="D11" s="127">
        <v>100</v>
      </c>
      <c r="E11" s="380">
        <v>8.8000000000000007</v>
      </c>
      <c r="F11" s="127">
        <f>LOOKUP(E11,69:69,70:70)-LOOKUP(C11,69:69,70:70)+100</f>
        <v>102</v>
      </c>
      <c r="G11" s="381">
        <v>4.9000000000000004</v>
      </c>
      <c r="H11" s="127">
        <f>LOOKUP(G11,69:69,70:70)-LOOKUP(C11,69:69,70:70)+100</f>
        <v>106</v>
      </c>
      <c r="I11" s="380">
        <v>6.87</v>
      </c>
      <c r="J11" s="127">
        <f>LOOKUP(I11,69:69,70:70)-LOOKUP(C11,69:69,70:70)+100</f>
        <v>104</v>
      </c>
      <c r="K11" s="561">
        <v>2</v>
      </c>
      <c r="L11" s="2717"/>
      <c r="M11" s="2712"/>
      <c r="N11" s="2712"/>
      <c r="O11" s="2712"/>
      <c r="P11" s="3742"/>
      <c r="Q11" s="1339" t="str">
        <f t="shared" si="6"/>
        <v>容积率</v>
      </c>
      <c r="R11" s="701" t="s">
        <v>14</v>
      </c>
      <c r="S11" s="702">
        <f t="shared" si="0"/>
        <v>102</v>
      </c>
      <c r="T11" s="701" t="s">
        <v>14</v>
      </c>
      <c r="U11" s="702">
        <f t="shared" si="1"/>
        <v>106</v>
      </c>
      <c r="V11" s="701" t="s">
        <v>14</v>
      </c>
      <c r="W11" s="702">
        <f t="shared" si="2"/>
        <v>104</v>
      </c>
      <c r="X11" s="703"/>
      <c r="Y11" s="3674"/>
      <c r="Z11" s="52" t="str">
        <f t="shared" si="7"/>
        <v>容积率</v>
      </c>
      <c r="AA11" s="704">
        <f t="shared" si="3"/>
        <v>0.98039215686274506</v>
      </c>
      <c r="AB11" s="704">
        <f t="shared" si="4"/>
        <v>0.94339622641509435</v>
      </c>
      <c r="AC11" s="1955">
        <f t="shared" si="5"/>
        <v>0.96153846153846156</v>
      </c>
    </row>
    <row r="12" spans="1:29" s="108" customFormat="1" ht="15">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3"/>
      <c r="M12" s="2714"/>
      <c r="N12" s="2714"/>
      <c r="O12" s="2714"/>
      <c r="P12" s="3742"/>
      <c r="Q12" s="1339">
        <f t="shared" si="6"/>
        <v>111</v>
      </c>
      <c r="R12" s="701" t="s">
        <v>14</v>
      </c>
      <c r="S12" s="702">
        <f t="shared" si="0"/>
        <v>100</v>
      </c>
      <c r="T12" s="701" t="s">
        <v>14</v>
      </c>
      <c r="U12" s="702">
        <f t="shared" si="1"/>
        <v>100</v>
      </c>
      <c r="V12" s="701" t="s">
        <v>14</v>
      </c>
      <c r="W12" s="702">
        <f t="shared" si="2"/>
        <v>100</v>
      </c>
      <c r="X12" s="703"/>
      <c r="Y12" s="3674"/>
      <c r="Z12" s="52">
        <f t="shared" si="7"/>
        <v>111</v>
      </c>
      <c r="AA12" s="704">
        <f>D12/F12</f>
        <v>1</v>
      </c>
      <c r="AB12" s="704">
        <f>D12/H12</f>
        <v>1</v>
      </c>
      <c r="AC12" s="1955">
        <f>D12/J12</f>
        <v>1</v>
      </c>
    </row>
    <row r="13" spans="1:29" ht="15">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8"/>
      <c r="M13" s="2712"/>
      <c r="N13" s="2712"/>
      <c r="O13" s="2712"/>
      <c r="P13" s="3742"/>
      <c r="Q13" s="1339">
        <f t="shared" si="6"/>
        <v>111</v>
      </c>
      <c r="R13" s="701" t="s">
        <v>14</v>
      </c>
      <c r="S13" s="702">
        <f t="shared" si="0"/>
        <v>100</v>
      </c>
      <c r="T13" s="701" t="s">
        <v>14</v>
      </c>
      <c r="U13" s="702">
        <f t="shared" si="1"/>
        <v>100</v>
      </c>
      <c r="V13" s="701" t="s">
        <v>14</v>
      </c>
      <c r="W13" s="702">
        <f t="shared" si="2"/>
        <v>100</v>
      </c>
      <c r="X13" s="703"/>
      <c r="Y13" s="3674"/>
      <c r="Z13" s="52">
        <f t="shared" si="7"/>
        <v>111</v>
      </c>
      <c r="AA13" s="704">
        <f t="shared" si="3"/>
        <v>1</v>
      </c>
      <c r="AB13" s="704">
        <f t="shared" si="4"/>
        <v>1</v>
      </c>
      <c r="AC13" s="1955">
        <f t="shared" si="5"/>
        <v>1</v>
      </c>
    </row>
    <row r="14" spans="1:29" ht="15.75"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8"/>
      <c r="M14" s="2712"/>
      <c r="N14" s="2712"/>
      <c r="O14" s="2712"/>
      <c r="P14" s="3742"/>
      <c r="Q14" s="1339">
        <f t="shared" si="6"/>
        <v>111</v>
      </c>
      <c r="R14" s="701" t="s">
        <v>14</v>
      </c>
      <c r="S14" s="702">
        <f t="shared" si="0"/>
        <v>100</v>
      </c>
      <c r="T14" s="701" t="s">
        <v>14</v>
      </c>
      <c r="U14" s="702">
        <f t="shared" si="1"/>
        <v>100</v>
      </c>
      <c r="V14" s="701" t="s">
        <v>14</v>
      </c>
      <c r="W14" s="702">
        <f t="shared" si="2"/>
        <v>100</v>
      </c>
      <c r="X14" s="703"/>
      <c r="Y14" s="3674"/>
      <c r="Z14" s="52">
        <f t="shared" si="7"/>
        <v>111</v>
      </c>
      <c r="AA14" s="704">
        <f t="shared" si="3"/>
        <v>1</v>
      </c>
      <c r="AB14" s="704">
        <f t="shared" si="4"/>
        <v>1</v>
      </c>
      <c r="AC14" s="1955">
        <f t="shared" si="5"/>
        <v>1</v>
      </c>
    </row>
    <row r="15" spans="1:29" ht="71.25">
      <c r="A15" s="391" t="s">
        <v>1690</v>
      </c>
      <c r="B15" s="577" t="s">
        <v>1811</v>
      </c>
      <c r="C15" s="1957"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95</v>
      </c>
      <c r="I15" s="393"/>
      <c r="J15" s="392">
        <f>SUMIF(77:77,I16,78:78)-SUMIF(77:77,C16,78:78)+100</f>
        <v>95</v>
      </c>
      <c r="K15" s="563">
        <v>5</v>
      </c>
      <c r="L15" s="2718"/>
      <c r="M15" s="2712"/>
      <c r="N15" s="2712"/>
      <c r="O15" s="2712"/>
      <c r="P15" s="3775" t="s">
        <v>1691</v>
      </c>
      <c r="Q15" s="1348" t="str">
        <f t="shared" si="6"/>
        <v>办公集聚程度</v>
      </c>
      <c r="R15" s="705" t="s">
        <v>14</v>
      </c>
      <c r="S15" s="706">
        <f t="shared" si="0"/>
        <v>100</v>
      </c>
      <c r="T15" s="705" t="s">
        <v>14</v>
      </c>
      <c r="U15" s="706">
        <f t="shared" si="1"/>
        <v>95</v>
      </c>
      <c r="V15" s="705" t="s">
        <v>14</v>
      </c>
      <c r="W15" s="706">
        <f t="shared" si="2"/>
        <v>95</v>
      </c>
      <c r="X15" s="1351"/>
      <c r="Y15" s="3733" t="s">
        <v>1691</v>
      </c>
      <c r="Z15" s="1352" t="str">
        <f t="shared" si="7"/>
        <v>办公集聚程度</v>
      </c>
      <c r="AA15" s="1349">
        <f t="shared" si="3"/>
        <v>1</v>
      </c>
      <c r="AB15" s="1349">
        <f t="shared" si="4"/>
        <v>1.0526315789473684</v>
      </c>
      <c r="AC15" s="1958">
        <f t="shared" si="5"/>
        <v>1.0526315789473684</v>
      </c>
    </row>
    <row r="16" spans="1:29" ht="15">
      <c r="A16" s="379"/>
      <c r="B16" s="578"/>
      <c r="C16" s="3492" t="s">
        <v>3943</v>
      </c>
      <c r="D16" s="399"/>
      <c r="E16" s="3487" t="s">
        <v>3943</v>
      </c>
      <c r="F16" s="399"/>
      <c r="G16" s="3492" t="s">
        <v>3945</v>
      </c>
      <c r="H16" s="401"/>
      <c r="I16" s="3487" t="s">
        <v>3923</v>
      </c>
      <c r="J16" s="399"/>
      <c r="K16" s="564"/>
      <c r="L16" s="2718"/>
      <c r="M16" s="2712"/>
      <c r="N16" s="2712"/>
      <c r="O16" s="2712"/>
      <c r="P16" s="3776"/>
      <c r="Q16" s="1348"/>
      <c r="R16" s="705"/>
      <c r="S16" s="706"/>
      <c r="T16" s="705"/>
      <c r="U16" s="706"/>
      <c r="V16" s="705"/>
      <c r="W16" s="706"/>
      <c r="X16" s="1351"/>
      <c r="Y16" s="3734"/>
      <c r="Z16" s="1352"/>
      <c r="AA16" s="1349">
        <v>1</v>
      </c>
      <c r="AB16" s="1349">
        <v>1</v>
      </c>
      <c r="AC16" s="1958">
        <v>1</v>
      </c>
    </row>
    <row r="17" spans="1:29" ht="71.25">
      <c r="A17" s="379"/>
      <c r="B17" s="579" t="s">
        <v>1259</v>
      </c>
      <c r="C17" s="1959"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95</v>
      </c>
      <c r="I17" s="403"/>
      <c r="J17" s="406">
        <f>SUMIF(79:79,I18,80:80)-SUMIF(79:79,C18,80:80)+100</f>
        <v>95</v>
      </c>
      <c r="K17" s="563">
        <v>5</v>
      </c>
      <c r="L17" s="2718"/>
      <c r="M17" s="2712"/>
      <c r="N17" s="2712"/>
      <c r="O17" s="2712"/>
      <c r="P17" s="3776"/>
      <c r="Q17" s="1348" t="str">
        <f>B17</f>
        <v>交通便捷度</v>
      </c>
      <c r="R17" s="705" t="s">
        <v>14</v>
      </c>
      <c r="S17" s="706">
        <f>F17</f>
        <v>100</v>
      </c>
      <c r="T17" s="705" t="s">
        <v>14</v>
      </c>
      <c r="U17" s="706">
        <f>H17</f>
        <v>95</v>
      </c>
      <c r="V17" s="705" t="s">
        <v>14</v>
      </c>
      <c r="W17" s="706">
        <f>J17</f>
        <v>95</v>
      </c>
      <c r="X17" s="1351"/>
      <c r="Y17" s="3734"/>
      <c r="Z17" s="1352" t="str">
        <f>Q17</f>
        <v>交通便捷度</v>
      </c>
      <c r="AA17" s="1349">
        <f t="shared" si="3"/>
        <v>1</v>
      </c>
      <c r="AB17" s="1349">
        <f t="shared" si="4"/>
        <v>1.0526315789473684</v>
      </c>
      <c r="AC17" s="1958">
        <f t="shared" si="5"/>
        <v>1.0526315789473684</v>
      </c>
    </row>
    <row r="18" spans="1:29" ht="15">
      <c r="A18" s="379"/>
      <c r="B18" s="580"/>
      <c r="C18" s="3497" t="s">
        <v>3944</v>
      </c>
      <c r="D18" s="401"/>
      <c r="E18" s="3498" t="s">
        <v>3945</v>
      </c>
      <c r="F18" s="401"/>
      <c r="G18" s="3499" t="s">
        <v>3946</v>
      </c>
      <c r="H18" s="399"/>
      <c r="I18" s="3499" t="s">
        <v>3946</v>
      </c>
      <c r="J18" s="399"/>
      <c r="K18" s="564"/>
      <c r="L18" s="2718"/>
      <c r="M18" s="2712"/>
      <c r="N18" s="2712"/>
      <c r="O18" s="2712"/>
      <c r="P18" s="3776"/>
      <c r="Q18" s="1348"/>
      <c r="R18" s="705"/>
      <c r="S18" s="706"/>
      <c r="T18" s="705"/>
      <c r="U18" s="706"/>
      <c r="V18" s="705"/>
      <c r="W18" s="706"/>
      <c r="X18" s="1351"/>
      <c r="Y18" s="3734"/>
      <c r="Z18" s="1352"/>
      <c r="AA18" s="1349">
        <v>1</v>
      </c>
      <c r="AB18" s="1349">
        <v>1</v>
      </c>
      <c r="AC18" s="1958">
        <v>1</v>
      </c>
    </row>
    <row r="19" spans="1:29" ht="42.75">
      <c r="A19" s="379"/>
      <c r="B19" s="579" t="s">
        <v>1812</v>
      </c>
      <c r="C19" s="1959"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776"/>
      <c r="Q19" s="1348" t="str">
        <f>B19</f>
        <v>公共配套设施</v>
      </c>
      <c r="R19" s="705" t="s">
        <v>14</v>
      </c>
      <c r="S19" s="706">
        <f>F19</f>
        <v>100</v>
      </c>
      <c r="T19" s="705" t="s">
        <v>14</v>
      </c>
      <c r="U19" s="706">
        <f>H19</f>
        <v>100</v>
      </c>
      <c r="V19" s="705" t="s">
        <v>14</v>
      </c>
      <c r="W19" s="706">
        <f>J19</f>
        <v>100</v>
      </c>
      <c r="X19" s="1351"/>
      <c r="Y19" s="3734"/>
      <c r="Z19" s="1352" t="str">
        <f>Q19</f>
        <v>公共配套设施</v>
      </c>
      <c r="AA19" s="1349">
        <f t="shared" si="3"/>
        <v>1</v>
      </c>
      <c r="AB19" s="1349">
        <f t="shared" si="4"/>
        <v>1</v>
      </c>
      <c r="AC19" s="1958">
        <f t="shared" si="5"/>
        <v>1</v>
      </c>
    </row>
    <row r="20" spans="1:29" ht="15">
      <c r="A20" s="379"/>
      <c r="B20" s="580"/>
      <c r="C20" s="1900"/>
      <c r="D20" s="399"/>
      <c r="E20" s="1893"/>
      <c r="F20" s="399"/>
      <c r="G20" s="1894"/>
      <c r="H20" s="399"/>
      <c r="I20" s="1894"/>
      <c r="J20" s="399"/>
      <c r="K20" s="564"/>
      <c r="L20" s="2718"/>
      <c r="M20" s="2712"/>
      <c r="N20" s="2712"/>
      <c r="O20" s="2712"/>
      <c r="P20" s="3776"/>
      <c r="Q20" s="1348"/>
      <c r="R20" s="705"/>
      <c r="S20" s="706"/>
      <c r="T20" s="705"/>
      <c r="U20" s="706"/>
      <c r="V20" s="705"/>
      <c r="W20" s="706"/>
      <c r="X20" s="1351"/>
      <c r="Y20" s="3734"/>
      <c r="Z20" s="1352"/>
      <c r="AA20" s="1349">
        <v>1</v>
      </c>
      <c r="AB20" s="1349">
        <v>1</v>
      </c>
      <c r="AC20" s="1958">
        <v>1</v>
      </c>
    </row>
    <row r="21" spans="1:29" ht="28.5">
      <c r="A21" s="379"/>
      <c r="B21" s="581" t="s">
        <v>1813</v>
      </c>
      <c r="C21" s="1959"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776"/>
      <c r="Q21" s="1348" t="str">
        <f>B21</f>
        <v>基础设施水平</v>
      </c>
      <c r="R21" s="705" t="s">
        <v>14</v>
      </c>
      <c r="S21" s="706">
        <f>F21</f>
        <v>100</v>
      </c>
      <c r="T21" s="705" t="s">
        <v>14</v>
      </c>
      <c r="U21" s="706">
        <f>H21</f>
        <v>100</v>
      </c>
      <c r="V21" s="705" t="s">
        <v>14</v>
      </c>
      <c r="W21" s="706">
        <f>J21</f>
        <v>100</v>
      </c>
      <c r="X21" s="1351"/>
      <c r="Y21" s="3734"/>
      <c r="Z21" s="1352" t="str">
        <f>Q21</f>
        <v>基础设施水平</v>
      </c>
      <c r="AA21" s="1349">
        <f t="shared" ref="AA21" si="8">D21/F21</f>
        <v>1</v>
      </c>
      <c r="AB21" s="1349">
        <f t="shared" ref="AB21" si="9">D21/H21</f>
        <v>1</v>
      </c>
      <c r="AC21" s="1958">
        <f t="shared" ref="AC21" si="10">D21/J21</f>
        <v>1</v>
      </c>
    </row>
    <row r="22" spans="1:29" ht="15">
      <c r="A22" s="379"/>
      <c r="B22" s="581"/>
      <c r="C22" s="1960"/>
      <c r="D22" s="399"/>
      <c r="E22" s="398"/>
      <c r="F22" s="399"/>
      <c r="G22" s="1900"/>
      <c r="H22" s="399"/>
      <c r="I22" s="1900"/>
      <c r="J22" s="399"/>
      <c r="K22" s="1127"/>
      <c r="L22" s="2718"/>
      <c r="M22" s="2712"/>
      <c r="N22" s="2712"/>
      <c r="O22" s="2712"/>
      <c r="P22" s="3776"/>
      <c r="Q22" s="1348"/>
      <c r="R22" s="705"/>
      <c r="S22" s="706"/>
      <c r="T22" s="705"/>
      <c r="U22" s="706"/>
      <c r="V22" s="705"/>
      <c r="W22" s="706"/>
      <c r="X22" s="1351"/>
      <c r="Y22" s="3734"/>
      <c r="Z22" s="1352"/>
      <c r="AA22" s="1349">
        <v>1</v>
      </c>
      <c r="AB22" s="1349">
        <v>1</v>
      </c>
      <c r="AC22" s="1958">
        <v>1</v>
      </c>
    </row>
    <row r="23" spans="1:29" ht="42.75">
      <c r="A23" s="379"/>
      <c r="B23" s="579" t="s">
        <v>1814</v>
      </c>
      <c r="C23" s="1959"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776"/>
      <c r="Q23" s="1348" t="str">
        <f>B23</f>
        <v>环境质量</v>
      </c>
      <c r="R23" s="705" t="s">
        <v>14</v>
      </c>
      <c r="S23" s="706">
        <f>F23</f>
        <v>100</v>
      </c>
      <c r="T23" s="705" t="s">
        <v>14</v>
      </c>
      <c r="U23" s="706">
        <f>H23</f>
        <v>100</v>
      </c>
      <c r="V23" s="705" t="s">
        <v>14</v>
      </c>
      <c r="W23" s="706">
        <f>J23</f>
        <v>100</v>
      </c>
      <c r="X23" s="1351"/>
      <c r="Y23" s="3734"/>
      <c r="Z23" s="1352" t="str">
        <f>Q23</f>
        <v>环境质量</v>
      </c>
      <c r="AA23" s="1349">
        <f t="shared" si="3"/>
        <v>1</v>
      </c>
      <c r="AB23" s="1349">
        <f t="shared" si="4"/>
        <v>1</v>
      </c>
      <c r="AC23" s="1958">
        <f t="shared" si="5"/>
        <v>1</v>
      </c>
    </row>
    <row r="24" spans="1:29" ht="15">
      <c r="A24" s="379"/>
      <c r="B24" s="581"/>
      <c r="C24" s="1900"/>
      <c r="D24" s="399"/>
      <c r="E24" s="1893"/>
      <c r="F24" s="399"/>
      <c r="G24" s="1894"/>
      <c r="H24" s="399"/>
      <c r="I24" s="1894"/>
      <c r="J24" s="399"/>
      <c r="K24" s="564"/>
      <c r="L24" s="2718"/>
      <c r="M24" s="2712"/>
      <c r="N24" s="2712"/>
      <c r="O24" s="2712"/>
      <c r="P24" s="3776"/>
      <c r="Q24" s="1348"/>
      <c r="R24" s="705"/>
      <c r="S24" s="706"/>
      <c r="T24" s="705"/>
      <c r="U24" s="706"/>
      <c r="V24" s="705"/>
      <c r="W24" s="706"/>
      <c r="X24" s="1351"/>
      <c r="Y24" s="3734"/>
      <c r="Z24" s="1352"/>
      <c r="AA24" s="1349">
        <v>1</v>
      </c>
      <c r="AB24" s="1349">
        <v>1</v>
      </c>
      <c r="AC24" s="1958">
        <v>1</v>
      </c>
    </row>
    <row r="25" spans="1:29" ht="27">
      <c r="A25" s="358"/>
      <c r="B25" s="579" t="s">
        <v>1815</v>
      </c>
      <c r="C25" s="1904"/>
      <c r="D25" s="386">
        <v>100</v>
      </c>
      <c r="E25" s="385"/>
      <c r="F25" s="386">
        <f>SUMIF(87:87,E26,88:88)-SUMIF(87:87,C26,88:88)+100</f>
        <v>100</v>
      </c>
      <c r="G25" s="1904"/>
      <c r="H25" s="386">
        <f>SUMIF(87:87,G26,88:88)-SUMIF(87:87,C26,88:88)+100</f>
        <v>100</v>
      </c>
      <c r="I25" s="385"/>
      <c r="J25" s="386">
        <f>SUMIF(87:87,I26,88:88)-SUMIF(87:87,C26,88:88)+100</f>
        <v>100</v>
      </c>
      <c r="K25" s="563"/>
      <c r="L25" s="2718"/>
      <c r="M25" s="2712"/>
      <c r="N25" s="2712"/>
      <c r="O25" s="2712"/>
      <c r="P25" s="3776"/>
      <c r="Q25" s="1348" t="str">
        <f>B25</f>
        <v>毗邻道路的类型与等级</v>
      </c>
      <c r="R25" s="705" t="s">
        <v>14</v>
      </c>
      <c r="S25" s="706">
        <f>F25</f>
        <v>100</v>
      </c>
      <c r="T25" s="705" t="s">
        <v>14</v>
      </c>
      <c r="U25" s="706">
        <f>H25</f>
        <v>100</v>
      </c>
      <c r="V25" s="705" t="s">
        <v>14</v>
      </c>
      <c r="W25" s="706">
        <f>J25</f>
        <v>100</v>
      </c>
      <c r="X25" s="1351"/>
      <c r="Y25" s="3734"/>
      <c r="Z25" s="1352" t="str">
        <f>Q25</f>
        <v>毗邻道路的类型与等级</v>
      </c>
      <c r="AA25" s="1349">
        <f t="shared" si="3"/>
        <v>1</v>
      </c>
      <c r="AB25" s="1349">
        <f t="shared" si="4"/>
        <v>1</v>
      </c>
      <c r="AC25" s="1958">
        <f t="shared" si="5"/>
        <v>1</v>
      </c>
    </row>
    <row r="26" spans="1:29" ht="15">
      <c r="A26" s="358"/>
      <c r="B26" s="580"/>
      <c r="C26" s="582"/>
      <c r="D26" s="386"/>
      <c r="E26" s="565"/>
      <c r="F26" s="386"/>
      <c r="G26" s="582"/>
      <c r="H26" s="386"/>
      <c r="I26" s="565"/>
      <c r="J26" s="386"/>
      <c r="K26" s="564"/>
      <c r="L26" s="2718"/>
      <c r="M26" s="2712"/>
      <c r="N26" s="2712"/>
      <c r="O26" s="2712"/>
      <c r="P26" s="3776"/>
      <c r="Q26" s="1348"/>
      <c r="R26" s="705"/>
      <c r="S26" s="706"/>
      <c r="T26" s="705"/>
      <c r="U26" s="706"/>
      <c r="V26" s="705"/>
      <c r="W26" s="706"/>
      <c r="X26" s="1351"/>
      <c r="Y26" s="3734"/>
      <c r="Z26" s="1352"/>
      <c r="AA26" s="1349">
        <v>1</v>
      </c>
      <c r="AB26" s="1349">
        <v>1</v>
      </c>
      <c r="AC26" s="1958">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776"/>
      <c r="Q27" s="1348" t="str">
        <f t="shared" ref="Q27:Q47" si="11">B27</f>
        <v>楼层</v>
      </c>
      <c r="R27" s="705" t="s">
        <v>14</v>
      </c>
      <c r="S27" s="706">
        <f>F27</f>
        <v>100</v>
      </c>
      <c r="T27" s="705" t="s">
        <v>14</v>
      </c>
      <c r="U27" s="706">
        <f>H27</f>
        <v>100</v>
      </c>
      <c r="V27" s="705" t="s">
        <v>14</v>
      </c>
      <c r="W27" s="706">
        <f>J27</f>
        <v>100</v>
      </c>
      <c r="X27" s="1351"/>
      <c r="Y27" s="3734"/>
      <c r="Z27" s="1352" t="str">
        <f>Q27</f>
        <v>楼层</v>
      </c>
      <c r="AA27" s="1349">
        <f t="shared" si="3"/>
        <v>1</v>
      </c>
      <c r="AB27" s="1349">
        <f t="shared" si="4"/>
        <v>1</v>
      </c>
      <c r="AC27" s="1958">
        <f t="shared" si="5"/>
        <v>1</v>
      </c>
    </row>
    <row r="28" spans="1:29" s="108" customFormat="1" ht="15">
      <c r="A28" s="382"/>
      <c r="B28" s="579" t="s">
        <v>1816</v>
      </c>
      <c r="C28" s="1961"/>
      <c r="D28" s="413">
        <v>100</v>
      </c>
      <c r="E28" s="1952"/>
      <c r="F28" s="413">
        <f>SUMIF(91:91,E28,92:92)-SUMIF(91:91,C28,92:92)+100</f>
        <v>100</v>
      </c>
      <c r="G28" s="1961"/>
      <c r="H28" s="413">
        <f>SUMIF(91:91,G28,92:92)-SUMIF(91:91,C28,92:92)+100</f>
        <v>100</v>
      </c>
      <c r="I28" s="1952"/>
      <c r="J28" s="413">
        <f>SUMIF(91:91,I28,92:92)-SUMIF(91:91,C28,92:92)+100</f>
        <v>100</v>
      </c>
      <c r="K28" s="561"/>
      <c r="L28" s="2713"/>
      <c r="M28" s="2714"/>
      <c r="N28" s="2714"/>
      <c r="O28" s="2714"/>
      <c r="P28" s="3776"/>
      <c r="Q28" s="1339" t="str">
        <f t="shared" si="11"/>
        <v>朝向</v>
      </c>
      <c r="R28" s="701" t="s">
        <v>14</v>
      </c>
      <c r="S28" s="702">
        <f>F28</f>
        <v>100</v>
      </c>
      <c r="T28" s="701" t="s">
        <v>14</v>
      </c>
      <c r="U28" s="702">
        <f>H28</f>
        <v>100</v>
      </c>
      <c r="V28" s="701" t="s">
        <v>14</v>
      </c>
      <c r="W28" s="702">
        <f>J28</f>
        <v>100</v>
      </c>
      <c r="X28" s="703"/>
      <c r="Y28" s="3734"/>
      <c r="Z28" s="52" t="str">
        <f>Q28</f>
        <v>朝向</v>
      </c>
      <c r="AA28" s="1349">
        <f>D28/F28</f>
        <v>1</v>
      </c>
      <c r="AB28" s="1349">
        <f>D28/H28</f>
        <v>1</v>
      </c>
      <c r="AC28" s="1958">
        <f>D28/J28</f>
        <v>1</v>
      </c>
    </row>
    <row r="29" spans="1:29" ht="15">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8"/>
      <c r="M29" s="2712"/>
      <c r="N29" s="2712"/>
      <c r="O29" s="2712"/>
      <c r="P29" s="3776"/>
      <c r="Q29" s="1348">
        <f t="shared" si="11"/>
        <v>111</v>
      </c>
      <c r="R29" s="705" t="s">
        <v>14</v>
      </c>
      <c r="S29" s="706">
        <f t="shared" ref="S29:S47" si="12">F29</f>
        <v>100</v>
      </c>
      <c r="T29" s="705" t="s">
        <v>14</v>
      </c>
      <c r="U29" s="706">
        <f t="shared" ref="U29:U47" si="13">H29</f>
        <v>100</v>
      </c>
      <c r="V29" s="705" t="s">
        <v>14</v>
      </c>
      <c r="W29" s="706">
        <f t="shared" ref="W29:W47" si="14">J29</f>
        <v>100</v>
      </c>
      <c r="X29" s="1351"/>
      <c r="Y29" s="3734"/>
      <c r="Z29" s="1352">
        <f t="shared" ref="Z29:Z47" si="15">Q29</f>
        <v>111</v>
      </c>
      <c r="AA29" s="1349">
        <f t="shared" si="3"/>
        <v>1</v>
      </c>
      <c r="AB29" s="1349">
        <f t="shared" si="4"/>
        <v>1</v>
      </c>
      <c r="AC29" s="1958">
        <f t="shared" si="5"/>
        <v>1</v>
      </c>
    </row>
    <row r="30" spans="1:29" ht="15">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8"/>
      <c r="M30" s="2712"/>
      <c r="N30" s="2712"/>
      <c r="O30" s="2712"/>
      <c r="P30" s="3776"/>
      <c r="Q30" s="1348">
        <f t="shared" si="11"/>
        <v>111</v>
      </c>
      <c r="R30" s="705" t="s">
        <v>14</v>
      </c>
      <c r="S30" s="706">
        <f t="shared" si="12"/>
        <v>100</v>
      </c>
      <c r="T30" s="705" t="s">
        <v>14</v>
      </c>
      <c r="U30" s="706">
        <f t="shared" si="13"/>
        <v>100</v>
      </c>
      <c r="V30" s="705" t="s">
        <v>14</v>
      </c>
      <c r="W30" s="706">
        <f t="shared" si="14"/>
        <v>100</v>
      </c>
      <c r="X30" s="1351"/>
      <c r="Y30" s="3734"/>
      <c r="Z30" s="1352">
        <f t="shared" si="15"/>
        <v>111</v>
      </c>
      <c r="AA30" s="1349">
        <f t="shared" si="3"/>
        <v>1</v>
      </c>
      <c r="AB30" s="1349">
        <f t="shared" si="4"/>
        <v>1</v>
      </c>
      <c r="AC30" s="1958">
        <f t="shared" si="5"/>
        <v>1</v>
      </c>
    </row>
    <row r="31" spans="1:29" ht="15">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8"/>
      <c r="M31" s="2712"/>
      <c r="N31" s="2712"/>
      <c r="O31" s="2712"/>
      <c r="P31" s="3776"/>
      <c r="Q31" s="1348">
        <f t="shared" si="11"/>
        <v>111</v>
      </c>
      <c r="R31" s="705" t="s">
        <v>14</v>
      </c>
      <c r="S31" s="706">
        <f t="shared" si="12"/>
        <v>100</v>
      </c>
      <c r="T31" s="705" t="s">
        <v>14</v>
      </c>
      <c r="U31" s="706">
        <f t="shared" si="13"/>
        <v>100</v>
      </c>
      <c r="V31" s="705" t="s">
        <v>14</v>
      </c>
      <c r="W31" s="706">
        <f t="shared" si="14"/>
        <v>100</v>
      </c>
      <c r="X31" s="1351"/>
      <c r="Y31" s="3734"/>
      <c r="Z31" s="1352">
        <f t="shared" si="15"/>
        <v>111</v>
      </c>
      <c r="AA31" s="1349">
        <f t="shared" si="3"/>
        <v>1</v>
      </c>
      <c r="AB31" s="1349">
        <f t="shared" si="4"/>
        <v>1</v>
      </c>
      <c r="AC31" s="1958">
        <f t="shared" si="5"/>
        <v>1</v>
      </c>
    </row>
    <row r="32" spans="1:29" ht="15.75"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8"/>
      <c r="M32" s="2712"/>
      <c r="N32" s="2712"/>
      <c r="O32" s="2712"/>
      <c r="P32" s="3776"/>
      <c r="Q32" s="1348">
        <f t="shared" si="11"/>
        <v>111</v>
      </c>
      <c r="R32" s="705" t="s">
        <v>14</v>
      </c>
      <c r="S32" s="706">
        <f t="shared" si="12"/>
        <v>100</v>
      </c>
      <c r="T32" s="705" t="s">
        <v>14</v>
      </c>
      <c r="U32" s="706">
        <f t="shared" si="13"/>
        <v>100</v>
      </c>
      <c r="V32" s="705" t="s">
        <v>14</v>
      </c>
      <c r="W32" s="706">
        <f t="shared" si="14"/>
        <v>100</v>
      </c>
      <c r="X32" s="1351"/>
      <c r="Y32" s="3734"/>
      <c r="Z32" s="1352">
        <f t="shared" si="15"/>
        <v>111</v>
      </c>
      <c r="AA32" s="1349">
        <f t="shared" si="3"/>
        <v>1</v>
      </c>
      <c r="AB32" s="1349">
        <f t="shared" si="4"/>
        <v>1</v>
      </c>
      <c r="AC32" s="1958">
        <f t="shared" si="5"/>
        <v>1</v>
      </c>
    </row>
    <row r="33" spans="1:29" ht="15">
      <c r="A33" s="391" t="s">
        <v>1694</v>
      </c>
      <c r="B33" s="63" t="s">
        <v>1817</v>
      </c>
      <c r="C33" s="3507" t="s">
        <v>3988</v>
      </c>
      <c r="D33" s="418">
        <v>100</v>
      </c>
      <c r="E33" s="3507" t="s">
        <v>3989</v>
      </c>
      <c r="F33" s="412">
        <f>SUMIF(101:101,E33,102:102)-SUMIF(101:101,C33,102:102)+100</f>
        <v>90</v>
      </c>
      <c r="G33" s="3507" t="s">
        <v>3990</v>
      </c>
      <c r="H33" s="386">
        <f>SUMIF(101:101,G33,102:102)-SUMIF(101:101,C33,102:102)+100</f>
        <v>90</v>
      </c>
      <c r="I33" s="3507" t="s">
        <v>3989</v>
      </c>
      <c r="J33" s="418">
        <f>SUMIF(101:101,I33,102:102)-SUMIF(101:101,C33,102:102)+100</f>
        <v>90</v>
      </c>
      <c r="K33" s="561">
        <v>10</v>
      </c>
      <c r="L33" s="2718"/>
      <c r="M33" s="2712"/>
      <c r="N33" s="2712"/>
      <c r="O33" s="2712"/>
      <c r="P33" s="3771" t="s">
        <v>1696</v>
      </c>
      <c r="Q33" s="1348" t="str">
        <f t="shared" si="11"/>
        <v>建筑类型</v>
      </c>
      <c r="R33" s="705" t="s">
        <v>14</v>
      </c>
      <c r="S33" s="706">
        <f t="shared" si="12"/>
        <v>90</v>
      </c>
      <c r="T33" s="705" t="s">
        <v>14</v>
      </c>
      <c r="U33" s="706">
        <f t="shared" si="13"/>
        <v>90</v>
      </c>
      <c r="V33" s="705" t="s">
        <v>14</v>
      </c>
      <c r="W33" s="706">
        <f t="shared" si="14"/>
        <v>90</v>
      </c>
      <c r="X33" s="1351"/>
      <c r="Y33" s="3736" t="s">
        <v>1696</v>
      </c>
      <c r="Z33" s="1352" t="str">
        <f t="shared" si="15"/>
        <v>建筑类型</v>
      </c>
      <c r="AA33" s="1349">
        <f t="shared" si="3"/>
        <v>1.1111111111111112</v>
      </c>
      <c r="AB33" s="1349">
        <f t="shared" si="4"/>
        <v>1.1111111111111112</v>
      </c>
      <c r="AC33" s="1958">
        <f t="shared" si="5"/>
        <v>1.1111111111111112</v>
      </c>
    </row>
    <row r="34" spans="1:29" s="422" customFormat="1" ht="15">
      <c r="A34" s="419"/>
      <c r="B34" s="375" t="s">
        <v>1697</v>
      </c>
      <c r="C34" s="420">
        <f>'数据-基础表'!B3</f>
        <v>278010.89999999991</v>
      </c>
      <c r="D34" s="127">
        <v>100</v>
      </c>
      <c r="E34" s="381">
        <v>126080</v>
      </c>
      <c r="F34" s="376">
        <f>LOOKUP(E34,104:104,105:105)-LOOKUP(C34,104:104,105:105)+100</f>
        <v>97</v>
      </c>
      <c r="G34" s="380">
        <v>500000</v>
      </c>
      <c r="H34" s="127">
        <f>LOOKUP(G34,104:104,105:105)-LOOKUP(C34,104:104,105:105)+100</f>
        <v>100</v>
      </c>
      <c r="I34" s="380">
        <v>202900</v>
      </c>
      <c r="J34" s="127">
        <f>LOOKUP(I34,104:104,105:105)-LOOKUP(C34,104:104,105:105)+100</f>
        <v>99</v>
      </c>
      <c r="K34" s="562"/>
      <c r="L34" s="2717"/>
      <c r="M34" s="2719"/>
      <c r="N34" s="2719"/>
      <c r="O34" s="2719"/>
      <c r="P34" s="3772"/>
      <c r="Q34" s="707" t="str">
        <f t="shared" si="11"/>
        <v>项目建筑规模</v>
      </c>
      <c r="R34" s="708" t="s">
        <v>14</v>
      </c>
      <c r="S34" s="709">
        <f t="shared" si="12"/>
        <v>97</v>
      </c>
      <c r="T34" s="708" t="s">
        <v>14</v>
      </c>
      <c r="U34" s="709">
        <f t="shared" si="13"/>
        <v>100</v>
      </c>
      <c r="V34" s="708" t="s">
        <v>14</v>
      </c>
      <c r="W34" s="709">
        <f t="shared" si="14"/>
        <v>99</v>
      </c>
      <c r="X34" s="710"/>
      <c r="Y34" s="3736"/>
      <c r="Z34" s="711" t="str">
        <f t="shared" si="15"/>
        <v>项目建筑规模</v>
      </c>
      <c r="AA34" s="1349">
        <f t="shared" si="3"/>
        <v>1.0309278350515463</v>
      </c>
      <c r="AB34" s="1349">
        <f t="shared" si="4"/>
        <v>1</v>
      </c>
      <c r="AC34" s="1958">
        <f t="shared" si="5"/>
        <v>1.0101010101010102</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772"/>
      <c r="Q35" s="1348" t="str">
        <f t="shared" si="11"/>
        <v>建筑结构</v>
      </c>
      <c r="R35" s="705" t="s">
        <v>14</v>
      </c>
      <c r="S35" s="706">
        <f t="shared" si="12"/>
        <v>100</v>
      </c>
      <c r="T35" s="705" t="s">
        <v>14</v>
      </c>
      <c r="U35" s="706">
        <f t="shared" si="13"/>
        <v>100</v>
      </c>
      <c r="V35" s="705" t="s">
        <v>14</v>
      </c>
      <c r="W35" s="706">
        <f t="shared" si="14"/>
        <v>100</v>
      </c>
      <c r="X35" s="1351"/>
      <c r="Y35" s="3736"/>
      <c r="Z35" s="1352" t="str">
        <f t="shared" si="15"/>
        <v>建筑结构</v>
      </c>
      <c r="AA35" s="1349">
        <f t="shared" si="3"/>
        <v>1</v>
      </c>
      <c r="AB35" s="1349">
        <f t="shared" si="4"/>
        <v>1</v>
      </c>
      <c r="AC35" s="1958">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772"/>
      <c r="Q36" s="1348" t="str">
        <f t="shared" si="11"/>
        <v>公共部分装修</v>
      </c>
      <c r="R36" s="705" t="s">
        <v>14</v>
      </c>
      <c r="S36" s="706">
        <f t="shared" si="12"/>
        <v>100</v>
      </c>
      <c r="T36" s="705" t="s">
        <v>14</v>
      </c>
      <c r="U36" s="706">
        <f t="shared" si="13"/>
        <v>100</v>
      </c>
      <c r="V36" s="705" t="s">
        <v>14</v>
      </c>
      <c r="W36" s="706">
        <f t="shared" si="14"/>
        <v>100</v>
      </c>
      <c r="X36" s="1351"/>
      <c r="Y36" s="3736"/>
      <c r="Z36" s="1352" t="str">
        <f t="shared" si="15"/>
        <v>公共部分装修</v>
      </c>
      <c r="AA36" s="1349">
        <f t="shared" si="3"/>
        <v>1</v>
      </c>
      <c r="AB36" s="1349">
        <f t="shared" si="4"/>
        <v>1</v>
      </c>
      <c r="AC36" s="1958">
        <f t="shared" si="5"/>
        <v>1</v>
      </c>
    </row>
    <row r="37" spans="1:29" ht="15">
      <c r="A37" s="423"/>
      <c r="B37" s="375" t="s">
        <v>1786</v>
      </c>
      <c r="C37" s="425">
        <v>1</v>
      </c>
      <c r="D37" s="386">
        <v>100</v>
      </c>
      <c r="E37" s="425">
        <v>1</v>
      </c>
      <c r="F37" s="412">
        <f>LOOKUP(E37,111:111,112:112)-LOOKUP(C37,111:111,112:112)+100</f>
        <v>100</v>
      </c>
      <c r="G37" s="425">
        <v>1</v>
      </c>
      <c r="H37" s="412">
        <f>LOOKUP(G37,111:111,112:112)-LOOKUP(C37,111:111,112:112)+100</f>
        <v>100</v>
      </c>
      <c r="I37" s="425">
        <v>1</v>
      </c>
      <c r="J37" s="386">
        <f>LOOKUP(I37,111:111,112:112)-LOOKUP(C37,111:111,112:112)+100</f>
        <v>100</v>
      </c>
      <c r="K37" s="561"/>
      <c r="L37" s="2718"/>
      <c r="M37" s="2712"/>
      <c r="N37" s="2712"/>
      <c r="O37" s="2712"/>
      <c r="P37" s="3772"/>
      <c r="Q37" s="1348" t="str">
        <f t="shared" si="11"/>
        <v>成新度</v>
      </c>
      <c r="R37" s="705" t="s">
        <v>14</v>
      </c>
      <c r="S37" s="706">
        <f t="shared" si="12"/>
        <v>100</v>
      </c>
      <c r="T37" s="705" t="s">
        <v>14</v>
      </c>
      <c r="U37" s="706">
        <f t="shared" si="13"/>
        <v>100</v>
      </c>
      <c r="V37" s="705" t="s">
        <v>14</v>
      </c>
      <c r="W37" s="706">
        <f t="shared" si="14"/>
        <v>100</v>
      </c>
      <c r="X37" s="1351"/>
      <c r="Y37" s="3736"/>
      <c r="Z37" s="1352" t="str">
        <f t="shared" si="15"/>
        <v>成新度</v>
      </c>
      <c r="AA37" s="1349">
        <f t="shared" si="3"/>
        <v>1</v>
      </c>
      <c r="AB37" s="1349">
        <f t="shared" si="4"/>
        <v>1</v>
      </c>
      <c r="AC37" s="1958">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72"/>
      <c r="Q38" s="1339" t="str">
        <f t="shared" si="11"/>
        <v>写字楼等级</v>
      </c>
      <c r="R38" s="701" t="s">
        <v>14</v>
      </c>
      <c r="S38" s="702">
        <f t="shared" si="12"/>
        <v>100</v>
      </c>
      <c r="T38" s="701" t="s">
        <v>14</v>
      </c>
      <c r="U38" s="702">
        <f t="shared" si="13"/>
        <v>100</v>
      </c>
      <c r="V38" s="701" t="s">
        <v>14</v>
      </c>
      <c r="W38" s="702">
        <f t="shared" si="14"/>
        <v>100</v>
      </c>
      <c r="X38" s="703"/>
      <c r="Y38" s="3736"/>
      <c r="Z38" s="52" t="str">
        <f t="shared" si="15"/>
        <v>写字楼等级</v>
      </c>
      <c r="AA38" s="704">
        <f t="shared" si="3"/>
        <v>1</v>
      </c>
      <c r="AB38" s="704">
        <f t="shared" si="4"/>
        <v>1</v>
      </c>
      <c r="AC38" s="1955">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772" t="s">
        <v>1696</v>
      </c>
      <c r="Q39" s="1348" t="str">
        <f t="shared" si="11"/>
        <v>物业管理</v>
      </c>
      <c r="R39" s="705" t="s">
        <v>14</v>
      </c>
      <c r="S39" s="706">
        <f t="shared" si="12"/>
        <v>100</v>
      </c>
      <c r="T39" s="705" t="s">
        <v>14</v>
      </c>
      <c r="U39" s="706">
        <f t="shared" si="13"/>
        <v>100</v>
      </c>
      <c r="V39" s="705" t="s">
        <v>14</v>
      </c>
      <c r="W39" s="706">
        <f t="shared" si="14"/>
        <v>100</v>
      </c>
      <c r="X39" s="1351"/>
      <c r="Y39" s="3736" t="s">
        <v>1696</v>
      </c>
      <c r="Z39" s="1352" t="str">
        <f t="shared" si="15"/>
        <v>物业管理</v>
      </c>
      <c r="AA39" s="1349">
        <f t="shared" si="3"/>
        <v>1</v>
      </c>
      <c r="AB39" s="1349">
        <f t="shared" si="4"/>
        <v>1</v>
      </c>
      <c r="AC39" s="1958">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772"/>
      <c r="Q40" s="1348" t="str">
        <f t="shared" si="11"/>
        <v>市政基础设施</v>
      </c>
      <c r="R40" s="705" t="s">
        <v>14</v>
      </c>
      <c r="S40" s="706">
        <f t="shared" si="12"/>
        <v>100</v>
      </c>
      <c r="T40" s="705" t="s">
        <v>14</v>
      </c>
      <c r="U40" s="706">
        <f t="shared" si="13"/>
        <v>100</v>
      </c>
      <c r="V40" s="705" t="s">
        <v>14</v>
      </c>
      <c r="W40" s="706">
        <f t="shared" si="14"/>
        <v>100</v>
      </c>
      <c r="X40" s="1351"/>
      <c r="Y40" s="3736"/>
      <c r="Z40" s="1352" t="str">
        <f t="shared" si="15"/>
        <v>市政基础设施</v>
      </c>
      <c r="AA40" s="1349">
        <f t="shared" si="3"/>
        <v>1</v>
      </c>
      <c r="AB40" s="1349">
        <f t="shared" si="4"/>
        <v>1</v>
      </c>
      <c r="AC40" s="1958">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72"/>
      <c r="Q41" s="1348" t="str">
        <f t="shared" si="11"/>
        <v>层高</v>
      </c>
      <c r="R41" s="705" t="s">
        <v>14</v>
      </c>
      <c r="S41" s="706">
        <f t="shared" si="12"/>
        <v>100</v>
      </c>
      <c r="T41" s="705" t="s">
        <v>14</v>
      </c>
      <c r="U41" s="706">
        <f t="shared" si="13"/>
        <v>100</v>
      </c>
      <c r="V41" s="705" t="s">
        <v>14</v>
      </c>
      <c r="W41" s="706">
        <f t="shared" si="14"/>
        <v>100</v>
      </c>
      <c r="X41" s="1351"/>
      <c r="Y41" s="3736"/>
      <c r="Z41" s="1352" t="str">
        <f t="shared" si="15"/>
        <v>层高</v>
      </c>
      <c r="AA41" s="1349">
        <f t="shared" si="3"/>
        <v>1</v>
      </c>
      <c r="AB41" s="1349">
        <f t="shared" si="4"/>
        <v>1</v>
      </c>
      <c r="AC41" s="1958">
        <f t="shared" si="5"/>
        <v>1</v>
      </c>
    </row>
    <row r="42" spans="1:29" s="422" customFormat="1" ht="15">
      <c r="A42" s="419"/>
      <c r="B42" s="1350"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72"/>
      <c r="Q42" s="707" t="str">
        <f t="shared" si="11"/>
        <v>单套建筑面积</v>
      </c>
      <c r="R42" s="708" t="s">
        <v>14</v>
      </c>
      <c r="S42" s="709">
        <f t="shared" si="12"/>
        <v>100</v>
      </c>
      <c r="T42" s="708" t="s">
        <v>14</v>
      </c>
      <c r="U42" s="709">
        <f t="shared" si="13"/>
        <v>100</v>
      </c>
      <c r="V42" s="708" t="s">
        <v>14</v>
      </c>
      <c r="W42" s="709">
        <f t="shared" si="14"/>
        <v>100</v>
      </c>
      <c r="X42" s="710"/>
      <c r="Y42" s="3736"/>
      <c r="Z42" s="711" t="str">
        <f t="shared" si="15"/>
        <v>单套建筑面积</v>
      </c>
      <c r="AA42" s="1349">
        <f t="shared" si="3"/>
        <v>1</v>
      </c>
      <c r="AB42" s="1349">
        <f t="shared" si="4"/>
        <v>1</v>
      </c>
      <c r="AC42" s="1958">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772"/>
      <c r="Q43" s="1348" t="str">
        <f t="shared" si="11"/>
        <v>内部装修</v>
      </c>
      <c r="R43" s="705" t="s">
        <v>14</v>
      </c>
      <c r="S43" s="706">
        <f t="shared" si="12"/>
        <v>100</v>
      </c>
      <c r="T43" s="705" t="s">
        <v>14</v>
      </c>
      <c r="U43" s="706">
        <f t="shared" si="13"/>
        <v>100</v>
      </c>
      <c r="V43" s="705" t="s">
        <v>14</v>
      </c>
      <c r="W43" s="706">
        <f t="shared" si="14"/>
        <v>100</v>
      </c>
      <c r="X43" s="1351"/>
      <c r="Y43" s="3736"/>
      <c r="Z43" s="1352" t="str">
        <f t="shared" si="15"/>
        <v>内部装修</v>
      </c>
      <c r="AA43" s="1349">
        <f t="shared" si="3"/>
        <v>1</v>
      </c>
      <c r="AB43" s="1349">
        <f t="shared" si="4"/>
        <v>1</v>
      </c>
      <c r="AC43" s="1958">
        <f t="shared" si="5"/>
        <v>1</v>
      </c>
    </row>
    <row r="44" spans="1:29" ht="15">
      <c r="A44" s="423"/>
      <c r="B44" s="375" t="s">
        <v>1707</v>
      </c>
      <c r="C44" s="411"/>
      <c r="D44" s="386">
        <v>100</v>
      </c>
      <c r="E44" s="1902"/>
      <c r="F44" s="412">
        <f>SUMIF(125:125,E44,126:126)-SUMIF(125:125,C44,126:126)+100</f>
        <v>100</v>
      </c>
      <c r="G44" s="1902"/>
      <c r="H44" s="386">
        <f>SUMIF(125:125,G44,126:126)-SUMIF(125:125,C44,126:126)+100</f>
        <v>100</v>
      </c>
      <c r="I44" s="1902"/>
      <c r="J44" s="386">
        <f>SUMIF(125:125,I44,126:126)-SUMIF(125:125,C44,126:126)+100</f>
        <v>100</v>
      </c>
      <c r="K44" s="561"/>
      <c r="L44" s="2718"/>
      <c r="M44" s="2712"/>
      <c r="N44" s="2712"/>
      <c r="O44" s="2712"/>
      <c r="P44" s="3772"/>
      <c r="Q44" s="1348" t="str">
        <f t="shared" si="11"/>
        <v>内部装修维护情况</v>
      </c>
      <c r="R44" s="705" t="s">
        <v>14</v>
      </c>
      <c r="S44" s="706">
        <f t="shared" si="12"/>
        <v>100</v>
      </c>
      <c r="T44" s="705" t="s">
        <v>14</v>
      </c>
      <c r="U44" s="706">
        <f t="shared" si="13"/>
        <v>100</v>
      </c>
      <c r="V44" s="705" t="s">
        <v>14</v>
      </c>
      <c r="W44" s="706">
        <f t="shared" si="14"/>
        <v>100</v>
      </c>
      <c r="X44" s="1351"/>
      <c r="Y44" s="3736"/>
      <c r="Z44" s="1352" t="str">
        <f t="shared" si="15"/>
        <v>内部装修维护情况</v>
      </c>
      <c r="AA44" s="1349">
        <f t="shared" si="3"/>
        <v>1</v>
      </c>
      <c r="AB44" s="1349">
        <f t="shared" si="4"/>
        <v>1</v>
      </c>
      <c r="AC44" s="1958">
        <f t="shared" si="5"/>
        <v>1</v>
      </c>
    </row>
    <row r="45" spans="1:29" s="108" customFormat="1" ht="15">
      <c r="A45" s="424"/>
      <c r="B45" s="3503"/>
      <c r="C45" s="3504"/>
      <c r="D45" s="127">
        <v>100</v>
      </c>
      <c r="E45" s="3505"/>
      <c r="F45" s="376">
        <f>SUMIF(127:127,E45,128:128)-SUMIF(127:127,C45,128:128)+100</f>
        <v>100</v>
      </c>
      <c r="G45" s="3505"/>
      <c r="H45" s="127">
        <f>SUMIF(127:127,G45,128:128)-SUMIF(127:127,C45,128:128)+100</f>
        <v>100</v>
      </c>
      <c r="I45" s="3505"/>
      <c r="J45" s="127">
        <f>SUMIF(127:127,I45,128:128)-SUMIF(127:127,C45,128:128)+100</f>
        <v>100</v>
      </c>
      <c r="K45" s="562"/>
      <c r="L45" s="2713"/>
      <c r="M45" s="2714"/>
      <c r="N45" s="2714"/>
      <c r="O45" s="2714"/>
      <c r="P45" s="3772"/>
      <c r="Q45" s="1339">
        <f t="shared" si="11"/>
        <v>0</v>
      </c>
      <c r="R45" s="701" t="s">
        <v>14</v>
      </c>
      <c r="S45" s="702">
        <f t="shared" si="12"/>
        <v>100</v>
      </c>
      <c r="T45" s="701" t="s">
        <v>14</v>
      </c>
      <c r="U45" s="702">
        <f t="shared" si="13"/>
        <v>100</v>
      </c>
      <c r="V45" s="701" t="s">
        <v>14</v>
      </c>
      <c r="W45" s="702">
        <f t="shared" si="14"/>
        <v>100</v>
      </c>
      <c r="X45" s="703"/>
      <c r="Y45" s="3736"/>
      <c r="Z45" s="52">
        <f t="shared" si="15"/>
        <v>0</v>
      </c>
      <c r="AA45" s="704">
        <f t="shared" si="3"/>
        <v>1</v>
      </c>
      <c r="AB45" s="704">
        <f t="shared" si="4"/>
        <v>1</v>
      </c>
      <c r="AC45" s="1955">
        <f t="shared" si="5"/>
        <v>1</v>
      </c>
    </row>
    <row r="46" spans="1:29" ht="15">
      <c r="A46" s="423"/>
      <c r="B46" s="1130">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72"/>
      <c r="Q46" s="1348">
        <f t="shared" si="11"/>
        <v>111</v>
      </c>
      <c r="R46" s="705" t="s">
        <v>14</v>
      </c>
      <c r="S46" s="706">
        <f t="shared" si="12"/>
        <v>100</v>
      </c>
      <c r="T46" s="705" t="s">
        <v>14</v>
      </c>
      <c r="U46" s="706">
        <f t="shared" si="13"/>
        <v>100</v>
      </c>
      <c r="V46" s="705" t="s">
        <v>14</v>
      </c>
      <c r="W46" s="706">
        <f t="shared" si="14"/>
        <v>100</v>
      </c>
      <c r="X46" s="1351"/>
      <c r="Y46" s="3736"/>
      <c r="Z46" s="1352">
        <f t="shared" si="15"/>
        <v>111</v>
      </c>
      <c r="AA46" s="1349">
        <f t="shared" si="3"/>
        <v>1</v>
      </c>
      <c r="AB46" s="1349">
        <f t="shared" si="4"/>
        <v>1</v>
      </c>
      <c r="AC46" s="1958">
        <f t="shared" si="5"/>
        <v>1</v>
      </c>
    </row>
    <row r="47" spans="1:29" ht="15.75"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73"/>
      <c r="Q47" s="1348">
        <f t="shared" si="11"/>
        <v>111</v>
      </c>
      <c r="R47" s="705" t="s">
        <v>14</v>
      </c>
      <c r="S47" s="706">
        <f t="shared" si="12"/>
        <v>100</v>
      </c>
      <c r="T47" s="705" t="s">
        <v>14</v>
      </c>
      <c r="U47" s="706">
        <f t="shared" si="13"/>
        <v>100</v>
      </c>
      <c r="V47" s="705" t="s">
        <v>14</v>
      </c>
      <c r="W47" s="706">
        <f t="shared" si="14"/>
        <v>100</v>
      </c>
      <c r="X47" s="1351"/>
      <c r="Y47" s="3774"/>
      <c r="Z47" s="1352">
        <f t="shared" si="15"/>
        <v>111</v>
      </c>
      <c r="AA47" s="1349">
        <f t="shared" si="3"/>
        <v>1</v>
      </c>
      <c r="AB47" s="1349">
        <f t="shared" si="4"/>
        <v>1</v>
      </c>
      <c r="AC47" s="1958">
        <f t="shared" si="5"/>
        <v>1</v>
      </c>
    </row>
    <row r="48" spans="1:29" ht="15">
      <c r="A48" s="430" t="s">
        <v>1708</v>
      </c>
      <c r="B48" s="431"/>
      <c r="C48" s="1151" t="s">
        <v>0</v>
      </c>
      <c r="D48" s="1152"/>
      <c r="E48" s="1153">
        <v>19346</v>
      </c>
      <c r="F48" s="1154"/>
      <c r="G48" s="1155">
        <v>20000</v>
      </c>
      <c r="H48" s="1156"/>
      <c r="I48" s="1153">
        <v>19000</v>
      </c>
      <c r="J48" s="436"/>
      <c r="K48" s="714"/>
      <c r="L48" s="2720"/>
      <c r="M48" s="2712"/>
      <c r="N48" s="2712"/>
      <c r="O48" s="2712"/>
      <c r="P48" s="3742" t="str">
        <f>A48</f>
        <v>成交单价（元/平方米）</v>
      </c>
      <c r="Q48" s="3718"/>
      <c r="R48" s="3770">
        <f>E48</f>
        <v>19346</v>
      </c>
      <c r="S48" s="3770"/>
      <c r="T48" s="3770">
        <f>G48</f>
        <v>20000</v>
      </c>
      <c r="U48" s="3770"/>
      <c r="V48" s="3770">
        <f>I48</f>
        <v>19000</v>
      </c>
      <c r="W48" s="3770"/>
      <c r="X48" s="397"/>
      <c r="Y48" s="712"/>
      <c r="Z48" s="397"/>
      <c r="AA48" s="397"/>
      <c r="AB48" s="397"/>
      <c r="AC48" s="578"/>
    </row>
    <row r="49" spans="1:29" ht="15.75" thickBot="1">
      <c r="A49" s="437" t="s">
        <v>1793</v>
      </c>
      <c r="B49" s="438"/>
      <c r="C49" s="1157">
        <f>R50</f>
        <v>22558</v>
      </c>
      <c r="D49" s="2313" t="s">
        <v>2137</v>
      </c>
      <c r="E49" s="1158">
        <f>R49</f>
        <v>21726</v>
      </c>
      <c r="F49" s="2314"/>
      <c r="G49" s="1157">
        <f>T49</f>
        <v>23229</v>
      </c>
      <c r="H49" s="2314"/>
      <c r="I49" s="1158">
        <f>V49</f>
        <v>22719</v>
      </c>
      <c r="J49" s="2314"/>
      <c r="K49" s="2316">
        <f>F49+H49+J49</f>
        <v>0</v>
      </c>
      <c r="L49" s="2720"/>
      <c r="M49" s="2712"/>
      <c r="N49" s="2712"/>
      <c r="O49" s="2712"/>
      <c r="P49" s="3742" t="str">
        <f>A49</f>
        <v>比较价值（元/平方米）</v>
      </c>
      <c r="Q49" s="3718"/>
      <c r="R49" s="3770">
        <f>IF(F1="售价",ROUND(PRODUCT(R48,AA7:AA47),0),ROUND(PRODUCT(R48,AA7:AA47),1))</f>
        <v>21726</v>
      </c>
      <c r="S49" s="3770"/>
      <c r="T49" s="3770">
        <f>IF(F1="售价",ROUND(PRODUCT(T48,AB7:AB47),0),ROUND(PRODUCT(T48,AB7:AB47),1))</f>
        <v>23229</v>
      </c>
      <c r="U49" s="3770"/>
      <c r="V49" s="3770">
        <f>IF(F1="售价",ROUND(PRODUCT(V48,AC7:AC47),0),ROUND(PRODUCT(V48,AC7:AC47),1))</f>
        <v>22719</v>
      </c>
      <c r="W49" s="3770"/>
      <c r="X49" s="397"/>
      <c r="Y49" s="397"/>
      <c r="Z49" s="397"/>
      <c r="AA49" s="397"/>
      <c r="AB49" s="397"/>
      <c r="AC49" s="578"/>
    </row>
    <row r="50" spans="1:29" ht="15.75" thickBot="1">
      <c r="A50" s="441" t="s">
        <v>1794</v>
      </c>
      <c r="B50" s="442"/>
      <c r="C50" s="1160">
        <f>R50</f>
        <v>22558</v>
      </c>
      <c r="D50" s="1160"/>
      <c r="E50" s="1160"/>
      <c r="F50" s="1160"/>
      <c r="G50" s="1160"/>
      <c r="H50" s="1160"/>
      <c r="I50" s="1160"/>
      <c r="J50" s="443"/>
      <c r="K50" s="715"/>
      <c r="L50" s="2720"/>
      <c r="M50" s="2712"/>
      <c r="N50" s="2712"/>
      <c r="O50" s="2712"/>
      <c r="P50" s="3791" t="str">
        <f>A50</f>
        <v>估价对象XX用房的比较价值（楼面单价，元/平方米）</v>
      </c>
      <c r="Q50" s="3792"/>
      <c r="R50" s="3793">
        <f>IF(F1="售价",ROUND(IF(D49="简单平均",AVERAGE(R49:V49),R49*F49+T49*H49+V49*J49),0),ROUND(IF(D49="简单平均",AVERAGE(R49:V49),R49*F49+T49*H49+V49*J49),1))</f>
        <v>22558</v>
      </c>
      <c r="S50" s="3793"/>
      <c r="T50" s="3793"/>
      <c r="U50" s="3793"/>
      <c r="V50" s="3793"/>
      <c r="W50" s="3793"/>
      <c r="X50" s="1942"/>
      <c r="Y50" s="1942"/>
      <c r="Z50" s="1942"/>
      <c r="AA50" s="1942"/>
      <c r="AB50" s="1942"/>
      <c r="AC50" s="1943"/>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f>IF(E48&lt;E49,E49/E48-1,E48/E49-1)</f>
        <v>0.12302284710017575</v>
      </c>
      <c r="F53" s="449" t="str">
        <f>IF(OR(E53&gt;=0.3,E53&lt;=-0.3),"超过30%","")</f>
        <v/>
      </c>
      <c r="G53" s="448">
        <f>IF(G48&lt;G49,G49/G48-1,G48/G49-1)</f>
        <v>0.16145000000000009</v>
      </c>
      <c r="H53" s="449" t="str">
        <f>IF(OR(G53&gt;=0.3,G53&lt;=-0.3),"超过30%","")</f>
        <v/>
      </c>
      <c r="I53" s="448">
        <f>IF(I48&lt;I49,I49/I48-1,I48/I49-1)</f>
        <v>0.19573684210526321</v>
      </c>
      <c r="J53" s="449" t="str">
        <f>IF(OR(I53&gt;=0.3,I53&lt;=-0.3),"超过30%","")</f>
        <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f>IF(E49&lt;G49,G49/E49-1,E49/G49-1)</f>
        <v>6.9179784589892268E-2</v>
      </c>
      <c r="F54" s="449" t="str">
        <f>IF(OR(E54&gt;=0.2,E54&lt;=-0.2),"超过20%","")</f>
        <v/>
      </c>
      <c r="G54" s="448">
        <f>IF(G49&lt;I49,I49/G49-1,G49/I49-1)</f>
        <v>2.2448171134292982E-2</v>
      </c>
      <c r="H54" s="449" t="str">
        <f>IF(OR(G54&gt;=0.2,G54&lt;=-0.2),"超过20%","")</f>
        <v/>
      </c>
      <c r="I54" s="448">
        <f>IF(I49&lt;E49,E49/I49-1,I49/E49-1)</f>
        <v>4.5705606186136505E-2</v>
      </c>
      <c r="J54" s="449" t="str">
        <f>IF(OR(I54&gt;=0.2,I54&lt;=-0.2),"超过20%","")</f>
        <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f>IF(E48&lt;G48,G48/E48-1,E48/G48-1)</f>
        <v>3.3805437816602835E-2</v>
      </c>
      <c r="F55" s="449" t="str">
        <f>IF(OR(E55&gt;=0.3,E55&lt;=-0.3),"超过30%","")</f>
        <v/>
      </c>
      <c r="G55" s="448">
        <f>IF(G48&lt;I48,I48/G48-1,G48/I48-1)</f>
        <v>5.2631578947368363E-2</v>
      </c>
      <c r="H55" s="449" t="str">
        <f>IF(OR(G55&gt;=0.3,G55&lt;=-0.3),"超过30%","")</f>
        <v/>
      </c>
      <c r="I55" s="448">
        <f>IF(I48&lt;E48,E48/I48-1,I48/E48-1)</f>
        <v>1.8210526315789455E-2</v>
      </c>
      <c r="J55" s="449" t="str">
        <f>IF(OR(I55&gt;=0.3,I55&lt;=-0.3),"超过30%","")</f>
        <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4" t="s">
        <v>1798</v>
      </c>
      <c r="B58" s="690"/>
      <c r="C58" s="695"/>
      <c r="D58" s="695"/>
      <c r="E58" s="695"/>
      <c r="F58" s="696"/>
      <c r="G58" s="696"/>
      <c r="H58" s="695"/>
      <c r="I58" s="695"/>
      <c r="J58" s="695"/>
      <c r="K58" s="697"/>
      <c r="L58" s="939"/>
      <c r="M58" s="937"/>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0" t="str">
        <f>YEAR(C7)&amp;"-"&amp;MONTH(C7)</f>
        <v>2023-3</v>
      </c>
      <c r="D59" s="1181">
        <f>EDATE(C59,-1)</f>
        <v>44958</v>
      </c>
      <c r="E59" s="1181">
        <f>EDATE(D59,-1)</f>
        <v>44927</v>
      </c>
      <c r="F59" s="1181">
        <f t="shared" ref="F59:O59" si="16">EDATE(E59,-1)</f>
        <v>44896</v>
      </c>
      <c r="G59" s="1181">
        <f t="shared" si="16"/>
        <v>44866</v>
      </c>
      <c r="H59" s="1181">
        <f t="shared" si="16"/>
        <v>44835</v>
      </c>
      <c r="I59" s="1181">
        <f t="shared" si="16"/>
        <v>44805</v>
      </c>
      <c r="J59" s="1181">
        <f t="shared" si="16"/>
        <v>44774</v>
      </c>
      <c r="K59" s="1181">
        <f t="shared" si="16"/>
        <v>44743</v>
      </c>
      <c r="L59" s="1181">
        <f t="shared" si="16"/>
        <v>44713</v>
      </c>
      <c r="M59" s="1181">
        <f t="shared" si="16"/>
        <v>44682</v>
      </c>
      <c r="N59" s="1181">
        <f t="shared" si="16"/>
        <v>44652</v>
      </c>
      <c r="O59" s="1181">
        <f t="shared" si="16"/>
        <v>44621</v>
      </c>
      <c r="P59" s="2755"/>
      <c r="Q59" s="2737"/>
      <c r="R59" s="2737"/>
      <c r="S59" s="2737"/>
      <c r="T59" s="2737"/>
      <c r="U59" s="2737"/>
      <c r="V59" s="2737"/>
      <c r="W59" s="2737"/>
      <c r="X59" s="2737"/>
      <c r="Y59" s="2737"/>
      <c r="Z59" s="2737"/>
      <c r="AA59" s="2737"/>
      <c r="AB59" s="2737"/>
      <c r="AC59" s="2737"/>
    </row>
    <row r="60" spans="1:29" s="108" customFormat="1" ht="15">
      <c r="A60" s="458"/>
      <c r="B60" s="459"/>
      <c r="C60" s="1179">
        <v>100</v>
      </c>
      <c r="D60" s="461">
        <v>100</v>
      </c>
      <c r="E60" s="461">
        <v>100</v>
      </c>
      <c r="F60" s="461">
        <v>100</v>
      </c>
      <c r="G60" s="461">
        <v>100</v>
      </c>
      <c r="H60" s="461">
        <v>100</v>
      </c>
      <c r="I60" s="461">
        <v>100</v>
      </c>
      <c r="J60" s="461">
        <v>100</v>
      </c>
      <c r="K60" s="461">
        <v>100</v>
      </c>
      <c r="L60" s="461">
        <v>100</v>
      </c>
      <c r="M60" s="462">
        <v>100</v>
      </c>
      <c r="N60" s="461">
        <v>100</v>
      </c>
      <c r="O60" s="462">
        <v>100</v>
      </c>
      <c r="P60" s="2756"/>
      <c r="Q60" s="2657"/>
      <c r="R60" s="2657"/>
      <c r="S60" s="2657"/>
      <c r="T60" s="2657"/>
      <c r="U60" s="2657"/>
      <c r="V60" s="2657"/>
      <c r="W60" s="2657"/>
      <c r="X60" s="2657"/>
      <c r="Y60" s="2657"/>
      <c r="Z60" s="2657"/>
      <c r="AA60" s="2657"/>
      <c r="AB60" s="2657"/>
      <c r="AC60" s="2657"/>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1681</v>
      </c>
      <c r="B62" s="459"/>
      <c r="C62" s="471" t="s">
        <v>1776</v>
      </c>
      <c r="D62" s="472"/>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1719</v>
      </c>
      <c r="B64" s="477" t="s">
        <v>1685</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0（含）-2</v>
      </c>
      <c r="D68" s="496" t="str">
        <f t="shared" ref="D68:L68" si="17">D69&amp;"（含）"&amp;"-"&amp;E69</f>
        <v>2（含）-4</v>
      </c>
      <c r="E68" s="496" t="str">
        <f t="shared" si="17"/>
        <v>4（含）-6</v>
      </c>
      <c r="F68" s="496" t="str">
        <f t="shared" si="17"/>
        <v>6（含）-8</v>
      </c>
      <c r="G68" s="496" t="str">
        <f t="shared" si="17"/>
        <v>8（含）-10</v>
      </c>
      <c r="H68" s="496" t="str">
        <f t="shared" si="17"/>
        <v>10（含）-12</v>
      </c>
      <c r="I68" s="496" t="str">
        <f t="shared" si="17"/>
        <v>12（含）-14</v>
      </c>
      <c r="J68" s="496" t="str">
        <f t="shared" si="17"/>
        <v>14（含）-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2</v>
      </c>
      <c r="E69" s="498">
        <v>4</v>
      </c>
      <c r="F69" s="498">
        <v>6</v>
      </c>
      <c r="G69" s="498">
        <v>8</v>
      </c>
      <c r="H69" s="498">
        <v>10</v>
      </c>
      <c r="I69" s="498">
        <v>12</v>
      </c>
      <c r="J69" s="498">
        <v>14</v>
      </c>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98</v>
      </c>
      <c r="E70" s="493">
        <f t="shared" si="18"/>
        <v>96</v>
      </c>
      <c r="F70" s="493">
        <f t="shared" si="18"/>
        <v>94</v>
      </c>
      <c r="G70" s="493">
        <f t="shared" si="18"/>
        <v>92</v>
      </c>
      <c r="H70" s="493">
        <f t="shared" si="18"/>
        <v>90</v>
      </c>
      <c r="I70" s="493">
        <f t="shared" si="18"/>
        <v>88</v>
      </c>
      <c r="J70" s="493">
        <f t="shared" si="18"/>
        <v>86</v>
      </c>
      <c r="K70" s="493">
        <f t="shared" si="18"/>
        <v>84</v>
      </c>
      <c r="L70" s="493">
        <f t="shared" si="18"/>
        <v>82</v>
      </c>
      <c r="M70" s="494">
        <f t="shared" si="18"/>
        <v>80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95</v>
      </c>
      <c r="E78" s="493">
        <f>D78-$K15</f>
        <v>90</v>
      </c>
      <c r="F78" s="493">
        <f>E78-$K15</f>
        <v>85</v>
      </c>
      <c r="G78" s="493">
        <f>F78-$K15</f>
        <v>80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95</v>
      </c>
      <c r="E80" s="493">
        <f>D80-$K17</f>
        <v>90</v>
      </c>
      <c r="F80" s="493">
        <f>E80-$K17</f>
        <v>85</v>
      </c>
      <c r="G80" s="493">
        <f>F80-$K17</f>
        <v>80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6"/>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3"/>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4"/>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3502" t="s">
        <v>3991</v>
      </c>
      <c r="D101" s="3502" t="s">
        <v>3989</v>
      </c>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90</v>
      </c>
      <c r="E102" s="493">
        <f t="shared" si="22"/>
        <v>80</v>
      </c>
      <c r="F102" s="493">
        <f t="shared" si="22"/>
        <v>70</v>
      </c>
      <c r="G102" s="493">
        <f t="shared" si="22"/>
        <v>60</v>
      </c>
      <c r="H102" s="493">
        <f t="shared" si="22"/>
        <v>50</v>
      </c>
      <c r="I102" s="493">
        <f t="shared" si="22"/>
        <v>40</v>
      </c>
      <c r="J102" s="493">
        <f t="shared" si="22"/>
        <v>30</v>
      </c>
      <c r="K102" s="493">
        <f t="shared" si="22"/>
        <v>20</v>
      </c>
      <c r="L102" s="493">
        <f t="shared" si="22"/>
        <v>10</v>
      </c>
      <c r="M102" s="494">
        <f t="shared" si="22"/>
        <v>0</v>
      </c>
      <c r="N102" s="2750"/>
      <c r="O102" s="2750"/>
      <c r="P102" s="2758"/>
      <c r="Q102" s="2735"/>
      <c r="R102" s="2721"/>
      <c r="S102" s="2721"/>
      <c r="T102" s="2721"/>
      <c r="U102" s="2721"/>
      <c r="V102" s="2721"/>
      <c r="W102" s="2721"/>
      <c r="X102" s="2721"/>
      <c r="Y102" s="2721"/>
      <c r="Z102" s="2721"/>
      <c r="AA102" s="2721"/>
      <c r="AB102" s="2721"/>
      <c r="AC102" s="2721"/>
    </row>
    <row r="103" spans="1:29" ht="29.25" thickTop="1">
      <c r="A103" s="483"/>
      <c r="B103" s="487" t="s">
        <v>1737</v>
      </c>
      <c r="C103" s="527" t="str">
        <f>C104&amp;"(含)"&amp;"-"&amp;D104</f>
        <v>0(含)-50000</v>
      </c>
      <c r="D103" s="527" t="str">
        <f t="shared" ref="D103:L103" si="23">D104&amp;"(含)"&amp;"-"&amp;E104</f>
        <v>50000(含)-100000</v>
      </c>
      <c r="E103" s="527" t="str">
        <f t="shared" si="23"/>
        <v>100000(含)-150000</v>
      </c>
      <c r="F103" s="527" t="str">
        <f t="shared" si="23"/>
        <v>150000(含)-200000</v>
      </c>
      <c r="G103" s="527" t="str">
        <f t="shared" si="23"/>
        <v>200000(含)-250000</v>
      </c>
      <c r="H103" s="527" t="str">
        <f t="shared" si="23"/>
        <v>250000(含)-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v>0</v>
      </c>
      <c r="D104" s="544">
        <v>50000</v>
      </c>
      <c r="E104" s="544">
        <v>100000</v>
      </c>
      <c r="F104" s="544">
        <v>150000</v>
      </c>
      <c r="G104" s="544">
        <v>200000</v>
      </c>
      <c r="H104" s="544">
        <v>250000</v>
      </c>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v>100</v>
      </c>
      <c r="D105" s="485">
        <v>101</v>
      </c>
      <c r="E105" s="485">
        <v>102</v>
      </c>
      <c r="F105" s="485">
        <v>103</v>
      </c>
      <c r="G105" s="485">
        <v>104</v>
      </c>
      <c r="H105" s="485">
        <v>105</v>
      </c>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4"/>
      <c r="M119" s="1965"/>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0</v>
      </c>
      <c r="C127" s="3506" t="s">
        <v>3986</v>
      </c>
      <c r="D127" s="3506" t="s">
        <v>3987</v>
      </c>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v>100</v>
      </c>
      <c r="D128" s="485">
        <v>90</v>
      </c>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4"/>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25" priority="20" stopIfTrue="1" operator="containsText" text="超过">
      <formula>NOT(ISERROR(SEARCH("超过",F53)))</formula>
    </cfRule>
  </conditionalFormatting>
  <conditionalFormatting sqref="H55">
    <cfRule type="containsText" dxfId="124" priority="19" stopIfTrue="1" operator="containsText" text="超过">
      <formula>NOT(ISERROR(SEARCH("超过",H55)))</formula>
    </cfRule>
  </conditionalFormatting>
  <conditionalFormatting sqref="F55">
    <cfRule type="containsText" dxfId="123" priority="18" stopIfTrue="1" operator="containsText" text="超过">
      <formula>NOT(ISERROR(SEARCH("超过",F55)))</formula>
    </cfRule>
  </conditionalFormatting>
  <conditionalFormatting sqref="F54 H54">
    <cfRule type="containsText" dxfId="122" priority="17" stopIfTrue="1" operator="containsText" text="超过">
      <formula>NOT(ISERROR(SEARCH("超过",F54)))</formula>
    </cfRule>
  </conditionalFormatting>
  <conditionalFormatting sqref="E53">
    <cfRule type="expression" dxfId="121" priority="16" stopIfTrue="1">
      <formula>$F$53="超过30%"</formula>
    </cfRule>
  </conditionalFormatting>
  <conditionalFormatting sqref="E54">
    <cfRule type="expression" dxfId="120" priority="15" stopIfTrue="1">
      <formula>$F$54="超过20%"</formula>
    </cfRule>
  </conditionalFormatting>
  <conditionalFormatting sqref="E55">
    <cfRule type="expression" dxfId="119" priority="14" stopIfTrue="1">
      <formula>$F$55="超过30%"</formula>
    </cfRule>
  </conditionalFormatting>
  <conditionalFormatting sqref="G55">
    <cfRule type="expression" dxfId="118" priority="13" stopIfTrue="1">
      <formula>$H$55="超过30%"</formula>
    </cfRule>
  </conditionalFormatting>
  <conditionalFormatting sqref="G53">
    <cfRule type="expression" dxfId="117" priority="12" stopIfTrue="1">
      <formula>$H$53="超过30%"</formula>
    </cfRule>
  </conditionalFormatting>
  <conditionalFormatting sqref="G54">
    <cfRule type="expression" dxfId="116" priority="11" stopIfTrue="1">
      <formula>$H$54="超过20%"</formula>
    </cfRule>
  </conditionalFormatting>
  <conditionalFormatting sqref="J53">
    <cfRule type="containsText" dxfId="115" priority="10" stopIfTrue="1" operator="containsText" text="超过">
      <formula>NOT(ISERROR(SEARCH("超过",J53)))</formula>
    </cfRule>
  </conditionalFormatting>
  <conditionalFormatting sqref="J55">
    <cfRule type="containsText" dxfId="114" priority="9" stopIfTrue="1" operator="containsText" text="超过">
      <formula>NOT(ISERROR(SEARCH("超过",J55)))</formula>
    </cfRule>
  </conditionalFormatting>
  <conditionalFormatting sqref="J54">
    <cfRule type="containsText" dxfId="113" priority="8" stopIfTrue="1" operator="containsText" text="超过">
      <formula>NOT(ISERROR(SEARCH("超过",J54)))</formula>
    </cfRule>
  </conditionalFormatting>
  <conditionalFormatting sqref="I53">
    <cfRule type="expression" dxfId="112" priority="7" stopIfTrue="1">
      <formula>$J$53="超过30%"</formula>
    </cfRule>
  </conditionalFormatting>
  <conditionalFormatting sqref="I54">
    <cfRule type="expression" dxfId="111" priority="6" stopIfTrue="1">
      <formula>$J$53+$J$54="超过20%"</formula>
    </cfRule>
  </conditionalFormatting>
  <conditionalFormatting sqref="I55">
    <cfRule type="expression" dxfId="110" priority="5" stopIfTrue="1">
      <formula>$J$55="超过30%"</formula>
    </cfRule>
  </conditionalFormatting>
  <conditionalFormatting sqref="F49">
    <cfRule type="expression" dxfId="109" priority="4">
      <formula>$D$49="简单平均"</formula>
    </cfRule>
  </conditionalFormatting>
  <conditionalFormatting sqref="H49">
    <cfRule type="expression" dxfId="108" priority="3">
      <formula>$D$49="简单平均"</formula>
    </cfRule>
  </conditionalFormatting>
  <conditionalFormatting sqref="J49">
    <cfRule type="expression" dxfId="107" priority="2">
      <formula>$D$49="简单平均"</formula>
    </cfRule>
  </conditionalFormatting>
  <conditionalFormatting sqref="F7:F47 H7:H47 J7:J47">
    <cfRule type="cellIs" dxfId="10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898</v>
      </c>
    </row>
    <row r="2" spans="1:1">
      <c r="A2" s="1474"/>
    </row>
    <row r="3" spans="1:1" ht="18">
      <c r="A3" s="1475" t="str">
        <f>项目基本情况!B5&amp;"："</f>
        <v>：</v>
      </c>
    </row>
    <row r="4" spans="1:1" ht="18">
      <c r="A4" s="1476" t="str">
        <f>"受贵公司委托，我公司对"&amp;项目基本情况!S1&amp;"进行了预评估。"</f>
        <v>受贵公司委托，我公司对房地产抵押价值进行了预评估。</v>
      </c>
    </row>
    <row r="5" spans="1:1" ht="18.75">
      <c r="A5" s="1477" t="s">
        <v>899</v>
      </c>
    </row>
    <row r="6" spans="1:1" ht="18.75">
      <c r="A6" s="1478" t="s">
        <v>900</v>
      </c>
    </row>
    <row r="7" spans="1:1" ht="54">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估价对象为房地产，为所有。根据《国有土地使用证》[]，估价对象（分摊）出让国有建设用地使用权面积为15635.46平方米，建筑面积为226846.23平方米。</v>
      </c>
    </row>
    <row r="8" spans="1:1" ht="57.75">
      <c r="A8" s="1479" t="s">
        <v>901</v>
      </c>
    </row>
    <row r="9" spans="1:1" ht="18.75">
      <c r="A9" s="1478" t="s">
        <v>902</v>
      </c>
    </row>
    <row r="10" spans="1:1" ht="54">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估价对象为房地产,属开发建设的，该项目尚在开发建设中。根据《国有土地使用证》[]，估价对象（分摊）出让国有建设用地使用权面积为15635.46平方米，规划建筑面积为226846.23平方米。</v>
      </c>
    </row>
    <row r="11" spans="1:1" ht="76.5">
      <c r="A11" s="1479" t="s">
        <v>903</v>
      </c>
    </row>
    <row r="12" spans="1:1" ht="18.75">
      <c r="A12" s="1477" t="s">
        <v>904</v>
      </c>
    </row>
    <row r="13" spans="1:1" ht="38.25" customHeight="1">
      <c r="A13" s="1480"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905</v>
      </c>
    </row>
    <row r="15" spans="1:1" ht="18">
      <c r="A15" s="1482" t="str">
        <f>TEXT(项目基本情况!D3,"yyyy年m月d日;;")&amp;IF(项目基本情况!D3=项目基本情况!B3,"（评估专业人员实地查勘之日）","")</f>
        <v>2023年3月20日</v>
      </c>
    </row>
    <row r="16" spans="1:1" ht="18.75">
      <c r="A16" s="1481" t="s">
        <v>906</v>
      </c>
    </row>
    <row r="17" spans="1:1" ht="75">
      <c r="A17" s="1476" t="s">
        <v>907</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20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6" t="str">
        <f>IF(项目基本情况!B9="房地产市场价值","——",IF(项目基本情况!E9="——","",定义!C57))</f>
        <v/>
      </c>
    </row>
    <row r="23" spans="1:1" ht="18.75">
      <c r="A23" s="1481" t="s">
        <v>896</v>
      </c>
    </row>
    <row r="24" spans="1:1" ht="18">
      <c r="A24" s="1483" t="str">
        <f>"本次评估采用的主估价方法为"&amp;结果表!K4&amp;"和"&amp;结果表!L4&amp;"。"</f>
        <v>本次评估采用的主估价方法为成本法和假设开发法。</v>
      </c>
    </row>
    <row r="25" spans="1:1" ht="18">
      <c r="A25" s="1483"/>
    </row>
    <row r="26" spans="1:1" ht="18.75">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60" zoomScaleNormal="70" workbookViewId="0">
      <selection activeCell="G49" sqref="G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874" t="s">
        <v>1766</v>
      </c>
      <c r="C1" s="1234" t="s">
        <v>1662</v>
      </c>
      <c r="D1" s="1221" t="s">
        <v>673</v>
      </c>
      <c r="E1" s="3422" t="s">
        <v>3937</v>
      </c>
      <c r="F1" s="1875" t="s">
        <v>3938</v>
      </c>
      <c r="G1" s="1231" t="s">
        <v>1767</v>
      </c>
      <c r="H1" s="1230"/>
      <c r="I1" s="1230"/>
      <c r="J1" s="1230"/>
      <c r="K1" s="1232"/>
      <c r="L1" s="1233"/>
      <c r="M1" s="1234"/>
      <c r="N1" s="1234"/>
      <c r="O1" s="1234"/>
      <c r="P1" s="1945"/>
      <c r="Q1" s="1946"/>
      <c r="R1" s="1946"/>
      <c r="S1" s="1946"/>
      <c r="T1" s="1946"/>
      <c r="U1" s="1946"/>
      <c r="V1" s="1946"/>
      <c r="W1" s="1946"/>
      <c r="X1" s="1946"/>
      <c r="Y1" s="1946"/>
      <c r="Z1" s="1946"/>
      <c r="AA1" s="1946"/>
      <c r="AB1" s="1946"/>
      <c r="AC1" s="1947"/>
    </row>
    <row r="2" spans="1:29" s="352" customFormat="1" ht="28.5" customHeight="1" thickTop="1">
      <c r="A2" s="1217" t="s">
        <v>1462</v>
      </c>
      <c r="B2" s="1161">
        <f>IF(E1="项目模式",IF(C2="——",ROUND(C49*D3/10000,0),ROUND(C49*D3/10000,0)-D2),IF(E1="单套模式",IF(C2="——",ROUND(C49*D3/10000,4),ROUND(C49*D3/10000,4)-D2)))</f>
        <v>14740</v>
      </c>
      <c r="C2" s="1877" t="s">
        <v>43</v>
      </c>
      <c r="D2" s="1112" t="e">
        <f ca="1">IF(E1="项目模式",SUMIF(INDIRECT("'"&amp;F2&amp;"'"&amp;"!A:A"),"承租人权益价值",INDIRECT("'"&amp;F2&amp;"'"&amp;"!c:c")),SUMIF(INDIRECT("'"&amp;F2&amp;"'"&amp;"!A:A"),"承租人权益价值（单套）",INDIRECT("'"&amp;F2&amp;"'"&amp;"!c:c")))</f>
        <v>#REF!</v>
      </c>
      <c r="E2" s="1878" t="s">
        <v>1463</v>
      </c>
      <c r="F2" s="1879"/>
      <c r="G2" s="905"/>
      <c r="H2" s="905"/>
      <c r="I2" s="905"/>
      <c r="J2" s="905"/>
      <c r="K2" s="905"/>
      <c r="L2" s="2730"/>
      <c r="M2" s="2731"/>
      <c r="N2" s="2731"/>
      <c r="O2" s="2731"/>
      <c r="P2" s="1948"/>
      <c r="Q2" s="909"/>
      <c r="R2" s="909"/>
      <c r="S2" s="909"/>
      <c r="T2" s="909"/>
      <c r="U2" s="909"/>
      <c r="V2" s="909"/>
      <c r="W2" s="909"/>
      <c r="X2" s="909"/>
      <c r="Y2" s="909"/>
      <c r="Z2" s="909"/>
      <c r="AA2" s="909"/>
      <c r="AB2" s="909"/>
      <c r="AC2" s="1949"/>
    </row>
    <row r="3" spans="1:29" s="352" customFormat="1" ht="28.5" customHeight="1" thickBot="1">
      <c r="A3" s="203" t="s">
        <v>1464</v>
      </c>
      <c r="B3" s="558">
        <f>IF(C2="——",C49,ROUND(B2*10000/D3,0))</f>
        <v>31628</v>
      </c>
      <c r="C3" s="354" t="s">
        <v>1768</v>
      </c>
      <c r="D3" s="353">
        <f>IF(D1="",'数据-汇总表'!E3,SUMIF('数据-汇总表'!$C19:$C33,D1,'数据-汇总表'!$E19:$E33))</f>
        <v>4660.4099999999989</v>
      </c>
      <c r="E3" s="1950"/>
      <c r="F3" s="906"/>
      <c r="G3" s="905"/>
      <c r="H3" s="905"/>
      <c r="I3" s="905"/>
      <c r="J3" s="905"/>
      <c r="K3" s="907"/>
      <c r="L3" s="2730"/>
      <c r="M3" s="2731"/>
      <c r="N3" s="2731"/>
      <c r="O3" s="2731"/>
      <c r="P3" s="1948"/>
      <c r="Q3" s="909"/>
      <c r="R3" s="909"/>
      <c r="S3" s="909"/>
      <c r="T3" s="909"/>
      <c r="U3" s="909"/>
      <c r="V3" s="909"/>
      <c r="W3" s="909"/>
      <c r="X3" s="909"/>
      <c r="Y3" s="909"/>
      <c r="Z3" s="909"/>
      <c r="AA3" s="909"/>
      <c r="AB3" s="909"/>
      <c r="AC3" s="1950"/>
    </row>
    <row r="4" spans="1:29" ht="15">
      <c r="A4" s="355" t="s">
        <v>1769</v>
      </c>
      <c r="B4" s="356"/>
      <c r="C4" s="3719" t="s">
        <v>1770</v>
      </c>
      <c r="D4" s="3720"/>
      <c r="E4" s="3721" t="s">
        <v>1771</v>
      </c>
      <c r="F4" s="3722"/>
      <c r="G4" s="3719" t="s">
        <v>1772</v>
      </c>
      <c r="H4" s="3720"/>
      <c r="I4" s="3719" t="s">
        <v>1773</v>
      </c>
      <c r="J4" s="3720"/>
      <c r="K4" s="559" t="s">
        <v>1774</v>
      </c>
      <c r="L4" s="2711"/>
      <c r="M4" s="2712"/>
      <c r="N4" s="2712"/>
      <c r="O4" s="2712"/>
      <c r="P4" s="3723" t="s">
        <v>1775</v>
      </c>
      <c r="Q4" s="3724"/>
      <c r="R4" s="3706" t="s">
        <v>1771</v>
      </c>
      <c r="S4" s="3707"/>
      <c r="T4" s="3706" t="s">
        <v>1772</v>
      </c>
      <c r="U4" s="3707"/>
      <c r="V4" s="3731" t="s">
        <v>1773</v>
      </c>
      <c r="W4" s="3731"/>
      <c r="X4" s="1351"/>
      <c r="Y4" s="3706" t="s">
        <v>1775</v>
      </c>
      <c r="Z4" s="3707"/>
      <c r="AA4" s="3701" t="s">
        <v>1771</v>
      </c>
      <c r="AB4" s="3731" t="s">
        <v>1772</v>
      </c>
      <c r="AC4" s="3701" t="s">
        <v>1773</v>
      </c>
    </row>
    <row r="5" spans="1:29" ht="15">
      <c r="A5" s="358"/>
      <c r="B5" s="359"/>
      <c r="C5" s="3712" t="s">
        <v>1673</v>
      </c>
      <c r="D5" s="3713"/>
      <c r="E5" s="3780" t="s">
        <v>3970</v>
      </c>
      <c r="F5" s="3711"/>
      <c r="G5" s="3781" t="s">
        <v>3971</v>
      </c>
      <c r="H5" s="3713"/>
      <c r="I5" s="3781" t="s">
        <v>3972</v>
      </c>
      <c r="J5" s="3713"/>
      <c r="K5" s="559"/>
      <c r="L5" s="2711"/>
      <c r="M5" s="2712"/>
      <c r="N5" s="2712"/>
      <c r="O5" s="2712"/>
      <c r="P5" s="3725"/>
      <c r="Q5" s="3726"/>
      <c r="R5" s="3708"/>
      <c r="S5" s="3709"/>
      <c r="T5" s="3708"/>
      <c r="U5" s="3709"/>
      <c r="V5" s="3731"/>
      <c r="W5" s="3731"/>
      <c r="X5" s="1351"/>
      <c r="Y5" s="3708"/>
      <c r="Z5" s="3709"/>
      <c r="AA5" s="3702"/>
      <c r="AB5" s="3731"/>
      <c r="AC5" s="3702"/>
    </row>
    <row r="6" spans="1:29" ht="15.75" thickBot="1">
      <c r="A6" s="360"/>
      <c r="B6" s="361"/>
      <c r="C6" s="3714" t="s">
        <v>1677</v>
      </c>
      <c r="D6" s="3715"/>
      <c r="E6" s="3716" t="s">
        <v>1677</v>
      </c>
      <c r="F6" s="3717"/>
      <c r="G6" s="3714" t="s">
        <v>1677</v>
      </c>
      <c r="H6" s="3715"/>
      <c r="I6" s="3714" t="s">
        <v>1677</v>
      </c>
      <c r="J6" s="3715"/>
      <c r="K6" s="559" t="s">
        <v>1678</v>
      </c>
      <c r="L6" s="2711"/>
      <c r="M6" s="2712"/>
      <c r="N6" s="2712"/>
      <c r="O6" s="2712"/>
      <c r="P6" s="3727"/>
      <c r="Q6" s="3728"/>
      <c r="R6" s="3708"/>
      <c r="S6" s="3709"/>
      <c r="T6" s="3729"/>
      <c r="U6" s="3730"/>
      <c r="V6" s="3731"/>
      <c r="W6" s="3731"/>
      <c r="X6" s="1351"/>
      <c r="Y6" s="3729"/>
      <c r="Z6" s="3730"/>
      <c r="AA6" s="3703"/>
      <c r="AB6" s="3731"/>
      <c r="AC6" s="3703"/>
    </row>
    <row r="7" spans="1:29" s="108" customFormat="1" ht="15.75" thickBot="1">
      <c r="A7" s="362" t="s">
        <v>1679</v>
      </c>
      <c r="B7" s="363"/>
      <c r="C7" s="364">
        <f>'数据-取费表'!B2</f>
        <v>45005</v>
      </c>
      <c r="D7" s="365">
        <v>100</v>
      </c>
      <c r="E7" s="366">
        <v>44713</v>
      </c>
      <c r="F7" s="367">
        <f>SUMIF(58:58,YEAR(E7)&amp;"-"&amp;MONTH(E7),59:59)</f>
        <v>100</v>
      </c>
      <c r="G7" s="366">
        <v>44835</v>
      </c>
      <c r="H7" s="365">
        <f>SUMIF(58:58,YEAR(G7)&amp;"-"&amp;MONTH(G7),59:59)</f>
        <v>100</v>
      </c>
      <c r="I7" s="366">
        <v>44986</v>
      </c>
      <c r="J7" s="365">
        <f>SUMIF(58:58,YEAR(I7)&amp;"-"&amp;MONTH(I7),59:59)</f>
        <v>100</v>
      </c>
      <c r="K7" s="560"/>
      <c r="L7" s="2713"/>
      <c r="M7" s="2714"/>
      <c r="N7" s="2714"/>
      <c r="O7" s="2714"/>
      <c r="P7" s="3704" t="s">
        <v>1680</v>
      </c>
      <c r="Q7" s="3732"/>
      <c r="R7" s="701" t="s">
        <v>14</v>
      </c>
      <c r="S7" s="702">
        <f t="shared" ref="S7:S15" si="0">F7</f>
        <v>100</v>
      </c>
      <c r="T7" s="701" t="s">
        <v>14</v>
      </c>
      <c r="U7" s="702">
        <f t="shared" ref="U7:U15" si="1">H7</f>
        <v>100</v>
      </c>
      <c r="V7" s="701" t="s">
        <v>14</v>
      </c>
      <c r="W7" s="702">
        <f t="shared" ref="W7:W15" si="2">J7</f>
        <v>100</v>
      </c>
      <c r="X7" s="703"/>
      <c r="Y7" s="3704" t="s">
        <v>1680</v>
      </c>
      <c r="Z7" s="3705"/>
      <c r="AA7" s="704">
        <f>D7/F7</f>
        <v>1</v>
      </c>
      <c r="AB7" s="704">
        <f>D7/H7</f>
        <v>1</v>
      </c>
      <c r="AC7" s="704">
        <f>D7/J7</f>
        <v>1</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3"/>
      <c r="M8" s="2714"/>
      <c r="N8" s="2714"/>
      <c r="O8" s="2714"/>
      <c r="P8" s="3704" t="s">
        <v>1683</v>
      </c>
      <c r="Q8" s="3705"/>
      <c r="R8" s="701" t="s">
        <v>14</v>
      </c>
      <c r="S8" s="702">
        <f t="shared" si="0"/>
        <v>100</v>
      </c>
      <c r="T8" s="701" t="s">
        <v>14</v>
      </c>
      <c r="U8" s="702">
        <f t="shared" si="1"/>
        <v>100</v>
      </c>
      <c r="V8" s="701" t="s">
        <v>14</v>
      </c>
      <c r="W8" s="702">
        <f t="shared" si="2"/>
        <v>100</v>
      </c>
      <c r="X8" s="703"/>
      <c r="Y8" s="3704" t="s">
        <v>1683</v>
      </c>
      <c r="Z8" s="370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3"/>
      <c r="M9" s="2714"/>
      <c r="N9" s="2714"/>
      <c r="O9" s="2714"/>
      <c r="P9" s="3742" t="s">
        <v>1686</v>
      </c>
      <c r="Q9" s="1339" t="str">
        <f t="shared" ref="Q9:Q15" si="6">B9</f>
        <v>用途</v>
      </c>
      <c r="R9" s="701" t="s">
        <v>14</v>
      </c>
      <c r="S9" s="702">
        <f t="shared" si="0"/>
        <v>100</v>
      </c>
      <c r="T9" s="701" t="s">
        <v>14</v>
      </c>
      <c r="U9" s="702">
        <f t="shared" si="1"/>
        <v>100</v>
      </c>
      <c r="V9" s="701" t="s">
        <v>14</v>
      </c>
      <c r="W9" s="702">
        <f t="shared" si="2"/>
        <v>100</v>
      </c>
      <c r="X9" s="703"/>
      <c r="Y9" s="3674"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742"/>
      <c r="Q10" s="1339" t="str">
        <f t="shared" si="6"/>
        <v>土地使用年限（年）</v>
      </c>
      <c r="R10" s="701" t="s">
        <v>14</v>
      </c>
      <c r="S10" s="702">
        <f t="shared" si="0"/>
        <v>100</v>
      </c>
      <c r="T10" s="701" t="s">
        <v>14</v>
      </c>
      <c r="U10" s="702">
        <f t="shared" si="1"/>
        <v>100</v>
      </c>
      <c r="V10" s="701" t="s">
        <v>14</v>
      </c>
      <c r="W10" s="702">
        <f t="shared" si="2"/>
        <v>100</v>
      </c>
      <c r="X10" s="703"/>
      <c r="Y10" s="3674"/>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7"/>
      <c r="M11" s="2712"/>
      <c r="N11" s="2712"/>
      <c r="O11" s="2712"/>
      <c r="P11" s="3742"/>
      <c r="Q11" s="1339" t="str">
        <f t="shared" si="6"/>
        <v>容积率</v>
      </c>
      <c r="R11" s="701" t="s">
        <v>14</v>
      </c>
      <c r="S11" s="702">
        <f t="shared" si="0"/>
        <v>100</v>
      </c>
      <c r="T11" s="701" t="s">
        <v>14</v>
      </c>
      <c r="U11" s="702">
        <f t="shared" si="1"/>
        <v>100</v>
      </c>
      <c r="V11" s="701" t="s">
        <v>14</v>
      </c>
      <c r="W11" s="702">
        <f t="shared" si="2"/>
        <v>100</v>
      </c>
      <c r="X11" s="703"/>
      <c r="Y11" s="3674"/>
      <c r="Z11" s="52" t="str">
        <f t="shared" si="7"/>
        <v>容积率</v>
      </c>
      <c r="AA11" s="704">
        <f t="shared" si="3"/>
        <v>1</v>
      </c>
      <c r="AB11" s="704">
        <f t="shared" si="4"/>
        <v>1</v>
      </c>
      <c r="AC11" s="704">
        <f t="shared" si="5"/>
        <v>1</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742"/>
      <c r="Q12" s="1339">
        <f t="shared" si="6"/>
        <v>111</v>
      </c>
      <c r="R12" s="701" t="s">
        <v>14</v>
      </c>
      <c r="S12" s="702">
        <f t="shared" si="0"/>
        <v>100</v>
      </c>
      <c r="T12" s="701" t="s">
        <v>14</v>
      </c>
      <c r="U12" s="702">
        <f t="shared" si="1"/>
        <v>100</v>
      </c>
      <c r="V12" s="701" t="s">
        <v>14</v>
      </c>
      <c r="W12" s="702">
        <f t="shared" si="2"/>
        <v>100</v>
      </c>
      <c r="X12" s="703"/>
      <c r="Y12" s="3674"/>
      <c r="Z12" s="52">
        <f t="shared" si="7"/>
        <v>111</v>
      </c>
      <c r="AA12" s="704">
        <f>D12/F12</f>
        <v>1</v>
      </c>
      <c r="AB12" s="704">
        <f>D12/H12</f>
        <v>1</v>
      </c>
      <c r="AC12" s="704">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742"/>
      <c r="Q13" s="1339">
        <f t="shared" si="6"/>
        <v>111</v>
      </c>
      <c r="R13" s="701" t="s">
        <v>14</v>
      </c>
      <c r="S13" s="702">
        <f t="shared" si="0"/>
        <v>100</v>
      </c>
      <c r="T13" s="701" t="s">
        <v>14</v>
      </c>
      <c r="U13" s="702">
        <f t="shared" si="1"/>
        <v>100</v>
      </c>
      <c r="V13" s="701" t="s">
        <v>14</v>
      </c>
      <c r="W13" s="702">
        <f t="shared" si="2"/>
        <v>100</v>
      </c>
      <c r="X13" s="703"/>
      <c r="Y13" s="3674"/>
      <c r="Z13" s="52">
        <f t="shared" si="7"/>
        <v>111</v>
      </c>
      <c r="AA13" s="704">
        <f t="shared" si="3"/>
        <v>1</v>
      </c>
      <c r="AB13" s="704">
        <f t="shared" si="4"/>
        <v>1</v>
      </c>
      <c r="AC13" s="704">
        <f t="shared" si="5"/>
        <v>1</v>
      </c>
    </row>
    <row r="14" spans="1:29" ht="15.75"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742"/>
      <c r="Q14" s="1339">
        <f t="shared" si="6"/>
        <v>111</v>
      </c>
      <c r="R14" s="701" t="s">
        <v>14</v>
      </c>
      <c r="S14" s="702">
        <f t="shared" si="0"/>
        <v>100</v>
      </c>
      <c r="T14" s="701" t="s">
        <v>14</v>
      </c>
      <c r="U14" s="702">
        <f t="shared" si="1"/>
        <v>100</v>
      </c>
      <c r="V14" s="701" t="s">
        <v>14</v>
      </c>
      <c r="W14" s="702">
        <f t="shared" si="2"/>
        <v>100</v>
      </c>
      <c r="X14" s="703"/>
      <c r="Y14" s="3674"/>
      <c r="Z14" s="52">
        <f t="shared" si="7"/>
        <v>111</v>
      </c>
      <c r="AA14" s="704">
        <f t="shared" si="3"/>
        <v>1</v>
      </c>
      <c r="AB14" s="704">
        <f t="shared" si="4"/>
        <v>1</v>
      </c>
      <c r="AC14" s="704">
        <f t="shared" si="5"/>
        <v>1</v>
      </c>
    </row>
    <row r="15" spans="1:29" ht="71.25">
      <c r="A15" s="391" t="s">
        <v>1690</v>
      </c>
      <c r="B15" s="61" t="s">
        <v>1777</v>
      </c>
      <c r="C15" s="1892"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8"/>
      <c r="M15" s="2712"/>
      <c r="N15" s="2712"/>
      <c r="O15" s="2712"/>
      <c r="P15" s="3775" t="s">
        <v>1691</v>
      </c>
      <c r="Q15" s="1348" t="str">
        <f t="shared" si="6"/>
        <v>商业繁华度</v>
      </c>
      <c r="R15" s="705" t="s">
        <v>14</v>
      </c>
      <c r="S15" s="706">
        <f t="shared" si="0"/>
        <v>100</v>
      </c>
      <c r="T15" s="705" t="s">
        <v>14</v>
      </c>
      <c r="U15" s="706">
        <f t="shared" si="1"/>
        <v>100</v>
      </c>
      <c r="V15" s="705" t="s">
        <v>14</v>
      </c>
      <c r="W15" s="706">
        <f t="shared" si="2"/>
        <v>100</v>
      </c>
      <c r="X15" s="1351"/>
      <c r="Y15" s="3733" t="s">
        <v>1691</v>
      </c>
      <c r="Z15" s="1352" t="str">
        <f t="shared" si="7"/>
        <v>商业繁华度</v>
      </c>
      <c r="AA15" s="1349">
        <f t="shared" si="3"/>
        <v>1</v>
      </c>
      <c r="AB15" s="1349">
        <f t="shared" si="4"/>
        <v>1</v>
      </c>
      <c r="AC15" s="1349">
        <f t="shared" si="5"/>
        <v>1</v>
      </c>
    </row>
    <row r="16" spans="1:29" ht="15">
      <c r="A16" s="379"/>
      <c r="B16" s="397"/>
      <c r="C16" s="398" t="s">
        <v>3923</v>
      </c>
      <c r="D16" s="399"/>
      <c r="E16" s="398" t="s">
        <v>3923</v>
      </c>
      <c r="F16" s="400"/>
      <c r="G16" s="398" t="s">
        <v>3923</v>
      </c>
      <c r="H16" s="401"/>
      <c r="I16" s="398" t="s">
        <v>3923</v>
      </c>
      <c r="J16" s="399"/>
      <c r="K16" s="564"/>
      <c r="L16" s="2718"/>
      <c r="M16" s="2712"/>
      <c r="N16" s="2712"/>
      <c r="O16" s="2712"/>
      <c r="P16" s="3776"/>
      <c r="Q16" s="1348"/>
      <c r="R16" s="705"/>
      <c r="S16" s="706"/>
      <c r="T16" s="705"/>
      <c r="U16" s="706"/>
      <c r="V16" s="705"/>
      <c r="W16" s="706"/>
      <c r="X16" s="1351"/>
      <c r="Y16" s="3734"/>
      <c r="Z16" s="1352"/>
      <c r="AA16" s="1349">
        <v>1</v>
      </c>
      <c r="AB16" s="1349">
        <v>1</v>
      </c>
      <c r="AC16" s="1349">
        <v>1</v>
      </c>
    </row>
    <row r="17" spans="1:29" ht="85.5">
      <c r="A17" s="379"/>
      <c r="B17" s="402" t="s">
        <v>1259</v>
      </c>
      <c r="C17" s="1896"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8"/>
      <c r="M17" s="2712"/>
      <c r="N17" s="2712"/>
      <c r="O17" s="2712"/>
      <c r="P17" s="3776"/>
      <c r="Q17" s="1348" t="str">
        <f>B17</f>
        <v>交通便捷度</v>
      </c>
      <c r="R17" s="705" t="s">
        <v>14</v>
      </c>
      <c r="S17" s="706">
        <f>F17</f>
        <v>100</v>
      </c>
      <c r="T17" s="705" t="s">
        <v>14</v>
      </c>
      <c r="U17" s="706">
        <f>H17</f>
        <v>100</v>
      </c>
      <c r="V17" s="705" t="s">
        <v>14</v>
      </c>
      <c r="W17" s="706">
        <f>J17</f>
        <v>100</v>
      </c>
      <c r="X17" s="1351"/>
      <c r="Y17" s="3734"/>
      <c r="Z17" s="1352" t="str">
        <f>Q17</f>
        <v>交通便捷度</v>
      </c>
      <c r="AA17" s="1349">
        <f t="shared" si="3"/>
        <v>1</v>
      </c>
      <c r="AB17" s="1349">
        <f t="shared" si="4"/>
        <v>1</v>
      </c>
      <c r="AC17" s="1349">
        <f t="shared" si="5"/>
        <v>1</v>
      </c>
    </row>
    <row r="18" spans="1:29" ht="15">
      <c r="A18" s="379"/>
      <c r="B18" s="407"/>
      <c r="C18" s="3500" t="s">
        <v>3973</v>
      </c>
      <c r="D18" s="401"/>
      <c r="E18" s="3499" t="s">
        <v>3973</v>
      </c>
      <c r="F18" s="404"/>
      <c r="G18" s="3498" t="s">
        <v>3973</v>
      </c>
      <c r="H18" s="399"/>
      <c r="I18" s="3499" t="s">
        <v>3973</v>
      </c>
      <c r="J18" s="399"/>
      <c r="K18" s="564"/>
      <c r="L18" s="2718"/>
      <c r="M18" s="2712"/>
      <c r="N18" s="2712"/>
      <c r="O18" s="2712"/>
      <c r="P18" s="3776"/>
      <c r="Q18" s="1348"/>
      <c r="R18" s="705"/>
      <c r="S18" s="706"/>
      <c r="T18" s="705"/>
      <c r="U18" s="706"/>
      <c r="V18" s="705"/>
      <c r="W18" s="706"/>
      <c r="X18" s="1351"/>
      <c r="Y18" s="3734"/>
      <c r="Z18" s="1352"/>
      <c r="AA18" s="1349">
        <v>1</v>
      </c>
      <c r="AB18" s="1349">
        <v>1</v>
      </c>
      <c r="AC18" s="1349">
        <v>1</v>
      </c>
    </row>
    <row r="19" spans="1:29" ht="42.75">
      <c r="A19" s="379"/>
      <c r="B19" s="402" t="s">
        <v>1778</v>
      </c>
      <c r="C19" s="1896"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776"/>
      <c r="Q19" s="1348" t="str">
        <f>B19</f>
        <v>公共配套设施</v>
      </c>
      <c r="R19" s="705" t="s">
        <v>14</v>
      </c>
      <c r="S19" s="706">
        <f>F19</f>
        <v>100</v>
      </c>
      <c r="T19" s="705" t="s">
        <v>14</v>
      </c>
      <c r="U19" s="706">
        <f>H19</f>
        <v>100</v>
      </c>
      <c r="V19" s="705" t="s">
        <v>14</v>
      </c>
      <c r="W19" s="706">
        <f>J19</f>
        <v>100</v>
      </c>
      <c r="X19" s="1351"/>
      <c r="Y19" s="3734"/>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2718"/>
      <c r="M20" s="2712"/>
      <c r="N20" s="2712"/>
      <c r="O20" s="2712"/>
      <c r="P20" s="3776"/>
      <c r="Q20" s="1348"/>
      <c r="R20" s="705"/>
      <c r="S20" s="706"/>
      <c r="T20" s="705"/>
      <c r="U20" s="706"/>
      <c r="V20" s="705"/>
      <c r="W20" s="706"/>
      <c r="X20" s="1351"/>
      <c r="Y20" s="3734"/>
      <c r="Z20" s="1352"/>
      <c r="AA20" s="1349">
        <v>1</v>
      </c>
      <c r="AB20" s="1349">
        <v>1</v>
      </c>
      <c r="AC20" s="1349">
        <v>1</v>
      </c>
    </row>
    <row r="21" spans="1:29" ht="28.5">
      <c r="A21" s="379"/>
      <c r="B21" s="1128" t="s">
        <v>1779</v>
      </c>
      <c r="C21" s="1896"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776"/>
      <c r="Q21" s="1348" t="str">
        <f>B21</f>
        <v>基础设施水平</v>
      </c>
      <c r="R21" s="705" t="s">
        <v>14</v>
      </c>
      <c r="S21" s="706">
        <f>F21</f>
        <v>100</v>
      </c>
      <c r="T21" s="705" t="s">
        <v>14</v>
      </c>
      <c r="U21" s="706">
        <f>H21</f>
        <v>100</v>
      </c>
      <c r="V21" s="705" t="s">
        <v>14</v>
      </c>
      <c r="W21" s="706">
        <f>J21</f>
        <v>100</v>
      </c>
      <c r="X21" s="1351"/>
      <c r="Y21" s="3734"/>
      <c r="Z21" s="1352" t="str">
        <f>Q21</f>
        <v>基础设施水平</v>
      </c>
      <c r="AA21" s="1349">
        <f t="shared" ref="AA21" si="8">D21/F21</f>
        <v>1</v>
      </c>
      <c r="AB21" s="1349">
        <f t="shared" ref="AB21" si="9">D21/H21</f>
        <v>1</v>
      </c>
      <c r="AC21" s="1349">
        <f t="shared" ref="AC21" si="10">D21/J21</f>
        <v>1</v>
      </c>
    </row>
    <row r="22" spans="1:29" ht="15">
      <c r="A22" s="379"/>
      <c r="B22" s="1128"/>
      <c r="C22" s="1897"/>
      <c r="D22" s="399"/>
      <c r="E22" s="398"/>
      <c r="F22" s="400"/>
      <c r="G22" s="398"/>
      <c r="H22" s="399"/>
      <c r="I22" s="398"/>
      <c r="J22" s="399"/>
      <c r="K22" s="1127"/>
      <c r="L22" s="2718"/>
      <c r="M22" s="2712"/>
      <c r="N22" s="2712"/>
      <c r="O22" s="2712"/>
      <c r="P22" s="3776"/>
      <c r="Q22" s="1348"/>
      <c r="R22" s="705"/>
      <c r="S22" s="706"/>
      <c r="T22" s="705"/>
      <c r="U22" s="706"/>
      <c r="V22" s="705"/>
      <c r="W22" s="706"/>
      <c r="X22" s="1351"/>
      <c r="Y22" s="3734"/>
      <c r="Z22" s="1352"/>
      <c r="AA22" s="1349">
        <v>1</v>
      </c>
      <c r="AB22" s="1349">
        <v>1</v>
      </c>
      <c r="AC22" s="1349">
        <v>1</v>
      </c>
    </row>
    <row r="23" spans="1:29" ht="57">
      <c r="A23" s="379"/>
      <c r="B23" s="402" t="s">
        <v>1261</v>
      </c>
      <c r="C23" s="1951"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776"/>
      <c r="Q23" s="1348" t="str">
        <f>B23</f>
        <v>自然及人文环境</v>
      </c>
      <c r="R23" s="705" t="s">
        <v>14</v>
      </c>
      <c r="S23" s="706">
        <f>F23</f>
        <v>100</v>
      </c>
      <c r="T23" s="705" t="s">
        <v>14</v>
      </c>
      <c r="U23" s="706">
        <f>H23</f>
        <v>100</v>
      </c>
      <c r="V23" s="705" t="s">
        <v>14</v>
      </c>
      <c r="W23" s="706">
        <f>J23</f>
        <v>100</v>
      </c>
      <c r="X23" s="1351"/>
      <c r="Y23" s="3734"/>
      <c r="Z23" s="1352" t="str">
        <f>Q23</f>
        <v>自然及人文环境</v>
      </c>
      <c r="AA23" s="1349">
        <f t="shared" si="3"/>
        <v>1</v>
      </c>
      <c r="AB23" s="1349">
        <f t="shared" si="4"/>
        <v>1</v>
      </c>
      <c r="AC23" s="1349">
        <f t="shared" si="5"/>
        <v>1</v>
      </c>
    </row>
    <row r="24" spans="1:29" ht="15">
      <c r="A24" s="379"/>
      <c r="B24" s="407"/>
      <c r="C24" s="398"/>
      <c r="D24" s="399"/>
      <c r="E24" s="1894"/>
      <c r="F24" s="400"/>
      <c r="G24" s="1893"/>
      <c r="H24" s="399"/>
      <c r="I24" s="1894"/>
      <c r="J24" s="399"/>
      <c r="K24" s="564"/>
      <c r="L24" s="2718"/>
      <c r="M24" s="2712"/>
      <c r="N24" s="2712"/>
      <c r="O24" s="2712"/>
      <c r="P24" s="3776"/>
      <c r="Q24" s="1348"/>
      <c r="R24" s="705"/>
      <c r="S24" s="706"/>
      <c r="T24" s="705"/>
      <c r="U24" s="706"/>
      <c r="V24" s="705"/>
      <c r="W24" s="706"/>
      <c r="X24" s="1351"/>
      <c r="Y24" s="3734"/>
      <c r="Z24" s="1352"/>
      <c r="AA24" s="1349">
        <v>1</v>
      </c>
      <c r="AB24" s="1349">
        <v>1</v>
      </c>
      <c r="AC24" s="1349">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776"/>
      <c r="Q25" s="1348" t="str">
        <f t="shared" ref="Q25:Q46" si="11">B25</f>
        <v>临街状况</v>
      </c>
      <c r="R25" s="705" t="s">
        <v>14</v>
      </c>
      <c r="S25" s="706">
        <f>F25</f>
        <v>100</v>
      </c>
      <c r="T25" s="705" t="s">
        <v>14</v>
      </c>
      <c r="U25" s="706">
        <f>H25</f>
        <v>100</v>
      </c>
      <c r="V25" s="705" t="s">
        <v>14</v>
      </c>
      <c r="W25" s="706">
        <f>J25</f>
        <v>100</v>
      </c>
      <c r="X25" s="1351"/>
      <c r="Y25" s="3734"/>
      <c r="Z25" s="1352" t="str">
        <f>Q25</f>
        <v>临街状况</v>
      </c>
      <c r="AA25" s="1349">
        <f t="shared" si="3"/>
        <v>1</v>
      </c>
      <c r="AB25" s="1349">
        <f t="shared" si="4"/>
        <v>1</v>
      </c>
      <c r="AC25" s="1349">
        <f t="shared" si="5"/>
        <v>1</v>
      </c>
    </row>
    <row r="26" spans="1:29" ht="15">
      <c r="A26" s="379"/>
      <c r="B26" s="1130" t="s">
        <v>1781</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776"/>
      <c r="Q26" s="1348" t="str">
        <f t="shared" si="11"/>
        <v>平面位置/可视性</v>
      </c>
      <c r="R26" s="705" t="s">
        <v>14</v>
      </c>
      <c r="S26" s="706">
        <f>F26</f>
        <v>100</v>
      </c>
      <c r="T26" s="705" t="s">
        <v>14</v>
      </c>
      <c r="U26" s="706">
        <f>H26</f>
        <v>100</v>
      </c>
      <c r="V26" s="705" t="s">
        <v>14</v>
      </c>
      <c r="W26" s="706">
        <f>J26</f>
        <v>100</v>
      </c>
      <c r="X26" s="1351"/>
      <c r="Y26" s="3734"/>
      <c r="Z26" s="1352" t="str">
        <f>Q26</f>
        <v>平面位置/可视性</v>
      </c>
      <c r="AA26" s="1349">
        <f t="shared" si="3"/>
        <v>1</v>
      </c>
      <c r="AB26" s="1349">
        <f t="shared" si="4"/>
        <v>1</v>
      </c>
      <c r="AC26" s="1349">
        <f t="shared" si="5"/>
        <v>1</v>
      </c>
    </row>
    <row r="27" spans="1:29" s="108" customFormat="1" ht="15">
      <c r="A27" s="382"/>
      <c r="B27" s="402" t="s">
        <v>1782</v>
      </c>
      <c r="C27" s="1952"/>
      <c r="D27" s="413">
        <v>100</v>
      </c>
      <c r="E27" s="1952"/>
      <c r="F27" s="415">
        <f>SUMIF(90:90,E27,91:91)-SUMIF(90:90,C27,91:91)+100</f>
        <v>100</v>
      </c>
      <c r="G27" s="1952"/>
      <c r="H27" s="413">
        <f>SUMIF(90:90,G27,91:91)-SUMIF(90:90,C27,91:91)+100</f>
        <v>100</v>
      </c>
      <c r="I27" s="1952"/>
      <c r="J27" s="413">
        <f>SUMIF(90:90,I27,91:91)-SUMIF(90:90,C27,91:91)+100</f>
        <v>100</v>
      </c>
      <c r="K27" s="561"/>
      <c r="L27" s="2713"/>
      <c r="M27" s="2714"/>
      <c r="N27" s="2714"/>
      <c r="O27" s="2714"/>
      <c r="P27" s="3776"/>
      <c r="Q27" s="1339" t="str">
        <f t="shared" si="11"/>
        <v>人流量</v>
      </c>
      <c r="R27" s="701" t="s">
        <v>14</v>
      </c>
      <c r="S27" s="702">
        <f>F27</f>
        <v>100</v>
      </c>
      <c r="T27" s="701" t="s">
        <v>14</v>
      </c>
      <c r="U27" s="702">
        <f>H27</f>
        <v>100</v>
      </c>
      <c r="V27" s="701" t="s">
        <v>14</v>
      </c>
      <c r="W27" s="702">
        <f>J27</f>
        <v>100</v>
      </c>
      <c r="X27" s="703"/>
      <c r="Y27" s="3734"/>
      <c r="Z27" s="52" t="str">
        <f>Q27</f>
        <v>人流量</v>
      </c>
      <c r="AA27" s="1349">
        <f>D27/F27</f>
        <v>1</v>
      </c>
      <c r="AB27" s="1349">
        <f>D27/H27</f>
        <v>1</v>
      </c>
      <c r="AC27" s="1349">
        <f>D27/J27</f>
        <v>1</v>
      </c>
    </row>
    <row r="28" spans="1:29" ht="15">
      <c r="A28" s="379"/>
      <c r="B28" s="375" t="s">
        <v>1783</v>
      </c>
      <c r="C28" s="565">
        <v>1</v>
      </c>
      <c r="D28" s="386">
        <v>100</v>
      </c>
      <c r="E28" s="565">
        <v>1</v>
      </c>
      <c r="F28" s="412">
        <f>SUMIF(92:92,E28,93:93)-SUMIF(92:92,C28,93:93)+100</f>
        <v>100</v>
      </c>
      <c r="G28" s="565">
        <v>1</v>
      </c>
      <c r="H28" s="386">
        <f>SUMIF(92:92,G28,93:93)-SUMIF(92:92,C28,93:93)+100</f>
        <v>100</v>
      </c>
      <c r="I28" s="565">
        <v>1</v>
      </c>
      <c r="J28" s="386">
        <f>SUMIF(92:92,I28,93:93)-SUMIF(92:92,C28,93:93)+100</f>
        <v>100</v>
      </c>
      <c r="K28" s="562"/>
      <c r="L28" s="2718"/>
      <c r="M28" s="2712"/>
      <c r="N28" s="2712"/>
      <c r="O28" s="2712"/>
      <c r="P28" s="3776"/>
      <c r="Q28" s="1348" t="str">
        <f t="shared" si="11"/>
        <v>楼层</v>
      </c>
      <c r="R28" s="705" t="s">
        <v>14</v>
      </c>
      <c r="S28" s="706">
        <f t="shared" ref="S28:S46" si="12">F28</f>
        <v>100</v>
      </c>
      <c r="T28" s="705" t="s">
        <v>14</v>
      </c>
      <c r="U28" s="706">
        <f t="shared" ref="U28:U46" si="13">H28</f>
        <v>100</v>
      </c>
      <c r="V28" s="705" t="s">
        <v>14</v>
      </c>
      <c r="W28" s="706">
        <f t="shared" ref="W28:W46" si="14">J28</f>
        <v>100</v>
      </c>
      <c r="X28" s="1351"/>
      <c r="Y28" s="3734"/>
      <c r="Z28" s="1352" t="str">
        <f t="shared" ref="Z28:Z46" si="15">Q28</f>
        <v>楼层</v>
      </c>
      <c r="AA28" s="1349">
        <f t="shared" si="3"/>
        <v>1</v>
      </c>
      <c r="AB28" s="1349">
        <f t="shared" si="4"/>
        <v>1</v>
      </c>
      <c r="AC28" s="1349">
        <f t="shared" si="5"/>
        <v>1</v>
      </c>
    </row>
    <row r="29" spans="1:29" ht="15">
      <c r="A29" s="379"/>
      <c r="B29" s="1130">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76"/>
      <c r="Q29" s="1348">
        <f t="shared" si="11"/>
        <v>111</v>
      </c>
      <c r="R29" s="705" t="s">
        <v>14</v>
      </c>
      <c r="S29" s="706">
        <f t="shared" si="12"/>
        <v>100</v>
      </c>
      <c r="T29" s="705" t="s">
        <v>14</v>
      </c>
      <c r="U29" s="706">
        <f t="shared" si="13"/>
        <v>100</v>
      </c>
      <c r="V29" s="705" t="s">
        <v>14</v>
      </c>
      <c r="W29" s="706">
        <f t="shared" si="14"/>
        <v>100</v>
      </c>
      <c r="X29" s="1351"/>
      <c r="Y29" s="3734"/>
      <c r="Z29" s="1352">
        <f t="shared" si="15"/>
        <v>111</v>
      </c>
      <c r="AA29" s="1349">
        <f t="shared" si="3"/>
        <v>1</v>
      </c>
      <c r="AB29" s="1349">
        <f t="shared" si="4"/>
        <v>1</v>
      </c>
      <c r="AC29" s="1349">
        <f t="shared" si="5"/>
        <v>1</v>
      </c>
    </row>
    <row r="30" spans="1:29" ht="15">
      <c r="A30" s="379"/>
      <c r="B30" s="1130">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76"/>
      <c r="Q30" s="1348">
        <f t="shared" si="11"/>
        <v>111</v>
      </c>
      <c r="R30" s="705" t="s">
        <v>14</v>
      </c>
      <c r="S30" s="706">
        <f t="shared" si="12"/>
        <v>100</v>
      </c>
      <c r="T30" s="705" t="s">
        <v>14</v>
      </c>
      <c r="U30" s="706">
        <f t="shared" si="13"/>
        <v>100</v>
      </c>
      <c r="V30" s="705" t="s">
        <v>14</v>
      </c>
      <c r="W30" s="706">
        <f t="shared" si="14"/>
        <v>100</v>
      </c>
      <c r="X30" s="1351"/>
      <c r="Y30" s="3734"/>
      <c r="Z30" s="1352">
        <f t="shared" si="15"/>
        <v>111</v>
      </c>
      <c r="AA30" s="1349">
        <f t="shared" si="3"/>
        <v>1</v>
      </c>
      <c r="AB30" s="1349">
        <f t="shared" si="4"/>
        <v>1</v>
      </c>
      <c r="AC30" s="1349">
        <f t="shared" si="5"/>
        <v>1</v>
      </c>
    </row>
    <row r="31" spans="1:29" ht="15.75" thickBot="1">
      <c r="A31" s="387"/>
      <c r="B31" s="1130">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76"/>
      <c r="Q31" s="1348">
        <f t="shared" si="11"/>
        <v>111</v>
      </c>
      <c r="R31" s="705" t="s">
        <v>14</v>
      </c>
      <c r="S31" s="706">
        <f t="shared" si="12"/>
        <v>100</v>
      </c>
      <c r="T31" s="705" t="s">
        <v>14</v>
      </c>
      <c r="U31" s="706">
        <f t="shared" si="13"/>
        <v>100</v>
      </c>
      <c r="V31" s="705" t="s">
        <v>14</v>
      </c>
      <c r="W31" s="706">
        <f t="shared" si="14"/>
        <v>100</v>
      </c>
      <c r="X31" s="1351"/>
      <c r="Y31" s="3734"/>
      <c r="Z31" s="1352">
        <f t="shared" si="15"/>
        <v>111</v>
      </c>
      <c r="AA31" s="1349">
        <f t="shared" si="3"/>
        <v>1</v>
      </c>
      <c r="AB31" s="1349">
        <f t="shared" si="4"/>
        <v>1</v>
      </c>
      <c r="AC31" s="1349">
        <f t="shared" si="5"/>
        <v>1</v>
      </c>
    </row>
    <row r="32" spans="1:29" ht="15">
      <c r="A32" s="391" t="s">
        <v>1694</v>
      </c>
      <c r="B32" s="63" t="s">
        <v>1784</v>
      </c>
      <c r="C32" s="3501" t="s">
        <v>3974</v>
      </c>
      <c r="D32" s="418">
        <v>100</v>
      </c>
      <c r="E32" s="3501" t="s">
        <v>3974</v>
      </c>
      <c r="F32" s="412">
        <f>SUMIF(100:100,E32,101:101)-SUMIF(100:100,C32,101:101)+100</f>
        <v>100</v>
      </c>
      <c r="G32" s="3501" t="s">
        <v>3975</v>
      </c>
      <c r="H32" s="386">
        <f>SUMIF(100:100,G32,101:101)-SUMIF(100:100,C32,101:101)+100</f>
        <v>97</v>
      </c>
      <c r="I32" s="3501" t="s">
        <v>3975</v>
      </c>
      <c r="J32" s="418">
        <f>SUMIF(100:100,I32,101:101)-SUMIF(100:100,C32,101:101)+100</f>
        <v>97</v>
      </c>
      <c r="K32" s="561">
        <v>3</v>
      </c>
      <c r="L32" s="2718"/>
      <c r="M32" s="2712"/>
      <c r="N32" s="2712"/>
      <c r="O32" s="2712"/>
      <c r="P32" s="3771" t="s">
        <v>1696</v>
      </c>
      <c r="Q32" s="1348" t="str">
        <f t="shared" si="11"/>
        <v>商业类型</v>
      </c>
      <c r="R32" s="705" t="s">
        <v>14</v>
      </c>
      <c r="S32" s="706">
        <f t="shared" si="12"/>
        <v>100</v>
      </c>
      <c r="T32" s="705" t="s">
        <v>14</v>
      </c>
      <c r="U32" s="706">
        <f t="shared" si="13"/>
        <v>97</v>
      </c>
      <c r="V32" s="705" t="s">
        <v>14</v>
      </c>
      <c r="W32" s="706">
        <f t="shared" si="14"/>
        <v>97</v>
      </c>
      <c r="X32" s="1351"/>
      <c r="Y32" s="3736" t="s">
        <v>1696</v>
      </c>
      <c r="Z32" s="1352" t="str">
        <f t="shared" si="15"/>
        <v>商业类型</v>
      </c>
      <c r="AA32" s="1349">
        <f t="shared" si="3"/>
        <v>1</v>
      </c>
      <c r="AB32" s="1349">
        <f t="shared" si="4"/>
        <v>1.0309278350515463</v>
      </c>
      <c r="AC32" s="1349">
        <f t="shared" si="5"/>
        <v>1.0309278350515463</v>
      </c>
    </row>
    <row r="33" spans="1:29" s="422" customFormat="1" ht="15">
      <c r="A33" s="419"/>
      <c r="B33" s="375" t="s">
        <v>1697</v>
      </c>
      <c r="C33" s="420">
        <f>'数据-汇总表'!E3</f>
        <v>226846.22999999989</v>
      </c>
      <c r="D33" s="127">
        <v>100</v>
      </c>
      <c r="E33" s="381">
        <v>450000</v>
      </c>
      <c r="F33" s="376">
        <f>LOOKUP(E33,103:103,104:104)-LOOKUP(C33,103:103,104:104)+100</f>
        <v>102</v>
      </c>
      <c r="G33" s="380">
        <v>750000</v>
      </c>
      <c r="H33" s="127">
        <f>LOOKUP(G33,103:103,104:104)-LOOKUP(C33,103:103,104:104)+100</f>
        <v>104</v>
      </c>
      <c r="I33" s="380">
        <v>301105</v>
      </c>
      <c r="J33" s="127">
        <f>LOOKUP(I33,103:103,104:104)-LOOKUP(C33,103:103,104:104)+100</f>
        <v>100</v>
      </c>
      <c r="K33" s="562"/>
      <c r="L33" s="2717"/>
      <c r="M33" s="2719"/>
      <c r="N33" s="2719"/>
      <c r="O33" s="2719"/>
      <c r="P33" s="3772"/>
      <c r="Q33" s="707" t="str">
        <f t="shared" si="11"/>
        <v>项目建筑规模</v>
      </c>
      <c r="R33" s="708" t="s">
        <v>14</v>
      </c>
      <c r="S33" s="709">
        <f t="shared" si="12"/>
        <v>102</v>
      </c>
      <c r="T33" s="708" t="s">
        <v>14</v>
      </c>
      <c r="U33" s="709">
        <f t="shared" si="13"/>
        <v>104</v>
      </c>
      <c r="V33" s="708" t="s">
        <v>14</v>
      </c>
      <c r="W33" s="709">
        <f t="shared" si="14"/>
        <v>100</v>
      </c>
      <c r="X33" s="710"/>
      <c r="Y33" s="3736"/>
      <c r="Z33" s="711" t="str">
        <f t="shared" si="15"/>
        <v>项目建筑规模</v>
      </c>
      <c r="AA33" s="1349">
        <f t="shared" si="3"/>
        <v>0.98039215686274506</v>
      </c>
      <c r="AB33" s="1349">
        <f t="shared" si="4"/>
        <v>0.96153846153846156</v>
      </c>
      <c r="AC33" s="1349">
        <f t="shared" si="5"/>
        <v>1</v>
      </c>
    </row>
    <row r="34" spans="1:29" ht="15">
      <c r="A34" s="423"/>
      <c r="B34" s="375" t="s">
        <v>1698</v>
      </c>
      <c r="C34" s="1908"/>
      <c r="D34" s="386">
        <v>100</v>
      </c>
      <c r="E34" s="1908"/>
      <c r="F34" s="412">
        <f>SUMIF(105:105,E34,106:106)-SUMIF(105:105,C34,106:106)+100</f>
        <v>100</v>
      </c>
      <c r="G34" s="1908"/>
      <c r="H34" s="386">
        <f>SUMIF(105:105,G34,106:106)-SUMIF(105:105,C34,106:106)+100</f>
        <v>100</v>
      </c>
      <c r="I34" s="1908"/>
      <c r="J34" s="386">
        <f>SUMIF(105:105,I34,106:106)-SUMIF(105:105,C34,106:106)+100</f>
        <v>100</v>
      </c>
      <c r="K34" s="561"/>
      <c r="L34" s="2718"/>
      <c r="M34" s="2712"/>
      <c r="N34" s="2712"/>
      <c r="O34" s="2712"/>
      <c r="P34" s="3772"/>
      <c r="Q34" s="1348" t="str">
        <f t="shared" si="11"/>
        <v>建筑结构</v>
      </c>
      <c r="R34" s="705" t="s">
        <v>14</v>
      </c>
      <c r="S34" s="706">
        <f t="shared" si="12"/>
        <v>100</v>
      </c>
      <c r="T34" s="705" t="s">
        <v>14</v>
      </c>
      <c r="U34" s="706">
        <f t="shared" si="13"/>
        <v>100</v>
      </c>
      <c r="V34" s="705" t="s">
        <v>14</v>
      </c>
      <c r="W34" s="706">
        <f t="shared" si="14"/>
        <v>100</v>
      </c>
      <c r="X34" s="1351"/>
      <c r="Y34" s="3736"/>
      <c r="Z34" s="1352" t="str">
        <f t="shared" si="15"/>
        <v>建筑结构</v>
      </c>
      <c r="AA34" s="1349">
        <f t="shared" si="3"/>
        <v>1</v>
      </c>
      <c r="AB34" s="1349">
        <f t="shared" si="4"/>
        <v>1</v>
      </c>
      <c r="AC34" s="1349">
        <f t="shared" si="5"/>
        <v>1</v>
      </c>
    </row>
    <row r="35" spans="1:29" ht="15">
      <c r="A35" s="423"/>
      <c r="B35" s="375" t="s">
        <v>1785</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8"/>
      <c r="M35" s="2712"/>
      <c r="N35" s="2712"/>
      <c r="O35" s="2712"/>
      <c r="P35" s="3772"/>
      <c r="Q35" s="1348" t="str">
        <f t="shared" si="11"/>
        <v>公共部分装修</v>
      </c>
      <c r="R35" s="705" t="s">
        <v>14</v>
      </c>
      <c r="S35" s="706">
        <f t="shared" si="12"/>
        <v>100</v>
      </c>
      <c r="T35" s="705" t="s">
        <v>14</v>
      </c>
      <c r="U35" s="706">
        <f t="shared" si="13"/>
        <v>100</v>
      </c>
      <c r="V35" s="705" t="s">
        <v>14</v>
      </c>
      <c r="W35" s="706">
        <f t="shared" si="14"/>
        <v>100</v>
      </c>
      <c r="X35" s="1351"/>
      <c r="Y35" s="3736"/>
      <c r="Z35" s="1352" t="str">
        <f t="shared" si="15"/>
        <v>公共部分装修</v>
      </c>
      <c r="AA35" s="1349">
        <f t="shared" si="3"/>
        <v>1</v>
      </c>
      <c r="AB35" s="1349">
        <f t="shared" si="4"/>
        <v>1</v>
      </c>
      <c r="AC35" s="1349">
        <f t="shared" si="5"/>
        <v>1</v>
      </c>
    </row>
    <row r="36" spans="1:29" ht="15">
      <c r="A36" s="423"/>
      <c r="B36" s="375" t="s">
        <v>1786</v>
      </c>
      <c r="C36" s="425">
        <v>1</v>
      </c>
      <c r="D36" s="386">
        <v>100</v>
      </c>
      <c r="E36" s="425">
        <v>1</v>
      </c>
      <c r="F36" s="412">
        <f>LOOKUP(E36,110:110,111:111)-LOOKUP(C36,110:110,111:111)+100</f>
        <v>100</v>
      </c>
      <c r="G36" s="425">
        <v>1</v>
      </c>
      <c r="H36" s="412">
        <f>LOOKUP(G36,110:110,111:111)-LOOKUP(C36,110:110,111:111)+100</f>
        <v>100</v>
      </c>
      <c r="I36" s="425">
        <v>1</v>
      </c>
      <c r="J36" s="386">
        <f>LOOKUP(I36,110:110,111:111)-LOOKUP(C36,110:110,111:111)+100</f>
        <v>100</v>
      </c>
      <c r="K36" s="561"/>
      <c r="L36" s="2718"/>
      <c r="M36" s="2712"/>
      <c r="N36" s="2712"/>
      <c r="O36" s="2712"/>
      <c r="P36" s="3772"/>
      <c r="Q36" s="1348" t="str">
        <f t="shared" si="11"/>
        <v>成新度</v>
      </c>
      <c r="R36" s="705" t="s">
        <v>14</v>
      </c>
      <c r="S36" s="706">
        <f t="shared" si="12"/>
        <v>100</v>
      </c>
      <c r="T36" s="705" t="s">
        <v>14</v>
      </c>
      <c r="U36" s="706">
        <f t="shared" si="13"/>
        <v>100</v>
      </c>
      <c r="V36" s="705" t="s">
        <v>14</v>
      </c>
      <c r="W36" s="706">
        <f t="shared" si="14"/>
        <v>100</v>
      </c>
      <c r="X36" s="1351"/>
      <c r="Y36" s="3736"/>
      <c r="Z36" s="1352" t="str">
        <f t="shared" si="15"/>
        <v>成新度</v>
      </c>
      <c r="AA36" s="1349">
        <f t="shared" si="3"/>
        <v>1</v>
      </c>
      <c r="AB36" s="1349">
        <f t="shared" si="4"/>
        <v>1</v>
      </c>
      <c r="AC36" s="1349">
        <f t="shared" si="5"/>
        <v>1</v>
      </c>
    </row>
    <row r="37" spans="1:29" s="108" customFormat="1" ht="15">
      <c r="A37" s="424"/>
      <c r="B37" s="375" t="s">
        <v>1787</v>
      </c>
      <c r="C37" s="1902"/>
      <c r="D37" s="127">
        <v>100</v>
      </c>
      <c r="E37" s="1902"/>
      <c r="F37" s="412">
        <f>SUMIF(112:112,E37,113:113)-SUMIF(112:112,C37,113:113)+100</f>
        <v>100</v>
      </c>
      <c r="G37" s="1902"/>
      <c r="H37" s="386">
        <f>SUMIF(112:112,G37,113:113)-SUMIF(112:112,C37,113:113)+100</f>
        <v>100</v>
      </c>
      <c r="I37" s="1902"/>
      <c r="J37" s="386">
        <f>SUMIF(112:112,I37,113:113)-SUMIF(112:112,C37,113:113)+100</f>
        <v>100</v>
      </c>
      <c r="K37" s="561"/>
      <c r="L37" s="2713"/>
      <c r="M37" s="2714"/>
      <c r="N37" s="2714"/>
      <c r="O37" s="2714"/>
      <c r="P37" s="3772"/>
      <c r="Q37" s="1339" t="str">
        <f t="shared" si="11"/>
        <v>市政基础设施</v>
      </c>
      <c r="R37" s="701" t="s">
        <v>14</v>
      </c>
      <c r="S37" s="702">
        <f t="shared" si="12"/>
        <v>100</v>
      </c>
      <c r="T37" s="701" t="s">
        <v>14</v>
      </c>
      <c r="U37" s="702">
        <f t="shared" si="13"/>
        <v>100</v>
      </c>
      <c r="V37" s="701" t="s">
        <v>14</v>
      </c>
      <c r="W37" s="702">
        <f t="shared" si="14"/>
        <v>100</v>
      </c>
      <c r="X37" s="703"/>
      <c r="Y37" s="3736"/>
      <c r="Z37" s="52" t="str">
        <f t="shared" si="15"/>
        <v>市政基础设施</v>
      </c>
      <c r="AA37" s="704">
        <f t="shared" si="3"/>
        <v>1</v>
      </c>
      <c r="AB37" s="704">
        <f t="shared" si="4"/>
        <v>1</v>
      </c>
      <c r="AC37" s="704">
        <f t="shared" si="5"/>
        <v>1</v>
      </c>
    </row>
    <row r="38" spans="1:29" ht="15">
      <c r="A38" s="423"/>
      <c r="B38" s="375" t="s">
        <v>1788</v>
      </c>
      <c r="C38" s="1902"/>
      <c r="D38" s="386">
        <v>100</v>
      </c>
      <c r="E38" s="1902"/>
      <c r="F38" s="412">
        <f>SUMIF(114:114,E38,115:115)-SUMIF(114:114,C38,115:115)+100</f>
        <v>100</v>
      </c>
      <c r="G38" s="1902"/>
      <c r="H38" s="386">
        <f>SUMIF(114:114,G38,115:115)-SUMIF(114:114,C38,115:115)+100</f>
        <v>100</v>
      </c>
      <c r="I38" s="1902"/>
      <c r="J38" s="386">
        <f>SUMIF(114:114,I38,115:115)-SUMIF(114:114,C38,115:115)+100</f>
        <v>100</v>
      </c>
      <c r="K38" s="561"/>
      <c r="L38" s="2718"/>
      <c r="M38" s="2712"/>
      <c r="N38" s="2712"/>
      <c r="O38" s="2712"/>
      <c r="P38" s="3772" t="s">
        <v>1696</v>
      </c>
      <c r="Q38" s="1348" t="str">
        <f t="shared" si="11"/>
        <v>业态</v>
      </c>
      <c r="R38" s="705" t="s">
        <v>14</v>
      </c>
      <c r="S38" s="706">
        <f t="shared" si="12"/>
        <v>100</v>
      </c>
      <c r="T38" s="705" t="s">
        <v>14</v>
      </c>
      <c r="U38" s="706">
        <f t="shared" si="13"/>
        <v>100</v>
      </c>
      <c r="V38" s="705" t="s">
        <v>14</v>
      </c>
      <c r="W38" s="706">
        <f t="shared" si="14"/>
        <v>100</v>
      </c>
      <c r="X38" s="1351"/>
      <c r="Y38" s="3736" t="s">
        <v>1696</v>
      </c>
      <c r="Z38" s="1352" t="str">
        <f t="shared" si="15"/>
        <v>业态</v>
      </c>
      <c r="AA38" s="1349">
        <f t="shared" si="3"/>
        <v>1</v>
      </c>
      <c r="AB38" s="1349">
        <f t="shared" si="4"/>
        <v>1</v>
      </c>
      <c r="AC38" s="1349">
        <f t="shared" si="5"/>
        <v>1</v>
      </c>
    </row>
    <row r="39" spans="1:29" ht="15">
      <c r="A39" s="423"/>
      <c r="B39" s="375" t="s">
        <v>1789</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61"/>
      <c r="L39" s="2718"/>
      <c r="M39" s="2712"/>
      <c r="N39" s="2712"/>
      <c r="O39" s="2712"/>
      <c r="P39" s="3772"/>
      <c r="Q39" s="1348" t="str">
        <f t="shared" si="11"/>
        <v>层高</v>
      </c>
      <c r="R39" s="705" t="s">
        <v>14</v>
      </c>
      <c r="S39" s="706">
        <f t="shared" si="12"/>
        <v>100</v>
      </c>
      <c r="T39" s="705" t="s">
        <v>14</v>
      </c>
      <c r="U39" s="706">
        <f t="shared" si="13"/>
        <v>100</v>
      </c>
      <c r="V39" s="705" t="s">
        <v>14</v>
      </c>
      <c r="W39" s="706">
        <f t="shared" si="14"/>
        <v>100</v>
      </c>
      <c r="X39" s="1351"/>
      <c r="Y39" s="3736"/>
      <c r="Z39" s="1352" t="str">
        <f t="shared" si="15"/>
        <v>层高</v>
      </c>
      <c r="AA39" s="1349">
        <f t="shared" si="3"/>
        <v>1</v>
      </c>
      <c r="AB39" s="1349">
        <f t="shared" si="4"/>
        <v>1</v>
      </c>
      <c r="AC39" s="1349">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772"/>
      <c r="Q40" s="1348" t="str">
        <f t="shared" si="11"/>
        <v>单套建筑面积</v>
      </c>
      <c r="R40" s="705" t="s">
        <v>14</v>
      </c>
      <c r="S40" s="706">
        <f t="shared" si="12"/>
        <v>100</v>
      </c>
      <c r="T40" s="705" t="s">
        <v>14</v>
      </c>
      <c r="U40" s="706">
        <f t="shared" si="13"/>
        <v>100</v>
      </c>
      <c r="V40" s="705" t="s">
        <v>14</v>
      </c>
      <c r="W40" s="706">
        <f t="shared" si="14"/>
        <v>100</v>
      </c>
      <c r="X40" s="1351"/>
      <c r="Y40" s="3736"/>
      <c r="Z40" s="1352" t="str">
        <f t="shared" si="15"/>
        <v>单套建筑面积</v>
      </c>
      <c r="AA40" s="1349">
        <f t="shared" si="3"/>
        <v>1</v>
      </c>
      <c r="AB40" s="1349">
        <f t="shared" si="4"/>
        <v>1</v>
      </c>
      <c r="AC40" s="1349">
        <f t="shared" si="5"/>
        <v>1</v>
      </c>
    </row>
    <row r="41" spans="1:29" s="422" customFormat="1" ht="15">
      <c r="A41" s="419"/>
      <c r="B41" s="1350"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72"/>
      <c r="Q41" s="707" t="str">
        <f t="shared" si="11"/>
        <v>进深比</v>
      </c>
      <c r="R41" s="708" t="s">
        <v>14</v>
      </c>
      <c r="S41" s="709">
        <f t="shared" si="12"/>
        <v>100</v>
      </c>
      <c r="T41" s="708" t="s">
        <v>14</v>
      </c>
      <c r="U41" s="709">
        <f t="shared" si="13"/>
        <v>100</v>
      </c>
      <c r="V41" s="708" t="s">
        <v>14</v>
      </c>
      <c r="W41" s="709">
        <f t="shared" si="14"/>
        <v>100</v>
      </c>
      <c r="X41" s="710"/>
      <c r="Y41" s="3736"/>
      <c r="Z41" s="711" t="str">
        <f t="shared" si="15"/>
        <v>进深比</v>
      </c>
      <c r="AA41" s="1349">
        <f t="shared" si="3"/>
        <v>1</v>
      </c>
      <c r="AB41" s="1349">
        <f t="shared" si="4"/>
        <v>1</v>
      </c>
      <c r="AC41" s="1349">
        <f t="shared" si="5"/>
        <v>1</v>
      </c>
    </row>
    <row r="42" spans="1:29" ht="15">
      <c r="A42" s="423"/>
      <c r="B42" s="375" t="s">
        <v>1792</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561"/>
      <c r="L42" s="2718"/>
      <c r="M42" s="2712"/>
      <c r="N42" s="2712"/>
      <c r="O42" s="2712"/>
      <c r="P42" s="3772"/>
      <c r="Q42" s="1348" t="str">
        <f t="shared" si="11"/>
        <v>内部装修</v>
      </c>
      <c r="R42" s="705" t="s">
        <v>14</v>
      </c>
      <c r="S42" s="706">
        <f t="shared" si="12"/>
        <v>100</v>
      </c>
      <c r="T42" s="705" t="s">
        <v>14</v>
      </c>
      <c r="U42" s="706">
        <f t="shared" si="13"/>
        <v>100</v>
      </c>
      <c r="V42" s="705" t="s">
        <v>14</v>
      </c>
      <c r="W42" s="706">
        <f t="shared" si="14"/>
        <v>100</v>
      </c>
      <c r="X42" s="1351"/>
      <c r="Y42" s="3736"/>
      <c r="Z42" s="1352" t="str">
        <f t="shared" si="15"/>
        <v>内部装修</v>
      </c>
      <c r="AA42" s="1349">
        <f t="shared" si="3"/>
        <v>1</v>
      </c>
      <c r="AB42" s="1349">
        <f t="shared" si="4"/>
        <v>1</v>
      </c>
      <c r="AC42" s="1349">
        <f t="shared" si="5"/>
        <v>1</v>
      </c>
    </row>
    <row r="43" spans="1:29" ht="15">
      <c r="A43" s="423"/>
      <c r="B43" s="375" t="s">
        <v>1707</v>
      </c>
      <c r="C43" s="1902"/>
      <c r="D43" s="386">
        <v>100</v>
      </c>
      <c r="E43" s="1902"/>
      <c r="F43" s="412">
        <f>SUMIF(124:124,E43,125:125)-SUMIF(124:124,C43,125:125)+100</f>
        <v>100</v>
      </c>
      <c r="G43" s="1902"/>
      <c r="H43" s="386">
        <f>SUMIF(124:124,G43,125:125)-SUMIF(124:124,C43,125:125)+100</f>
        <v>100</v>
      </c>
      <c r="I43" s="1902"/>
      <c r="J43" s="386">
        <f>SUMIF(124:124,I43,125:125)-SUMIF(124:124,C43,125:125)+100</f>
        <v>100</v>
      </c>
      <c r="K43" s="561"/>
      <c r="L43" s="2718"/>
      <c r="M43" s="2712"/>
      <c r="N43" s="2712"/>
      <c r="O43" s="2712"/>
      <c r="P43" s="3772"/>
      <c r="Q43" s="1348" t="str">
        <f t="shared" si="11"/>
        <v>内部装修维护情况</v>
      </c>
      <c r="R43" s="705" t="s">
        <v>14</v>
      </c>
      <c r="S43" s="706">
        <f t="shared" si="12"/>
        <v>100</v>
      </c>
      <c r="T43" s="705" t="s">
        <v>14</v>
      </c>
      <c r="U43" s="706">
        <f t="shared" si="13"/>
        <v>100</v>
      </c>
      <c r="V43" s="705" t="s">
        <v>14</v>
      </c>
      <c r="W43" s="706">
        <f t="shared" si="14"/>
        <v>100</v>
      </c>
      <c r="X43" s="1351"/>
      <c r="Y43" s="3736"/>
      <c r="Z43" s="1352" t="str">
        <f t="shared" si="15"/>
        <v>内部装修维护情况</v>
      </c>
      <c r="AA43" s="1349">
        <f t="shared" si="3"/>
        <v>1</v>
      </c>
      <c r="AB43" s="1349">
        <f t="shared" si="4"/>
        <v>1</v>
      </c>
      <c r="AC43" s="1349">
        <f t="shared" si="5"/>
        <v>1</v>
      </c>
    </row>
    <row r="44" spans="1:29" s="108" customFormat="1" ht="15">
      <c r="A44" s="424"/>
      <c r="B44" s="1130">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72"/>
      <c r="Q44" s="1339">
        <f t="shared" si="11"/>
        <v>111</v>
      </c>
      <c r="R44" s="701" t="s">
        <v>14</v>
      </c>
      <c r="S44" s="702">
        <f t="shared" si="12"/>
        <v>100</v>
      </c>
      <c r="T44" s="701" t="s">
        <v>14</v>
      </c>
      <c r="U44" s="702">
        <f t="shared" si="13"/>
        <v>100</v>
      </c>
      <c r="V44" s="701" t="s">
        <v>14</v>
      </c>
      <c r="W44" s="702">
        <f t="shared" si="14"/>
        <v>100</v>
      </c>
      <c r="X44" s="703"/>
      <c r="Y44" s="3736"/>
      <c r="Z44" s="52">
        <f t="shared" si="15"/>
        <v>111</v>
      </c>
      <c r="AA44" s="704">
        <f t="shared" si="3"/>
        <v>1</v>
      </c>
      <c r="AB44" s="704">
        <f t="shared" si="4"/>
        <v>1</v>
      </c>
      <c r="AC44" s="704">
        <f t="shared" si="5"/>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72"/>
      <c r="Q45" s="1348">
        <f t="shared" si="11"/>
        <v>111</v>
      </c>
      <c r="R45" s="705" t="s">
        <v>14</v>
      </c>
      <c r="S45" s="706">
        <f t="shared" si="12"/>
        <v>100</v>
      </c>
      <c r="T45" s="705" t="s">
        <v>14</v>
      </c>
      <c r="U45" s="706">
        <f t="shared" si="13"/>
        <v>100</v>
      </c>
      <c r="V45" s="705" t="s">
        <v>14</v>
      </c>
      <c r="W45" s="706">
        <f t="shared" si="14"/>
        <v>100</v>
      </c>
      <c r="X45" s="1351"/>
      <c r="Y45" s="3736"/>
      <c r="Z45" s="1352">
        <f t="shared" si="15"/>
        <v>111</v>
      </c>
      <c r="AA45" s="1349">
        <f t="shared" si="3"/>
        <v>1</v>
      </c>
      <c r="AB45" s="1349">
        <f t="shared" si="4"/>
        <v>1</v>
      </c>
      <c r="AC45" s="1349">
        <f t="shared" si="5"/>
        <v>1</v>
      </c>
    </row>
    <row r="46" spans="1:29" ht="15.75"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73"/>
      <c r="Q46" s="1348">
        <f t="shared" si="11"/>
        <v>111</v>
      </c>
      <c r="R46" s="705" t="s">
        <v>14</v>
      </c>
      <c r="S46" s="706">
        <f t="shared" si="12"/>
        <v>100</v>
      </c>
      <c r="T46" s="705" t="s">
        <v>14</v>
      </c>
      <c r="U46" s="706">
        <f t="shared" si="13"/>
        <v>100</v>
      </c>
      <c r="V46" s="705" t="s">
        <v>14</v>
      </c>
      <c r="W46" s="706">
        <f t="shared" si="14"/>
        <v>100</v>
      </c>
      <c r="X46" s="1351"/>
      <c r="Y46" s="3774"/>
      <c r="Z46" s="1352">
        <f t="shared" si="15"/>
        <v>111</v>
      </c>
      <c r="AA46" s="1349">
        <f t="shared" si="3"/>
        <v>1</v>
      </c>
      <c r="AB46" s="1349">
        <f t="shared" si="4"/>
        <v>1</v>
      </c>
      <c r="AC46" s="1349">
        <f t="shared" si="5"/>
        <v>1</v>
      </c>
    </row>
    <row r="47" spans="1:29" ht="15">
      <c r="A47" s="430" t="s">
        <v>1708</v>
      </c>
      <c r="B47" s="431"/>
      <c r="C47" s="1151" t="s">
        <v>0</v>
      </c>
      <c r="D47" s="1152"/>
      <c r="E47" s="1153">
        <v>33000</v>
      </c>
      <c r="F47" s="1154"/>
      <c r="G47" s="1155">
        <v>35000</v>
      </c>
      <c r="H47" s="1156"/>
      <c r="I47" s="1153">
        <v>27000</v>
      </c>
      <c r="J47" s="1156"/>
      <c r="K47" s="714"/>
      <c r="L47" s="2720"/>
      <c r="M47" s="2721"/>
      <c r="N47" s="2712"/>
      <c r="O47" s="2721"/>
      <c r="P47" s="3718" t="str">
        <f>A47</f>
        <v>成交单价（元/平方米）</v>
      </c>
      <c r="Q47" s="3718"/>
      <c r="R47" s="3731">
        <f>E47</f>
        <v>33000</v>
      </c>
      <c r="S47" s="3731"/>
      <c r="T47" s="3731">
        <f>G47</f>
        <v>35000</v>
      </c>
      <c r="U47" s="3731"/>
      <c r="V47" s="3731">
        <f>I47</f>
        <v>27000</v>
      </c>
      <c r="W47" s="3731"/>
      <c r="X47" s="690"/>
      <c r="Y47" s="712"/>
      <c r="Z47" s="690"/>
      <c r="AA47" s="690"/>
      <c r="AB47" s="690"/>
      <c r="AC47" s="690"/>
    </row>
    <row r="48" spans="1:29" ht="15.75" thickBot="1">
      <c r="A48" s="437" t="s">
        <v>1793</v>
      </c>
      <c r="B48" s="438"/>
      <c r="C48" s="1157">
        <f>R49</f>
        <v>31628</v>
      </c>
      <c r="D48" s="2313" t="s">
        <v>2137</v>
      </c>
      <c r="E48" s="1158">
        <f>R48</f>
        <v>32353</v>
      </c>
      <c r="F48" s="2314"/>
      <c r="G48" s="1157">
        <f>T48</f>
        <v>34695</v>
      </c>
      <c r="H48" s="2314"/>
      <c r="I48" s="1158">
        <f>V48</f>
        <v>27835</v>
      </c>
      <c r="J48" s="2314"/>
      <c r="K48" s="2316">
        <f>F48+H48+J48</f>
        <v>0</v>
      </c>
      <c r="L48" s="2720"/>
      <c r="M48" s="2721"/>
      <c r="N48" s="2712"/>
      <c r="O48" s="2721"/>
      <c r="P48" s="3718" t="str">
        <f>A48</f>
        <v>比较价值（元/平方米）</v>
      </c>
      <c r="Q48" s="3718"/>
      <c r="R48" s="3770">
        <f>IF(F1="售价",ROUND(PRODUCT(R47,AA7:AA46),0),ROUND(PRODUCT(R47,AA7:AA46),1))</f>
        <v>32353</v>
      </c>
      <c r="S48" s="3770"/>
      <c r="T48" s="3770">
        <f>IF(F1="售价",ROUND(PRODUCT(T47,AB7:AB46),0),ROUND(PRODUCT(T47,AB7:AB46),1))</f>
        <v>34695</v>
      </c>
      <c r="U48" s="3770"/>
      <c r="V48" s="3770">
        <f>IF(F1="售价",ROUND(PRODUCT(V47,AC7:AC46),0),ROUND(PRODUCT(V47,AC7:AC46),1))</f>
        <v>27835</v>
      </c>
      <c r="W48" s="3770"/>
      <c r="X48" s="690"/>
      <c r="Y48" s="690"/>
      <c r="Z48" s="690"/>
      <c r="AA48" s="690"/>
      <c r="AB48" s="690"/>
      <c r="AC48" s="690"/>
    </row>
    <row r="49" spans="1:29" ht="15.75" thickBot="1">
      <c r="A49" s="441" t="s">
        <v>1794</v>
      </c>
      <c r="B49" s="442"/>
      <c r="C49" s="1160">
        <f>R49</f>
        <v>31628</v>
      </c>
      <c r="D49" s="1160"/>
      <c r="E49" s="1160"/>
      <c r="F49" s="1160"/>
      <c r="G49" s="1160"/>
      <c r="H49" s="1160"/>
      <c r="I49" s="1160"/>
      <c r="J49" s="1160"/>
      <c r="K49" s="715"/>
      <c r="L49" s="2720"/>
      <c r="M49" s="2721"/>
      <c r="N49" s="2712"/>
      <c r="O49" s="2721"/>
      <c r="P49" s="3738" t="str">
        <f>A49</f>
        <v>估价对象XX用房的比较价值（楼面单价，元/平方米）</v>
      </c>
      <c r="Q49" s="3739"/>
      <c r="R49" s="3769">
        <f>IF(F1="售价",ROUND(IF(D48="简单平均",AVERAGE(R48:V48),R48*F48+T48*H48+V48*J48),0),ROUND(IF(D48="简单平均",AVERAGE(R48:V48),R48*F48+T48*H48+V48*J48),1))</f>
        <v>31628</v>
      </c>
      <c r="S49" s="3769"/>
      <c r="T49" s="3769"/>
      <c r="U49" s="3769"/>
      <c r="V49" s="3769"/>
      <c r="W49" s="3769"/>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f>IF(E47&lt;E48,E48/E47-1,E47/E48-1)</f>
        <v>1.9998145457917449E-2</v>
      </c>
      <c r="F52" s="449" t="str">
        <f>IF(OR(E52&gt;=0.3,E52&lt;=-0.3),"超过30%","")</f>
        <v/>
      </c>
      <c r="G52" s="448">
        <f>IF(G47&lt;G48,G48/G47-1,G47/G48-1)</f>
        <v>8.7908920593744444E-3</v>
      </c>
      <c r="H52" s="449" t="str">
        <f>IF(OR(G52&gt;=0.3,G52&lt;=-0.3),"超过30%","")</f>
        <v/>
      </c>
      <c r="I52" s="448">
        <f>IF(I47&lt;I48,I48/I47-1,I47/I48-1)</f>
        <v>3.0925925925926023E-2</v>
      </c>
      <c r="J52" s="449" t="str">
        <f>IF(OR(I52&gt;=0.3,I52&lt;=-0.3),"超过30%","")</f>
        <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f>IF(E48&lt;G48,G48/E48-1,E48/G48-1)</f>
        <v>7.2388959292801314E-2</v>
      </c>
      <c r="F53" s="449" t="str">
        <f>IF(OR(E53&gt;=0.2,E53&lt;=-0.2),"超过20%","")</f>
        <v/>
      </c>
      <c r="G53" s="448">
        <f>IF(G48&lt;I48,I48/G48-1,G48/I48-1)</f>
        <v>0.24645230824501518</v>
      </c>
      <c r="H53" s="449" t="str">
        <f>IF(OR(G53&gt;=0.2,G53&lt;=-0.2),"超过20%","")</f>
        <v>超过20%</v>
      </c>
      <c r="I53" s="448">
        <f>IF(I48&lt;E48,E48/I48-1,I48/E48-1)</f>
        <v>0.16231363391413689</v>
      </c>
      <c r="J53" s="449" t="str">
        <f>IF(OR(I53&gt;=0.2,I53&lt;=-0.2),"超过20%","")</f>
        <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f>IF(E47&lt;G47,G47/E47-1,E47/G47-1)</f>
        <v>6.0606060606060552E-2</v>
      </c>
      <c r="F54" s="449" t="str">
        <f>IF(OR(E54&gt;=0.3,E54&lt;=-0.3),"超过30%","")</f>
        <v/>
      </c>
      <c r="G54" s="448">
        <f>IF(G47&lt;I47,I47/G47-1,G47/I47-1)</f>
        <v>0.29629629629629628</v>
      </c>
      <c r="H54" s="449" t="str">
        <f>IF(OR(G54&gt;=0.3,G54&lt;=-0.3),"超过30%","")</f>
        <v/>
      </c>
      <c r="I54" s="448">
        <f>IF(I47&lt;E47,E47/I47-1,I47/E47-1)</f>
        <v>0.22222222222222232</v>
      </c>
      <c r="J54" s="449" t="str">
        <f>IF(OR(I54&gt;=0.3,I54&lt;=-0.3),"超过30%","")</f>
        <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4" t="s">
        <v>1798</v>
      </c>
      <c r="B57" s="690"/>
      <c r="C57" s="695"/>
      <c r="D57" s="695"/>
      <c r="E57" s="695"/>
      <c r="F57" s="696"/>
      <c r="G57" s="696"/>
      <c r="H57" s="695"/>
      <c r="I57" s="695"/>
      <c r="J57" s="695"/>
      <c r="K57" s="697"/>
      <c r="L57" s="939"/>
      <c r="M57" s="937"/>
      <c r="N57" s="937"/>
      <c r="O57" s="937"/>
      <c r="P57" s="2734"/>
      <c r="Q57" s="2735"/>
      <c r="R57" s="2721"/>
      <c r="S57" s="2721"/>
      <c r="T57" s="2721"/>
      <c r="U57" s="2721"/>
      <c r="V57" s="2721"/>
      <c r="W57" s="2721"/>
      <c r="X57" s="2721"/>
      <c r="Y57" s="2721"/>
      <c r="Z57" s="2721"/>
      <c r="AA57" s="2721"/>
      <c r="AB57" s="2721"/>
      <c r="AC57" s="2721"/>
    </row>
    <row r="58" spans="1:29" s="457" customFormat="1" ht="15">
      <c r="A58" s="454" t="s">
        <v>1679</v>
      </c>
      <c r="B58" s="455"/>
      <c r="C58" s="1180" t="str">
        <f>YEAR(C7)&amp;"-"&amp;MONTH(C7)</f>
        <v>2023-3</v>
      </c>
      <c r="D58" s="1181">
        <f>EDATE(C58,-1)</f>
        <v>44958</v>
      </c>
      <c r="E58" s="1181">
        <f t="shared" ref="E58:N58" si="16">EDATE(D58,-1)</f>
        <v>44927</v>
      </c>
      <c r="F58" s="1181">
        <f t="shared" si="16"/>
        <v>44896</v>
      </c>
      <c r="G58" s="1181">
        <f t="shared" si="16"/>
        <v>44866</v>
      </c>
      <c r="H58" s="1181">
        <f t="shared" si="16"/>
        <v>44835</v>
      </c>
      <c r="I58" s="1181">
        <f t="shared" si="16"/>
        <v>44805</v>
      </c>
      <c r="J58" s="1181">
        <f t="shared" si="16"/>
        <v>44774</v>
      </c>
      <c r="K58" s="1181">
        <f t="shared" si="16"/>
        <v>44743</v>
      </c>
      <c r="L58" s="1181">
        <f t="shared" si="16"/>
        <v>44713</v>
      </c>
      <c r="M58" s="1181">
        <f t="shared" si="16"/>
        <v>44682</v>
      </c>
      <c r="N58" s="1181">
        <f t="shared" si="16"/>
        <v>44652</v>
      </c>
      <c r="O58" s="1181">
        <f>EDATE(N58,-1)</f>
        <v>44621</v>
      </c>
      <c r="P58" s="2736"/>
      <c r="Q58" s="2737"/>
      <c r="R58" s="2737"/>
      <c r="S58" s="2737"/>
      <c r="T58" s="2737"/>
      <c r="U58" s="2737"/>
      <c r="V58" s="2737"/>
      <c r="W58" s="2737"/>
      <c r="X58" s="2737"/>
      <c r="Y58" s="2737"/>
      <c r="Z58" s="2737"/>
      <c r="AA58" s="2737"/>
      <c r="AB58" s="2737"/>
      <c r="AC58" s="2737"/>
    </row>
    <row r="59" spans="1:29" s="108" customFormat="1" ht="15">
      <c r="A59" s="458"/>
      <c r="B59" s="459"/>
      <c r="C59" s="1179">
        <v>100</v>
      </c>
      <c r="D59" s="461">
        <v>100</v>
      </c>
      <c r="E59" s="461">
        <v>100</v>
      </c>
      <c r="F59" s="461">
        <v>100</v>
      </c>
      <c r="G59" s="461">
        <v>100</v>
      </c>
      <c r="H59" s="461">
        <v>100</v>
      </c>
      <c r="I59" s="461">
        <v>100</v>
      </c>
      <c r="J59" s="461">
        <v>100</v>
      </c>
      <c r="K59" s="461">
        <v>100</v>
      </c>
      <c r="L59" s="461">
        <v>100</v>
      </c>
      <c r="M59" s="462">
        <v>100</v>
      </c>
      <c r="N59" s="461">
        <v>100</v>
      </c>
      <c r="O59" s="462">
        <v>100</v>
      </c>
      <c r="P59" s="2738"/>
      <c r="Q59" s="2657"/>
      <c r="R59" s="2657"/>
      <c r="S59" s="2657"/>
      <c r="T59" s="2657"/>
      <c r="U59" s="2657"/>
      <c r="V59" s="2657"/>
      <c r="W59" s="2657"/>
      <c r="X59" s="2657"/>
      <c r="Y59" s="2657"/>
      <c r="Z59" s="2657"/>
      <c r="AA59" s="2657"/>
      <c r="AB59" s="2657"/>
      <c r="AC59" s="2657"/>
    </row>
    <row r="60" spans="1:29" s="108" customFormat="1" ht="15.75" thickBot="1">
      <c r="A60" s="464" t="s">
        <v>1716</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1681</v>
      </c>
      <c r="B61" s="459"/>
      <c r="C61" s="471" t="s">
        <v>1776</v>
      </c>
      <c r="D61" s="472"/>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1719</v>
      </c>
      <c r="B63" s="477" t="s">
        <v>1685</v>
      </c>
      <c r="C63" s="478">
        <f>C9</f>
        <v>0</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1688</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1689</v>
      </c>
      <c r="C67" s="496" t="str">
        <f>C68&amp;"（含）"&amp;"-"&amp;D68</f>
        <v>0（含）-2</v>
      </c>
      <c r="D67" s="496" t="str">
        <f t="shared" ref="D67:L67" si="17">D68&amp;"（含）"&amp;"-"&amp;E68</f>
        <v>2（含）-4</v>
      </c>
      <c r="E67" s="496" t="str">
        <f t="shared" si="17"/>
        <v>4（含）-6</v>
      </c>
      <c r="F67" s="496" t="str">
        <f t="shared" si="17"/>
        <v>6（含）-8</v>
      </c>
      <c r="G67" s="496" t="str">
        <f t="shared" si="17"/>
        <v>8（含）-10</v>
      </c>
      <c r="H67" s="496" t="str">
        <f t="shared" si="17"/>
        <v>10（含）-12</v>
      </c>
      <c r="I67" s="496" t="str">
        <f t="shared" si="17"/>
        <v>12（含）-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v>0</v>
      </c>
      <c r="D68" s="498">
        <v>2</v>
      </c>
      <c r="E68" s="498">
        <v>4</v>
      </c>
      <c r="F68" s="498">
        <v>6</v>
      </c>
      <c r="G68" s="498">
        <v>8</v>
      </c>
      <c r="H68" s="498">
        <v>10</v>
      </c>
      <c r="I68" s="498">
        <v>12</v>
      </c>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1779</v>
      </c>
      <c r="C82" s="608" t="s">
        <v>1799</v>
      </c>
      <c r="D82" s="608" t="s">
        <v>1800</v>
      </c>
      <c r="E82" s="608" t="s">
        <v>1801</v>
      </c>
      <c r="F82" s="608" t="s">
        <v>1802</v>
      </c>
      <c r="G82" s="608" t="s">
        <v>1803</v>
      </c>
      <c r="H82" s="488"/>
      <c r="I82" s="488"/>
      <c r="J82" s="488"/>
      <c r="K82" s="488"/>
      <c r="L82" s="488"/>
      <c r="M82" s="1126"/>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1804</v>
      </c>
      <c r="C86" s="503"/>
      <c r="D86" s="503"/>
      <c r="E86" s="503"/>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c r="D88" s="503"/>
      <c r="E88" s="503"/>
      <c r="F88" s="1923"/>
      <c r="G88" s="503"/>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c r="D89" s="485"/>
      <c r="E89" s="485"/>
      <c r="F89" s="485"/>
      <c r="G89" s="485"/>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4"/>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1694</v>
      </c>
      <c r="B100" s="477" t="s">
        <v>1805</v>
      </c>
      <c r="C100" s="3502" t="s">
        <v>3976</v>
      </c>
      <c r="D100" s="3502" t="s">
        <v>3977</v>
      </c>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97</v>
      </c>
      <c r="E101" s="493">
        <f t="shared" si="22"/>
        <v>94</v>
      </c>
      <c r="F101" s="493">
        <f t="shared" si="22"/>
        <v>91</v>
      </c>
      <c r="G101" s="493">
        <f t="shared" si="22"/>
        <v>88</v>
      </c>
      <c r="H101" s="493">
        <f t="shared" si="22"/>
        <v>85</v>
      </c>
      <c r="I101" s="493">
        <f t="shared" si="22"/>
        <v>82</v>
      </c>
      <c r="J101" s="493">
        <f t="shared" si="22"/>
        <v>79</v>
      </c>
      <c r="K101" s="493">
        <f t="shared" si="22"/>
        <v>76</v>
      </c>
      <c r="L101" s="493">
        <f t="shared" si="22"/>
        <v>73</v>
      </c>
      <c r="M101" s="494">
        <f t="shared" si="22"/>
        <v>70</v>
      </c>
      <c r="N101" s="2750"/>
      <c r="O101" s="2750"/>
      <c r="P101" s="2740"/>
      <c r="Q101" s="2735"/>
      <c r="R101" s="2721"/>
      <c r="S101" s="2721"/>
      <c r="T101" s="2721"/>
      <c r="U101" s="2721"/>
      <c r="V101" s="2721"/>
      <c r="W101" s="2721"/>
      <c r="X101" s="2721"/>
      <c r="Y101" s="2721"/>
      <c r="Z101" s="2721"/>
      <c r="AA101" s="2721"/>
      <c r="AB101" s="2721"/>
      <c r="AC101" s="2721"/>
    </row>
    <row r="102" spans="1:29" ht="29.25" thickTop="1">
      <c r="A102" s="483"/>
      <c r="B102" s="487" t="s">
        <v>1737</v>
      </c>
      <c r="C102" s="527" t="str">
        <f>C103&amp;"(含)"&amp;"-"&amp;D103</f>
        <v>0(含)-200000</v>
      </c>
      <c r="D102" s="527" t="str">
        <f t="shared" ref="D102:L102" si="23">D103&amp;"(含)"&amp;"-"&amp;E103</f>
        <v>200000(含)-400000</v>
      </c>
      <c r="E102" s="527" t="str">
        <f t="shared" si="23"/>
        <v>400000(含)-600000</v>
      </c>
      <c r="F102" s="527" t="str">
        <f t="shared" si="23"/>
        <v>600000(含)-800000</v>
      </c>
      <c r="G102" s="527" t="str">
        <f t="shared" si="23"/>
        <v>800000(含)-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v>0</v>
      </c>
      <c r="D103" s="544">
        <v>200000</v>
      </c>
      <c r="E103" s="544">
        <v>400000</v>
      </c>
      <c r="F103" s="544">
        <v>600000</v>
      </c>
      <c r="G103" s="544">
        <v>800000</v>
      </c>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v>100</v>
      </c>
      <c r="D104" s="485">
        <v>102</v>
      </c>
      <c r="E104" s="485">
        <v>104</v>
      </c>
      <c r="F104" s="485">
        <v>106</v>
      </c>
      <c r="G104" s="485">
        <v>108</v>
      </c>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503"/>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503"/>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4"/>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5" priority="21" stopIfTrue="1" operator="containsText" text="超过">
      <formula>NOT(ISERROR(SEARCH("超过",F52)))</formula>
    </cfRule>
  </conditionalFormatting>
  <conditionalFormatting sqref="H54">
    <cfRule type="containsText" dxfId="104" priority="19" stopIfTrue="1" operator="containsText" text="超过">
      <formula>NOT(ISERROR(SEARCH("超过",H54)))</formula>
    </cfRule>
  </conditionalFormatting>
  <conditionalFormatting sqref="F54">
    <cfRule type="containsText" dxfId="103" priority="18" stopIfTrue="1" operator="containsText" text="超过">
      <formula>NOT(ISERROR(SEARCH("超过",F54)))</formula>
    </cfRule>
  </conditionalFormatting>
  <conditionalFormatting sqref="F53 H53">
    <cfRule type="containsText" dxfId="102" priority="17" stopIfTrue="1" operator="containsText" text="超过">
      <formula>NOT(ISERROR(SEARCH("超过",F53)))</formula>
    </cfRule>
  </conditionalFormatting>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G54">
    <cfRule type="expression" dxfId="98" priority="13" stopIfTrue="1">
      <formula>$H$54="超过30%"</formula>
    </cfRule>
  </conditionalFormatting>
  <conditionalFormatting sqref="G52">
    <cfRule type="expression" dxfId="97" priority="12" stopIfTrue="1">
      <formula>$H$52="超过30%"</formula>
    </cfRule>
  </conditionalFormatting>
  <conditionalFormatting sqref="G53">
    <cfRule type="expression" dxfId="96" priority="11" stopIfTrue="1">
      <formula>$H$53="超过20%"</formula>
    </cfRule>
  </conditionalFormatting>
  <conditionalFormatting sqref="J52">
    <cfRule type="containsText" dxfId="95" priority="10" stopIfTrue="1" operator="containsText" text="超过">
      <formula>NOT(ISERROR(SEARCH("超过",J52)))</formula>
    </cfRule>
  </conditionalFormatting>
  <conditionalFormatting sqref="J54">
    <cfRule type="containsText" dxfId="94" priority="9" stopIfTrue="1" operator="containsText" text="超过">
      <formula>NOT(ISERROR(SEARCH("超过",J54)))</formula>
    </cfRule>
  </conditionalFormatting>
  <conditionalFormatting sqref="J53">
    <cfRule type="containsText" dxfId="93" priority="8" stopIfTrue="1" operator="containsText" text="超过">
      <formula>NOT(ISERROR(SEARCH("超过",J53)))</formula>
    </cfRule>
  </conditionalFormatting>
  <conditionalFormatting sqref="I52">
    <cfRule type="expression" dxfId="92" priority="7" stopIfTrue="1">
      <formula>$J$52="超过30%"</formula>
    </cfRule>
  </conditionalFormatting>
  <conditionalFormatting sqref="I53">
    <cfRule type="expression" dxfId="91" priority="6" stopIfTrue="1">
      <formula>$J$53="超过20%"</formula>
    </cfRule>
  </conditionalFormatting>
  <conditionalFormatting sqref="I54">
    <cfRule type="expression" dxfId="90" priority="5" stopIfTrue="1">
      <formula>$J$54="超过30%"</formula>
    </cfRule>
  </conditionalFormatting>
  <conditionalFormatting sqref="F48">
    <cfRule type="expression" dxfId="89" priority="4">
      <formula>$D$48="简单平均"</formula>
    </cfRule>
  </conditionalFormatting>
  <conditionalFormatting sqref="H48">
    <cfRule type="expression" dxfId="88" priority="3">
      <formula>$D$48="简单平均"</formula>
    </cfRule>
  </conditionalFormatting>
  <conditionalFormatting sqref="J48">
    <cfRule type="expression" dxfId="87" priority="2">
      <formula>$D$48="简单平均"</formula>
    </cfRule>
  </conditionalFormatting>
  <conditionalFormatting sqref="F7:F46 H7:H46 J7:J46">
    <cfRule type="cellIs" dxfId="86"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953" t="s">
        <v>1826</v>
      </c>
      <c r="C1" s="1220" t="s">
        <v>1662</v>
      </c>
      <c r="D1" s="1221"/>
      <c r="E1" s="3429"/>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1" t="b">
        <f>IF(E1="项目模式",IF(C2="——",ROUND(C43*D3/10000,0),ROUND(C43*D3/10000,0)-D2),IF(E1="单套模式",IF(C2="——",ROUND(C43*D3/10000,4),ROUND(C43*D3/10000,4)-D2)))</f>
        <v>0</v>
      </c>
      <c r="C2" s="1877"/>
      <c r="D2" s="904" t="e">
        <f ca="1">IF(E1="项目模式",SUMIF(INDIRECT("'"&amp;F2&amp;"'"&amp;"!A:A"),"承租人权益价值",INDIRECT("'"&amp;F2&amp;"'"&amp;"!c:c")),SUMIF(INDIRECT("'"&amp;F2&amp;"'"&amp;"!A:A"),"承租人权益价值（单套）",INDIRECT("'"&amp;F2&amp;"'"&amp;"!c:c")))</f>
        <v>#REF!</v>
      </c>
      <c r="E2" s="1878" t="s">
        <v>1463</v>
      </c>
      <c r="F2" s="1879"/>
      <c r="G2" s="905"/>
      <c r="H2" s="905"/>
      <c r="I2" s="905"/>
      <c r="J2" s="905"/>
      <c r="K2" s="905"/>
      <c r="L2" s="908"/>
      <c r="M2" s="909"/>
      <c r="N2" s="909"/>
      <c r="O2" s="909"/>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226846.22999999989</v>
      </c>
      <c r="E3" s="905"/>
      <c r="F3" s="906"/>
      <c r="G3" s="905"/>
      <c r="H3" s="905"/>
      <c r="I3" s="905"/>
      <c r="J3" s="905"/>
      <c r="K3" s="907"/>
      <c r="L3" s="908"/>
      <c r="M3" s="909"/>
      <c r="N3" s="909"/>
      <c r="O3" s="909"/>
      <c r="P3" s="699"/>
      <c r="Q3" s="699"/>
      <c r="R3" s="699"/>
      <c r="S3" s="699"/>
      <c r="T3" s="699"/>
      <c r="U3" s="699"/>
      <c r="V3" s="699"/>
      <c r="W3" s="699"/>
      <c r="X3" s="699"/>
      <c r="Y3" s="699"/>
      <c r="Z3" s="699"/>
      <c r="AA3" s="699"/>
      <c r="AB3" s="716"/>
      <c r="AC3" s="713"/>
    </row>
    <row r="4" spans="1:29" ht="15">
      <c r="A4" s="355" t="s">
        <v>1769</v>
      </c>
      <c r="B4" s="356"/>
      <c r="C4" s="3719" t="s">
        <v>1770</v>
      </c>
      <c r="D4" s="3720"/>
      <c r="E4" s="3721" t="s">
        <v>1771</v>
      </c>
      <c r="F4" s="3722"/>
      <c r="G4" s="3719" t="s">
        <v>1772</v>
      </c>
      <c r="H4" s="3720"/>
      <c r="I4" s="3719" t="s">
        <v>1773</v>
      </c>
      <c r="J4" s="3720"/>
      <c r="K4" s="559" t="s">
        <v>1774</v>
      </c>
      <c r="L4" s="910"/>
      <c r="M4" s="911"/>
      <c r="N4" s="911"/>
      <c r="O4" s="911"/>
      <c r="P4" s="3723" t="s">
        <v>1775</v>
      </c>
      <c r="Q4" s="3724"/>
      <c r="R4" s="3706" t="s">
        <v>1771</v>
      </c>
      <c r="S4" s="3707"/>
      <c r="T4" s="3706" t="s">
        <v>1772</v>
      </c>
      <c r="U4" s="3707"/>
      <c r="V4" s="3731" t="s">
        <v>1773</v>
      </c>
      <c r="W4" s="3731"/>
      <c r="X4" s="1351"/>
      <c r="Y4" s="3706" t="s">
        <v>1775</v>
      </c>
      <c r="Z4" s="3707"/>
      <c r="AA4" s="3701" t="s">
        <v>1771</v>
      </c>
      <c r="AB4" s="3702" t="s">
        <v>1772</v>
      </c>
      <c r="AC4" s="3701" t="s">
        <v>1773</v>
      </c>
    </row>
    <row r="5" spans="1:29" ht="15">
      <c r="A5" s="358"/>
      <c r="B5" s="359"/>
      <c r="C5" s="3712" t="s">
        <v>1673</v>
      </c>
      <c r="D5" s="3713"/>
      <c r="E5" s="3710" t="s">
        <v>1674</v>
      </c>
      <c r="F5" s="3711"/>
      <c r="G5" s="3712" t="s">
        <v>1675</v>
      </c>
      <c r="H5" s="3713"/>
      <c r="I5" s="3712" t="s">
        <v>1676</v>
      </c>
      <c r="J5" s="3713"/>
      <c r="K5" s="559"/>
      <c r="L5" s="910"/>
      <c r="M5" s="911"/>
      <c r="N5" s="911"/>
      <c r="O5" s="911"/>
      <c r="P5" s="3725"/>
      <c r="Q5" s="3726"/>
      <c r="R5" s="3708"/>
      <c r="S5" s="3709"/>
      <c r="T5" s="3708"/>
      <c r="U5" s="3709"/>
      <c r="V5" s="3731"/>
      <c r="W5" s="3731"/>
      <c r="X5" s="1351"/>
      <c r="Y5" s="3708"/>
      <c r="Z5" s="3709"/>
      <c r="AA5" s="3702"/>
      <c r="AB5" s="3702"/>
      <c r="AC5" s="3702"/>
    </row>
    <row r="6" spans="1:29" ht="15.75" thickBot="1">
      <c r="A6" s="360"/>
      <c r="B6" s="361"/>
      <c r="C6" s="3714" t="s">
        <v>1677</v>
      </c>
      <c r="D6" s="3715"/>
      <c r="E6" s="3716" t="s">
        <v>1677</v>
      </c>
      <c r="F6" s="3717"/>
      <c r="G6" s="3714" t="s">
        <v>1677</v>
      </c>
      <c r="H6" s="3715"/>
      <c r="I6" s="3714" t="s">
        <v>1677</v>
      </c>
      <c r="J6" s="3715"/>
      <c r="K6" s="559" t="s">
        <v>1678</v>
      </c>
      <c r="L6" s="910"/>
      <c r="M6" s="911"/>
      <c r="N6" s="911"/>
      <c r="O6" s="911"/>
      <c r="P6" s="3727"/>
      <c r="Q6" s="3728"/>
      <c r="R6" s="3708"/>
      <c r="S6" s="3709"/>
      <c r="T6" s="3729"/>
      <c r="U6" s="3730"/>
      <c r="V6" s="3731"/>
      <c r="W6" s="3731"/>
      <c r="X6" s="1351"/>
      <c r="Y6" s="3729"/>
      <c r="Z6" s="3730"/>
      <c r="AA6" s="3703"/>
      <c r="AB6" s="3703"/>
      <c r="AC6" s="3703"/>
    </row>
    <row r="7" spans="1:29" s="108" customFormat="1" ht="15.75" thickBot="1">
      <c r="A7" s="362" t="s">
        <v>1679</v>
      </c>
      <c r="B7" s="363"/>
      <c r="C7" s="364">
        <f>'数据-取费表'!B2</f>
        <v>45005</v>
      </c>
      <c r="D7" s="365">
        <v>100</v>
      </c>
      <c r="E7" s="366"/>
      <c r="F7" s="367">
        <f>SUMIF(52:52,YEAR(E7)&amp;"-"&amp;MONTH(E7),53:53)</f>
        <v>0</v>
      </c>
      <c r="G7" s="366"/>
      <c r="H7" s="365">
        <f>SUMIF(52:52,YEAR(G7)&amp;"-"&amp;MONTH(G7),53:53)</f>
        <v>0</v>
      </c>
      <c r="I7" s="366"/>
      <c r="J7" s="365">
        <f>SUMIF(52:52,YEAR(I7)&amp;"-"&amp;MONTH(I7),53:53)</f>
        <v>0</v>
      </c>
      <c r="K7" s="560"/>
      <c r="L7" s="912"/>
      <c r="M7" s="913"/>
      <c r="N7" s="913"/>
      <c r="O7" s="913"/>
      <c r="P7" s="3704" t="s">
        <v>1680</v>
      </c>
      <c r="Q7" s="3732"/>
      <c r="R7" s="701" t="s">
        <v>14</v>
      </c>
      <c r="S7" s="702">
        <f t="shared" ref="S7:S15" si="0">F7</f>
        <v>0</v>
      </c>
      <c r="T7" s="701" t="s">
        <v>14</v>
      </c>
      <c r="U7" s="702">
        <f t="shared" ref="U7:U15" si="1">H7</f>
        <v>0</v>
      </c>
      <c r="V7" s="701" t="s">
        <v>14</v>
      </c>
      <c r="W7" s="702">
        <f t="shared" ref="W7:W15" si="2">J7</f>
        <v>0</v>
      </c>
      <c r="X7" s="703"/>
      <c r="Y7" s="3704" t="s">
        <v>1680</v>
      </c>
      <c r="Z7" s="370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2"/>
      <c r="M8" s="913"/>
      <c r="N8" s="913"/>
      <c r="O8" s="913"/>
      <c r="P8" s="3704" t="s">
        <v>1683</v>
      </c>
      <c r="Q8" s="3705"/>
      <c r="R8" s="701" t="s">
        <v>14</v>
      </c>
      <c r="S8" s="702">
        <f t="shared" si="0"/>
        <v>100</v>
      </c>
      <c r="T8" s="701" t="s">
        <v>14</v>
      </c>
      <c r="U8" s="702">
        <f t="shared" si="1"/>
        <v>100</v>
      </c>
      <c r="V8" s="701" t="s">
        <v>14</v>
      </c>
      <c r="W8" s="702">
        <f t="shared" si="2"/>
        <v>100</v>
      </c>
      <c r="X8" s="703"/>
      <c r="Y8" s="3704" t="s">
        <v>1683</v>
      </c>
      <c r="Z8" s="370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2"/>
      <c r="M9" s="913"/>
      <c r="N9" s="913"/>
      <c r="O9" s="914"/>
      <c r="P9" s="3718" t="s">
        <v>1686</v>
      </c>
      <c r="Q9" s="1339" t="str">
        <f t="shared" ref="Q9:Q15" si="6">B9</f>
        <v>用途</v>
      </c>
      <c r="R9" s="701" t="s">
        <v>14</v>
      </c>
      <c r="S9" s="702">
        <f t="shared" si="0"/>
        <v>100</v>
      </c>
      <c r="T9" s="701" t="s">
        <v>14</v>
      </c>
      <c r="U9" s="702">
        <f t="shared" si="1"/>
        <v>100</v>
      </c>
      <c r="V9" s="701" t="s">
        <v>14</v>
      </c>
      <c r="W9" s="702">
        <f t="shared" si="2"/>
        <v>100</v>
      </c>
      <c r="X9" s="703"/>
      <c r="Y9" s="3674"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5"/>
      <c r="M10" s="916"/>
      <c r="N10" s="916"/>
      <c r="O10" s="917"/>
      <c r="P10" s="3718"/>
      <c r="Q10" s="1339" t="str">
        <f t="shared" si="6"/>
        <v>土地使用年限（年）</v>
      </c>
      <c r="R10" s="701" t="s">
        <v>14</v>
      </c>
      <c r="S10" s="702">
        <f t="shared" si="0"/>
        <v>100</v>
      </c>
      <c r="T10" s="701" t="s">
        <v>14</v>
      </c>
      <c r="U10" s="702">
        <f t="shared" si="1"/>
        <v>100</v>
      </c>
      <c r="V10" s="701" t="s">
        <v>14</v>
      </c>
      <c r="W10" s="702">
        <f t="shared" si="2"/>
        <v>100</v>
      </c>
      <c r="X10" s="703"/>
      <c r="Y10" s="367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8"/>
      <c r="M11" s="911"/>
      <c r="N11" s="911"/>
      <c r="O11" s="919"/>
      <c r="P11" s="3718"/>
      <c r="Q11" s="1339" t="str">
        <f t="shared" si="6"/>
        <v>容积率</v>
      </c>
      <c r="R11" s="701" t="s">
        <v>14</v>
      </c>
      <c r="S11" s="702">
        <f t="shared" si="0"/>
        <v>100</v>
      </c>
      <c r="T11" s="701" t="s">
        <v>14</v>
      </c>
      <c r="U11" s="702">
        <f t="shared" si="1"/>
        <v>100</v>
      </c>
      <c r="V11" s="701" t="s">
        <v>14</v>
      </c>
      <c r="W11" s="702">
        <f t="shared" si="2"/>
        <v>100</v>
      </c>
      <c r="X11" s="703"/>
      <c r="Y11" s="3674"/>
      <c r="Z11" s="52" t="str">
        <f t="shared" si="7"/>
        <v>容积率</v>
      </c>
      <c r="AA11" s="704">
        <f t="shared" si="3"/>
        <v>1</v>
      </c>
      <c r="AB11" s="704">
        <f t="shared" si="4"/>
        <v>1</v>
      </c>
      <c r="AC11" s="704">
        <f t="shared" si="5"/>
        <v>1</v>
      </c>
    </row>
    <row r="12" spans="1:29" s="108" customFormat="1" ht="15">
      <c r="A12" s="382"/>
      <c r="B12" s="1889">
        <v>111</v>
      </c>
      <c r="C12" s="383"/>
      <c r="D12" s="384">
        <v>100</v>
      </c>
      <c r="E12" s="385"/>
      <c r="F12" s="127">
        <f>SUMIF(64:64,E12,65:65)-SUMIF(64:64,C12,65:65)+100</f>
        <v>100</v>
      </c>
      <c r="G12" s="1966"/>
      <c r="H12" s="127">
        <f>SUMIF(64:64,G12,65:65)-SUMIF(64:64,C12,65:65)+100</f>
        <v>100</v>
      </c>
      <c r="I12" s="420"/>
      <c r="J12" s="127">
        <f>SUMIF(64:64,I12,65:65)-SUMIF(64:64,C12,65:65)+100</f>
        <v>100</v>
      </c>
      <c r="K12" s="562"/>
      <c r="L12" s="912"/>
      <c r="M12" s="913"/>
      <c r="N12" s="913"/>
      <c r="O12" s="914"/>
      <c r="P12" s="3718"/>
      <c r="Q12" s="1339">
        <f t="shared" si="6"/>
        <v>111</v>
      </c>
      <c r="R12" s="701" t="s">
        <v>14</v>
      </c>
      <c r="S12" s="702">
        <f t="shared" si="0"/>
        <v>100</v>
      </c>
      <c r="T12" s="701" t="s">
        <v>14</v>
      </c>
      <c r="U12" s="702">
        <f t="shared" si="1"/>
        <v>100</v>
      </c>
      <c r="V12" s="701" t="s">
        <v>14</v>
      </c>
      <c r="W12" s="702">
        <f t="shared" si="2"/>
        <v>100</v>
      </c>
      <c r="X12" s="703"/>
      <c r="Y12" s="3674"/>
      <c r="Z12" s="52">
        <f t="shared" si="7"/>
        <v>111</v>
      </c>
      <c r="AA12" s="704">
        <f>D12/F12</f>
        <v>1</v>
      </c>
      <c r="AB12" s="704">
        <f>D12/H12</f>
        <v>1</v>
      </c>
      <c r="AC12" s="704">
        <f>D12/J12</f>
        <v>1</v>
      </c>
    </row>
    <row r="13" spans="1:29" ht="15">
      <c r="A13" s="379"/>
      <c r="B13" s="1889">
        <v>111</v>
      </c>
      <c r="C13" s="385"/>
      <c r="D13" s="386">
        <v>100</v>
      </c>
      <c r="E13" s="385"/>
      <c r="F13" s="127">
        <f>SUMIF(66:66,E13,67:67)-SUMIF(66:66,C13,67:67)+100</f>
        <v>100</v>
      </c>
      <c r="G13" s="1966"/>
      <c r="H13" s="386">
        <f>SUMIF(66:66,G13,67:67)-SUMIF(66:66,C13,67:67)+100</f>
        <v>100</v>
      </c>
      <c r="I13" s="420"/>
      <c r="J13" s="386">
        <f>SUMIF(66:66,I13,67:67)-SUMIF(66:66,C13,67:67)+100</f>
        <v>100</v>
      </c>
      <c r="K13" s="562"/>
      <c r="L13" s="920"/>
      <c r="M13" s="911"/>
      <c r="N13" s="911"/>
      <c r="O13" s="919"/>
      <c r="P13" s="3718"/>
      <c r="Q13" s="1339">
        <f t="shared" si="6"/>
        <v>111</v>
      </c>
      <c r="R13" s="701" t="s">
        <v>14</v>
      </c>
      <c r="S13" s="702">
        <f t="shared" si="0"/>
        <v>100</v>
      </c>
      <c r="T13" s="701" t="s">
        <v>14</v>
      </c>
      <c r="U13" s="702">
        <f t="shared" si="1"/>
        <v>100</v>
      </c>
      <c r="V13" s="701" t="s">
        <v>14</v>
      </c>
      <c r="W13" s="702">
        <f t="shared" si="2"/>
        <v>100</v>
      </c>
      <c r="X13" s="703"/>
      <c r="Y13" s="3674"/>
      <c r="Z13" s="52">
        <f t="shared" si="7"/>
        <v>111</v>
      </c>
      <c r="AA13" s="704">
        <f t="shared" si="3"/>
        <v>1</v>
      </c>
      <c r="AB13" s="704">
        <f t="shared" si="4"/>
        <v>1</v>
      </c>
      <c r="AC13" s="704">
        <f t="shared" si="5"/>
        <v>1</v>
      </c>
    </row>
    <row r="14" spans="1:29" ht="15.75" thickBot="1">
      <c r="A14" s="387"/>
      <c r="B14" s="1891">
        <v>111</v>
      </c>
      <c r="C14" s="388"/>
      <c r="D14" s="389">
        <v>100</v>
      </c>
      <c r="E14" s="388"/>
      <c r="F14" s="389">
        <f>SUMIF(68:68,E14,69:69)-SUMIF(68:68,C14,69:69)+100</f>
        <v>100</v>
      </c>
      <c r="G14" s="1966"/>
      <c r="H14" s="389">
        <f>SUMIF(68:68,G14,69:69)-SUMIF(68:68,C14,69:69)+100</f>
        <v>100</v>
      </c>
      <c r="I14" s="420"/>
      <c r="J14" s="389">
        <f>SUMIF(68:68,I14,69:69)-SUMIF(68:68,C14,69:69)+100</f>
        <v>100</v>
      </c>
      <c r="K14" s="562"/>
      <c r="L14" s="920"/>
      <c r="M14" s="911"/>
      <c r="N14" s="911"/>
      <c r="O14" s="919"/>
      <c r="P14" s="3718"/>
      <c r="Q14" s="1339">
        <f t="shared" si="6"/>
        <v>111</v>
      </c>
      <c r="R14" s="701" t="s">
        <v>14</v>
      </c>
      <c r="S14" s="702">
        <f t="shared" si="0"/>
        <v>100</v>
      </c>
      <c r="T14" s="701" t="s">
        <v>14</v>
      </c>
      <c r="U14" s="702">
        <f t="shared" si="1"/>
        <v>100</v>
      </c>
      <c r="V14" s="701" t="s">
        <v>14</v>
      </c>
      <c r="W14" s="702">
        <f t="shared" si="2"/>
        <v>100</v>
      </c>
      <c r="X14" s="703"/>
      <c r="Y14" s="3674"/>
      <c r="Z14" s="52">
        <f t="shared" si="7"/>
        <v>111</v>
      </c>
      <c r="AA14" s="704">
        <f t="shared" si="3"/>
        <v>1</v>
      </c>
      <c r="AB14" s="704">
        <f t="shared" si="4"/>
        <v>1</v>
      </c>
      <c r="AC14" s="704">
        <f t="shared" si="5"/>
        <v>1</v>
      </c>
    </row>
    <row r="15" spans="1:29" ht="57">
      <c r="A15" s="391" t="s">
        <v>1690</v>
      </c>
      <c r="B15" s="61" t="s">
        <v>1827</v>
      </c>
      <c r="C15" s="1967"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0"/>
      <c r="M15" s="911"/>
      <c r="N15" s="911"/>
      <c r="O15" s="919"/>
      <c r="P15" s="3733" t="s">
        <v>1691</v>
      </c>
      <c r="Q15" s="1348" t="str">
        <f t="shared" si="6"/>
        <v>产业集聚程度</v>
      </c>
      <c r="R15" s="705" t="s">
        <v>14</v>
      </c>
      <c r="S15" s="706">
        <f t="shared" si="0"/>
        <v>100</v>
      </c>
      <c r="T15" s="705" t="s">
        <v>14</v>
      </c>
      <c r="U15" s="706">
        <f t="shared" si="1"/>
        <v>100</v>
      </c>
      <c r="V15" s="705" t="s">
        <v>14</v>
      </c>
      <c r="W15" s="706">
        <f t="shared" si="2"/>
        <v>100</v>
      </c>
      <c r="X15" s="1351"/>
      <c r="Y15" s="3733" t="s">
        <v>1691</v>
      </c>
      <c r="Z15" s="1352" t="str">
        <f t="shared" si="7"/>
        <v>产业集聚程度</v>
      </c>
      <c r="AA15" s="1349">
        <f t="shared" si="3"/>
        <v>1</v>
      </c>
      <c r="AB15" s="1349">
        <f t="shared" si="4"/>
        <v>1</v>
      </c>
      <c r="AC15" s="1349">
        <f t="shared" si="5"/>
        <v>1</v>
      </c>
    </row>
    <row r="16" spans="1:29" ht="15">
      <c r="A16" s="379"/>
      <c r="B16" s="397"/>
      <c r="C16" s="398"/>
      <c r="D16" s="399"/>
      <c r="E16" s="398"/>
      <c r="F16" s="400"/>
      <c r="G16" s="398"/>
      <c r="H16" s="401"/>
      <c r="I16" s="398"/>
      <c r="J16" s="399"/>
      <c r="K16" s="564"/>
      <c r="L16" s="920"/>
      <c r="M16" s="911"/>
      <c r="N16" s="911"/>
      <c r="O16" s="919"/>
      <c r="P16" s="3734"/>
      <c r="Q16" s="1348"/>
      <c r="R16" s="705"/>
      <c r="S16" s="706"/>
      <c r="T16" s="705"/>
      <c r="U16" s="706"/>
      <c r="V16" s="705"/>
      <c r="W16" s="706"/>
      <c r="X16" s="1351"/>
      <c r="Y16" s="3734"/>
      <c r="Z16" s="1352"/>
      <c r="AA16" s="1349">
        <v>1</v>
      </c>
      <c r="AB16" s="1349">
        <v>1</v>
      </c>
      <c r="AC16" s="1349">
        <v>1</v>
      </c>
    </row>
    <row r="17" spans="1:29" ht="85.5">
      <c r="A17" s="379"/>
      <c r="B17" s="402" t="s">
        <v>1259</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0"/>
      <c r="M17" s="911"/>
      <c r="N17" s="911"/>
      <c r="O17" s="919"/>
      <c r="P17" s="3734"/>
      <c r="Q17" s="1348" t="str">
        <f>B17</f>
        <v>交通便捷度</v>
      </c>
      <c r="R17" s="705" t="s">
        <v>14</v>
      </c>
      <c r="S17" s="706">
        <f>F17</f>
        <v>100</v>
      </c>
      <c r="T17" s="705" t="s">
        <v>14</v>
      </c>
      <c r="U17" s="706">
        <f>H17</f>
        <v>100</v>
      </c>
      <c r="V17" s="705" t="s">
        <v>14</v>
      </c>
      <c r="W17" s="706">
        <f>J17</f>
        <v>100</v>
      </c>
      <c r="X17" s="1351"/>
      <c r="Y17" s="3734"/>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920"/>
      <c r="M18" s="911"/>
      <c r="N18" s="911"/>
      <c r="O18" s="919"/>
      <c r="P18" s="3734"/>
      <c r="Q18" s="1348"/>
      <c r="R18" s="705"/>
      <c r="S18" s="706"/>
      <c r="T18" s="705"/>
      <c r="U18" s="706"/>
      <c r="V18" s="705"/>
      <c r="W18" s="706"/>
      <c r="X18" s="1351"/>
      <c r="Y18" s="3734"/>
      <c r="Z18" s="1352"/>
      <c r="AA18" s="1349">
        <v>1</v>
      </c>
      <c r="AB18" s="1349">
        <v>1</v>
      </c>
      <c r="AC18" s="1349">
        <v>1</v>
      </c>
    </row>
    <row r="19" spans="1:29" ht="42.75">
      <c r="A19" s="379"/>
      <c r="B19" s="402" t="s">
        <v>1812</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0"/>
      <c r="M19" s="911"/>
      <c r="N19" s="911"/>
      <c r="O19" s="919"/>
      <c r="P19" s="3734"/>
      <c r="Q19" s="1348" t="str">
        <f>B19</f>
        <v>公共配套设施</v>
      </c>
      <c r="R19" s="705" t="s">
        <v>14</v>
      </c>
      <c r="S19" s="706">
        <f>F19</f>
        <v>100</v>
      </c>
      <c r="T19" s="705" t="s">
        <v>14</v>
      </c>
      <c r="U19" s="706">
        <f>H19</f>
        <v>100</v>
      </c>
      <c r="V19" s="705" t="s">
        <v>14</v>
      </c>
      <c r="W19" s="706">
        <f>J19</f>
        <v>100</v>
      </c>
      <c r="X19" s="1351"/>
      <c r="Y19" s="3734"/>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920"/>
      <c r="M20" s="911"/>
      <c r="N20" s="911"/>
      <c r="O20" s="919"/>
      <c r="P20" s="3734"/>
      <c r="Q20" s="1348"/>
      <c r="R20" s="705"/>
      <c r="S20" s="706"/>
      <c r="T20" s="705"/>
      <c r="U20" s="706"/>
      <c r="V20" s="705"/>
      <c r="W20" s="706"/>
      <c r="X20" s="1351"/>
      <c r="Y20" s="3734"/>
      <c r="Z20" s="1352"/>
      <c r="AA20" s="1349">
        <v>1</v>
      </c>
      <c r="AB20" s="1349">
        <v>1</v>
      </c>
      <c r="AC20" s="1349">
        <v>1</v>
      </c>
    </row>
    <row r="21" spans="1:29" ht="28.5">
      <c r="A21" s="379"/>
      <c r="B21" s="1128" t="s">
        <v>1813</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0"/>
      <c r="M21" s="911"/>
      <c r="N21" s="911"/>
      <c r="O21" s="919"/>
      <c r="P21" s="3734"/>
      <c r="Q21" s="1348" t="str">
        <f>B21</f>
        <v>基础设施水平</v>
      </c>
      <c r="R21" s="705" t="s">
        <v>14</v>
      </c>
      <c r="S21" s="706">
        <f>F21</f>
        <v>100</v>
      </c>
      <c r="T21" s="705" t="s">
        <v>14</v>
      </c>
      <c r="U21" s="706">
        <f>H21</f>
        <v>100</v>
      </c>
      <c r="V21" s="705" t="s">
        <v>14</v>
      </c>
      <c r="W21" s="706">
        <f>J21</f>
        <v>100</v>
      </c>
      <c r="X21" s="1351"/>
      <c r="Y21" s="3734"/>
      <c r="Z21" s="1352" t="str">
        <f>Q21</f>
        <v>基础设施水平</v>
      </c>
      <c r="AA21" s="1349">
        <f t="shared" ref="AA21" si="8">D21/F21</f>
        <v>1</v>
      </c>
      <c r="AB21" s="1349">
        <f t="shared" ref="AB21" si="9">D21/H21</f>
        <v>1</v>
      </c>
      <c r="AC21" s="1349">
        <f t="shared" ref="AC21" si="10">D21/J21</f>
        <v>1</v>
      </c>
    </row>
    <row r="22" spans="1:29" ht="15">
      <c r="A22" s="379"/>
      <c r="B22" s="1128"/>
      <c r="C22" s="1897"/>
      <c r="D22" s="399"/>
      <c r="E22" s="398"/>
      <c r="F22" s="400"/>
      <c r="G22" s="398"/>
      <c r="H22" s="399"/>
      <c r="I22" s="398"/>
      <c r="J22" s="399"/>
      <c r="K22" s="1127"/>
      <c r="L22" s="920"/>
      <c r="M22" s="911"/>
      <c r="N22" s="911"/>
      <c r="O22" s="919"/>
      <c r="P22" s="3734"/>
      <c r="Q22" s="1348"/>
      <c r="R22" s="705"/>
      <c r="S22" s="706"/>
      <c r="T22" s="705"/>
      <c r="U22" s="706"/>
      <c r="V22" s="705"/>
      <c r="W22" s="706"/>
      <c r="X22" s="1351"/>
      <c r="Y22" s="3734"/>
      <c r="Z22" s="1352"/>
      <c r="AA22" s="1349">
        <v>1</v>
      </c>
      <c r="AB22" s="1349">
        <v>1</v>
      </c>
      <c r="AC22" s="1349">
        <v>1</v>
      </c>
    </row>
    <row r="23" spans="1:29" ht="71.25">
      <c r="A23" s="379"/>
      <c r="B23" s="402" t="s">
        <v>1814</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0"/>
      <c r="M23" s="911"/>
      <c r="N23" s="911"/>
      <c r="O23" s="919"/>
      <c r="P23" s="3734"/>
      <c r="Q23" s="1348" t="str">
        <f>B23</f>
        <v>环境质量</v>
      </c>
      <c r="R23" s="705" t="s">
        <v>14</v>
      </c>
      <c r="S23" s="706">
        <f>F23</f>
        <v>100</v>
      </c>
      <c r="T23" s="705" t="s">
        <v>14</v>
      </c>
      <c r="U23" s="706">
        <f>H23</f>
        <v>100</v>
      </c>
      <c r="V23" s="705" t="s">
        <v>14</v>
      </c>
      <c r="W23" s="706">
        <f>J23</f>
        <v>100</v>
      </c>
      <c r="X23" s="1351"/>
      <c r="Y23" s="3734"/>
      <c r="Z23" s="1352" t="str">
        <f>Q23</f>
        <v>环境质量</v>
      </c>
      <c r="AA23" s="1349">
        <f t="shared" si="3"/>
        <v>1</v>
      </c>
      <c r="AB23" s="1349">
        <f t="shared" si="4"/>
        <v>1</v>
      </c>
      <c r="AC23" s="1349">
        <f t="shared" si="5"/>
        <v>1</v>
      </c>
    </row>
    <row r="24" spans="1:29" ht="15">
      <c r="A24" s="379"/>
      <c r="B24" s="1128"/>
      <c r="C24" s="398"/>
      <c r="D24" s="399"/>
      <c r="E24" s="1894"/>
      <c r="F24" s="400"/>
      <c r="G24" s="1893"/>
      <c r="H24" s="399"/>
      <c r="I24" s="1894"/>
      <c r="J24" s="399"/>
      <c r="K24" s="564"/>
      <c r="L24" s="920"/>
      <c r="M24" s="911"/>
      <c r="N24" s="911"/>
      <c r="O24" s="919"/>
      <c r="P24" s="3734"/>
      <c r="Q24" s="1348"/>
      <c r="R24" s="705"/>
      <c r="S24" s="706"/>
      <c r="T24" s="705"/>
      <c r="U24" s="706"/>
      <c r="V24" s="705"/>
      <c r="W24" s="706"/>
      <c r="X24" s="1351"/>
      <c r="Y24" s="3734"/>
      <c r="Z24" s="1352"/>
      <c r="AA24" s="1349">
        <v>1</v>
      </c>
      <c r="AB24" s="1349">
        <v>1</v>
      </c>
      <c r="AC24" s="1349">
        <v>1</v>
      </c>
    </row>
    <row r="25" spans="1:29" ht="15">
      <c r="A25" s="358"/>
      <c r="B25" s="1130">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0"/>
      <c r="M25" s="911"/>
      <c r="N25" s="911"/>
      <c r="O25" s="919"/>
      <c r="P25" s="3734"/>
      <c r="Q25" s="1348">
        <f>B25</f>
        <v>111</v>
      </c>
      <c r="R25" s="705" t="s">
        <v>14</v>
      </c>
      <c r="S25" s="706">
        <f>F25</f>
        <v>100</v>
      </c>
      <c r="T25" s="705" t="s">
        <v>14</v>
      </c>
      <c r="U25" s="706">
        <f>H25</f>
        <v>100</v>
      </c>
      <c r="V25" s="705" t="s">
        <v>14</v>
      </c>
      <c r="W25" s="706">
        <f>J25</f>
        <v>100</v>
      </c>
      <c r="X25" s="1351"/>
      <c r="Y25" s="3734"/>
      <c r="Z25" s="1352">
        <f>Q25</f>
        <v>111</v>
      </c>
      <c r="AA25" s="1349">
        <f t="shared" si="3"/>
        <v>1</v>
      </c>
      <c r="AB25" s="1349">
        <f t="shared" si="4"/>
        <v>1</v>
      </c>
      <c r="AC25" s="1349">
        <f t="shared" si="5"/>
        <v>1</v>
      </c>
    </row>
    <row r="26" spans="1:29" ht="15">
      <c r="A26" s="379"/>
      <c r="B26" s="1130">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0"/>
      <c r="M26" s="911"/>
      <c r="N26" s="911"/>
      <c r="O26" s="919"/>
      <c r="P26" s="3734"/>
      <c r="Q26" s="1348">
        <f t="shared" ref="Q26:Q40" si="11">B26</f>
        <v>111</v>
      </c>
      <c r="R26" s="705" t="s">
        <v>14</v>
      </c>
      <c r="S26" s="706">
        <f>F26</f>
        <v>100</v>
      </c>
      <c r="T26" s="705" t="s">
        <v>14</v>
      </c>
      <c r="U26" s="706">
        <f>H26</f>
        <v>100</v>
      </c>
      <c r="V26" s="705" t="s">
        <v>14</v>
      </c>
      <c r="W26" s="706">
        <f>J26</f>
        <v>100</v>
      </c>
      <c r="X26" s="1351"/>
      <c r="Y26" s="3734"/>
      <c r="Z26" s="1352">
        <f>Q26</f>
        <v>111</v>
      </c>
      <c r="AA26" s="1349">
        <f t="shared" si="3"/>
        <v>1</v>
      </c>
      <c r="AB26" s="1349">
        <f t="shared" si="4"/>
        <v>1</v>
      </c>
      <c r="AC26" s="1349">
        <f t="shared" si="5"/>
        <v>1</v>
      </c>
    </row>
    <row r="27" spans="1:29" s="108" customFormat="1" ht="15">
      <c r="A27" s="382"/>
      <c r="B27" s="1130">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2"/>
      <c r="M27" s="913"/>
      <c r="N27" s="913"/>
      <c r="O27" s="914"/>
      <c r="P27" s="3734"/>
      <c r="Q27" s="1339">
        <f t="shared" si="11"/>
        <v>111</v>
      </c>
      <c r="R27" s="701" t="s">
        <v>14</v>
      </c>
      <c r="S27" s="702">
        <f>F27</f>
        <v>100</v>
      </c>
      <c r="T27" s="701" t="s">
        <v>14</v>
      </c>
      <c r="U27" s="702">
        <f>H27</f>
        <v>100</v>
      </c>
      <c r="V27" s="701" t="s">
        <v>14</v>
      </c>
      <c r="W27" s="702">
        <f>J27</f>
        <v>100</v>
      </c>
      <c r="X27" s="703"/>
      <c r="Y27" s="3734"/>
      <c r="Z27" s="52">
        <f>Q27</f>
        <v>111</v>
      </c>
      <c r="AA27" s="1349">
        <f>D27/F27</f>
        <v>1</v>
      </c>
      <c r="AB27" s="1349">
        <f>D27/H27</f>
        <v>1</v>
      </c>
      <c r="AC27" s="1349">
        <f>D27/J27</f>
        <v>1</v>
      </c>
    </row>
    <row r="28" spans="1:29" ht="15.75" thickBot="1">
      <c r="A28" s="387"/>
      <c r="B28" s="1130">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0"/>
      <c r="M28" s="911"/>
      <c r="N28" s="911"/>
      <c r="O28" s="919"/>
      <c r="P28" s="3734"/>
      <c r="Q28" s="1348">
        <f t="shared" si="11"/>
        <v>111</v>
      </c>
      <c r="R28" s="705" t="s">
        <v>14</v>
      </c>
      <c r="S28" s="706">
        <f t="shared" ref="S28:S40" si="12">F28</f>
        <v>100</v>
      </c>
      <c r="T28" s="705" t="s">
        <v>14</v>
      </c>
      <c r="U28" s="706">
        <f t="shared" ref="U28:U40" si="13">H28</f>
        <v>100</v>
      </c>
      <c r="V28" s="705" t="s">
        <v>14</v>
      </c>
      <c r="W28" s="706">
        <f t="shared" ref="W28:W40" si="14">J28</f>
        <v>100</v>
      </c>
      <c r="X28" s="1351"/>
      <c r="Y28" s="3734"/>
      <c r="Z28" s="1352">
        <f t="shared" ref="Z28:Z40" si="15">Q28</f>
        <v>111</v>
      </c>
      <c r="AA28" s="1349">
        <f t="shared" si="3"/>
        <v>1</v>
      </c>
      <c r="AB28" s="1349">
        <f t="shared" si="4"/>
        <v>1</v>
      </c>
      <c r="AC28" s="1349">
        <f t="shared" si="5"/>
        <v>1</v>
      </c>
    </row>
    <row r="29" spans="1:29" ht="28.5">
      <c r="A29" s="417" t="s">
        <v>1694</v>
      </c>
      <c r="B29" s="63" t="s">
        <v>1817</v>
      </c>
      <c r="C29" s="1963"/>
      <c r="D29" s="418">
        <v>100</v>
      </c>
      <c r="E29" s="1963"/>
      <c r="F29" s="412">
        <f>SUMIF(88:88,E29,89:89)-SUMIF(88:88,C29,89:89)+100</f>
        <v>100</v>
      </c>
      <c r="G29" s="1963"/>
      <c r="H29" s="386">
        <f>SUMIF(88:88,G29,89:89)-SUMIF(88:88,C29,89:89)+100</f>
        <v>100</v>
      </c>
      <c r="I29" s="1963"/>
      <c r="J29" s="418">
        <f>SUMIF(88:88,I29,89:89)-SUMIF(88:88,C29,89:89)+100</f>
        <v>100</v>
      </c>
      <c r="K29" s="561"/>
      <c r="L29" s="920"/>
      <c r="M29" s="911"/>
      <c r="N29" s="911"/>
      <c r="O29" s="919"/>
      <c r="P29" s="3735" t="s">
        <v>1696</v>
      </c>
      <c r="Q29" s="1348" t="str">
        <f t="shared" si="11"/>
        <v>建筑类型</v>
      </c>
      <c r="R29" s="705" t="s">
        <v>14</v>
      </c>
      <c r="S29" s="706">
        <f t="shared" si="12"/>
        <v>100</v>
      </c>
      <c r="T29" s="705" t="s">
        <v>14</v>
      </c>
      <c r="U29" s="706">
        <f t="shared" si="13"/>
        <v>100</v>
      </c>
      <c r="V29" s="705" t="s">
        <v>14</v>
      </c>
      <c r="W29" s="706">
        <f t="shared" si="14"/>
        <v>100</v>
      </c>
      <c r="X29" s="1351"/>
      <c r="Y29" s="3736" t="s">
        <v>1696</v>
      </c>
      <c r="Z29" s="1352" t="str">
        <f t="shared" si="15"/>
        <v>建筑类型</v>
      </c>
      <c r="AA29" s="1349">
        <f t="shared" si="3"/>
        <v>1</v>
      </c>
      <c r="AB29" s="1349">
        <f t="shared" si="4"/>
        <v>1</v>
      </c>
      <c r="AC29" s="1349">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8"/>
      <c r="M30" s="921"/>
      <c r="N30" s="921"/>
      <c r="O30" s="922"/>
      <c r="P30" s="3736"/>
      <c r="Q30" s="707" t="str">
        <f t="shared" si="11"/>
        <v>项目建筑规模</v>
      </c>
      <c r="R30" s="708" t="s">
        <v>14</v>
      </c>
      <c r="S30" s="709" t="e">
        <f t="shared" si="12"/>
        <v>#N/A</v>
      </c>
      <c r="T30" s="708" t="s">
        <v>14</v>
      </c>
      <c r="U30" s="709" t="e">
        <f t="shared" si="13"/>
        <v>#N/A</v>
      </c>
      <c r="V30" s="708" t="s">
        <v>14</v>
      </c>
      <c r="W30" s="709" t="e">
        <f t="shared" si="14"/>
        <v>#N/A</v>
      </c>
      <c r="X30" s="710"/>
      <c r="Y30" s="3736"/>
      <c r="Z30" s="711" t="str">
        <f t="shared" si="15"/>
        <v>项目建筑规模</v>
      </c>
      <c r="AA30" s="1349" t="e">
        <f t="shared" si="3"/>
        <v>#N/A</v>
      </c>
      <c r="AB30" s="1349" t="e">
        <f t="shared" si="4"/>
        <v>#N/A</v>
      </c>
      <c r="AC30" s="1349"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0"/>
      <c r="M31" s="911"/>
      <c r="N31" s="911"/>
      <c r="O31" s="919"/>
      <c r="P31" s="3736"/>
      <c r="Q31" s="1348" t="str">
        <f t="shared" si="11"/>
        <v>建筑结构</v>
      </c>
      <c r="R31" s="705" t="s">
        <v>14</v>
      </c>
      <c r="S31" s="706">
        <f t="shared" si="12"/>
        <v>100</v>
      </c>
      <c r="T31" s="705" t="s">
        <v>14</v>
      </c>
      <c r="U31" s="706">
        <f t="shared" si="13"/>
        <v>100</v>
      </c>
      <c r="V31" s="705" t="s">
        <v>14</v>
      </c>
      <c r="W31" s="706">
        <f t="shared" si="14"/>
        <v>100</v>
      </c>
      <c r="X31" s="1351"/>
      <c r="Y31" s="3736"/>
      <c r="Z31" s="1352" t="str">
        <f t="shared" si="15"/>
        <v>建筑结构</v>
      </c>
      <c r="AA31" s="1349">
        <f t="shared" si="3"/>
        <v>1</v>
      </c>
      <c r="AB31" s="1349">
        <f t="shared" si="4"/>
        <v>1</v>
      </c>
      <c r="AC31" s="1349">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0"/>
      <c r="M32" s="911"/>
      <c r="N32" s="911"/>
      <c r="O32" s="919"/>
      <c r="P32" s="3736"/>
      <c r="Q32" s="1348" t="str">
        <f t="shared" si="11"/>
        <v>公共部分装修</v>
      </c>
      <c r="R32" s="705" t="s">
        <v>14</v>
      </c>
      <c r="S32" s="706">
        <f t="shared" si="12"/>
        <v>100</v>
      </c>
      <c r="T32" s="705" t="s">
        <v>14</v>
      </c>
      <c r="U32" s="706">
        <f t="shared" si="13"/>
        <v>100</v>
      </c>
      <c r="V32" s="705" t="s">
        <v>14</v>
      </c>
      <c r="W32" s="706">
        <f t="shared" si="14"/>
        <v>100</v>
      </c>
      <c r="X32" s="1351"/>
      <c r="Y32" s="3736"/>
      <c r="Z32" s="1352" t="str">
        <f t="shared" si="15"/>
        <v>公共部分装修</v>
      </c>
      <c r="AA32" s="1349">
        <f t="shared" si="3"/>
        <v>1</v>
      </c>
      <c r="AB32" s="1349">
        <f t="shared" si="4"/>
        <v>1</v>
      </c>
      <c r="AC32" s="1349">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0"/>
      <c r="M33" s="911"/>
      <c r="N33" s="911"/>
      <c r="O33" s="919"/>
      <c r="P33" s="3736"/>
      <c r="Q33" s="1348" t="str">
        <f t="shared" si="11"/>
        <v>成新度</v>
      </c>
      <c r="R33" s="705" t="s">
        <v>14</v>
      </c>
      <c r="S33" s="706" t="e">
        <f t="shared" si="12"/>
        <v>#N/A</v>
      </c>
      <c r="T33" s="705" t="s">
        <v>14</v>
      </c>
      <c r="U33" s="706" t="e">
        <f t="shared" si="13"/>
        <v>#N/A</v>
      </c>
      <c r="V33" s="705" t="s">
        <v>14</v>
      </c>
      <c r="W33" s="706" t="e">
        <f t="shared" si="14"/>
        <v>#N/A</v>
      </c>
      <c r="X33" s="1351"/>
      <c r="Y33" s="3736"/>
      <c r="Z33" s="1352" t="str">
        <f t="shared" si="15"/>
        <v>成新度</v>
      </c>
      <c r="AA33" s="1349" t="e">
        <f t="shared" si="3"/>
        <v>#N/A</v>
      </c>
      <c r="AB33" s="1349" t="e">
        <f t="shared" si="4"/>
        <v>#N/A</v>
      </c>
      <c r="AC33" s="1349"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2"/>
      <c r="M34" s="913"/>
      <c r="N34" s="913"/>
      <c r="O34" s="914"/>
      <c r="P34" s="3736"/>
      <c r="Q34" s="1339" t="str">
        <f t="shared" si="11"/>
        <v>物业管理</v>
      </c>
      <c r="R34" s="701" t="s">
        <v>14</v>
      </c>
      <c r="S34" s="702">
        <f t="shared" si="12"/>
        <v>100</v>
      </c>
      <c r="T34" s="701" t="s">
        <v>14</v>
      </c>
      <c r="U34" s="702">
        <f t="shared" si="13"/>
        <v>100</v>
      </c>
      <c r="V34" s="701" t="s">
        <v>14</v>
      </c>
      <c r="W34" s="702">
        <f t="shared" si="14"/>
        <v>100</v>
      </c>
      <c r="X34" s="703"/>
      <c r="Y34" s="373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0"/>
      <c r="M35" s="911"/>
      <c r="N35" s="911"/>
      <c r="O35" s="919"/>
      <c r="P35" s="3736" t="s">
        <v>1696</v>
      </c>
      <c r="Q35" s="1348" t="str">
        <f t="shared" si="11"/>
        <v>市政基础设施</v>
      </c>
      <c r="R35" s="705" t="s">
        <v>14</v>
      </c>
      <c r="S35" s="706">
        <f t="shared" si="12"/>
        <v>100</v>
      </c>
      <c r="T35" s="705" t="s">
        <v>14</v>
      </c>
      <c r="U35" s="706">
        <f t="shared" si="13"/>
        <v>100</v>
      </c>
      <c r="V35" s="705" t="s">
        <v>14</v>
      </c>
      <c r="W35" s="706">
        <f t="shared" si="14"/>
        <v>100</v>
      </c>
      <c r="X35" s="1351"/>
      <c r="Y35" s="3736" t="s">
        <v>1696</v>
      </c>
      <c r="Z35" s="1352" t="str">
        <f t="shared" si="15"/>
        <v>市政基础设施</v>
      </c>
      <c r="AA35" s="1349">
        <f t="shared" si="3"/>
        <v>1</v>
      </c>
      <c r="AB35" s="1349">
        <f t="shared" si="4"/>
        <v>1</v>
      </c>
      <c r="AC35" s="1349">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0"/>
      <c r="M36" s="911"/>
      <c r="N36" s="911"/>
      <c r="O36" s="919"/>
      <c r="P36" s="3736"/>
      <c r="Q36" s="1348" t="str">
        <f t="shared" si="11"/>
        <v>内部装修</v>
      </c>
      <c r="R36" s="705" t="s">
        <v>14</v>
      </c>
      <c r="S36" s="706">
        <f t="shared" si="12"/>
        <v>100</v>
      </c>
      <c r="T36" s="705" t="s">
        <v>14</v>
      </c>
      <c r="U36" s="706">
        <f t="shared" si="13"/>
        <v>100</v>
      </c>
      <c r="V36" s="705" t="s">
        <v>14</v>
      </c>
      <c r="W36" s="706">
        <f t="shared" si="14"/>
        <v>100</v>
      </c>
      <c r="X36" s="1351"/>
      <c r="Y36" s="3736"/>
      <c r="Z36" s="1352" t="str">
        <f t="shared" si="15"/>
        <v>内部装修</v>
      </c>
      <c r="AA36" s="1349">
        <f t="shared" si="3"/>
        <v>1</v>
      </c>
      <c r="AB36" s="1349">
        <f t="shared" si="4"/>
        <v>1</v>
      </c>
      <c r="AC36" s="1349">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0"/>
      <c r="M37" s="911"/>
      <c r="N37" s="911"/>
      <c r="O37" s="919"/>
      <c r="P37" s="3736"/>
      <c r="Q37" s="1348" t="str">
        <f t="shared" si="11"/>
        <v>内部装修状况</v>
      </c>
      <c r="R37" s="705" t="s">
        <v>14</v>
      </c>
      <c r="S37" s="706">
        <f t="shared" si="12"/>
        <v>100</v>
      </c>
      <c r="T37" s="705" t="s">
        <v>14</v>
      </c>
      <c r="U37" s="706">
        <f t="shared" si="13"/>
        <v>100</v>
      </c>
      <c r="V37" s="705" t="s">
        <v>14</v>
      </c>
      <c r="W37" s="706">
        <f t="shared" si="14"/>
        <v>100</v>
      </c>
      <c r="X37" s="1351"/>
      <c r="Y37" s="3736"/>
      <c r="Z37" s="1352" t="str">
        <f t="shared" si="15"/>
        <v>内部装修状况</v>
      </c>
      <c r="AA37" s="1349">
        <f t="shared" si="3"/>
        <v>1</v>
      </c>
      <c r="AB37" s="1349">
        <f t="shared" si="4"/>
        <v>1</v>
      </c>
      <c r="AC37" s="1349">
        <f t="shared" si="5"/>
        <v>1</v>
      </c>
    </row>
    <row r="38" spans="1:29" s="422" customFormat="1" ht="15">
      <c r="A38" s="419"/>
      <c r="B38" s="1130">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8"/>
      <c r="M38" s="921"/>
      <c r="N38" s="921"/>
      <c r="O38" s="922"/>
      <c r="P38" s="3736"/>
      <c r="Q38" s="707">
        <f t="shared" si="11"/>
        <v>111</v>
      </c>
      <c r="R38" s="708" t="s">
        <v>14</v>
      </c>
      <c r="S38" s="709">
        <f t="shared" si="12"/>
        <v>100</v>
      </c>
      <c r="T38" s="708" t="s">
        <v>14</v>
      </c>
      <c r="U38" s="709">
        <f t="shared" si="13"/>
        <v>100</v>
      </c>
      <c r="V38" s="708" t="s">
        <v>14</v>
      </c>
      <c r="W38" s="709">
        <f t="shared" si="14"/>
        <v>100</v>
      </c>
      <c r="X38" s="710"/>
      <c r="Y38" s="3736"/>
      <c r="Z38" s="711">
        <f t="shared" si="15"/>
        <v>111</v>
      </c>
      <c r="AA38" s="1349">
        <f t="shared" si="3"/>
        <v>1</v>
      </c>
      <c r="AB38" s="1349">
        <f t="shared" si="4"/>
        <v>1</v>
      </c>
      <c r="AC38" s="1349">
        <f t="shared" si="5"/>
        <v>1</v>
      </c>
    </row>
    <row r="39" spans="1:29" ht="15">
      <c r="A39" s="423"/>
      <c r="B39" s="1130">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0"/>
      <c r="M39" s="911"/>
      <c r="N39" s="911"/>
      <c r="O39" s="919"/>
      <c r="P39" s="3736"/>
      <c r="Q39" s="1348">
        <f t="shared" si="11"/>
        <v>111</v>
      </c>
      <c r="R39" s="705" t="s">
        <v>14</v>
      </c>
      <c r="S39" s="706">
        <f t="shared" si="12"/>
        <v>100</v>
      </c>
      <c r="T39" s="705" t="s">
        <v>14</v>
      </c>
      <c r="U39" s="706">
        <f t="shared" si="13"/>
        <v>100</v>
      </c>
      <c r="V39" s="705" t="s">
        <v>14</v>
      </c>
      <c r="W39" s="706">
        <f t="shared" si="14"/>
        <v>100</v>
      </c>
      <c r="X39" s="1351"/>
      <c r="Y39" s="3736"/>
      <c r="Z39" s="1352">
        <f t="shared" si="15"/>
        <v>111</v>
      </c>
      <c r="AA39" s="1349">
        <f t="shared" si="3"/>
        <v>1</v>
      </c>
      <c r="AB39" s="1349">
        <f t="shared" si="4"/>
        <v>1</v>
      </c>
      <c r="AC39" s="1349">
        <f t="shared" si="5"/>
        <v>1</v>
      </c>
    </row>
    <row r="40" spans="1:29" ht="15.75"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0"/>
      <c r="M40" s="911"/>
      <c r="N40" s="911"/>
      <c r="O40" s="919"/>
      <c r="P40" s="3774"/>
      <c r="Q40" s="1348">
        <f t="shared" si="11"/>
        <v>111</v>
      </c>
      <c r="R40" s="705" t="s">
        <v>14</v>
      </c>
      <c r="S40" s="706">
        <f t="shared" si="12"/>
        <v>100</v>
      </c>
      <c r="T40" s="705" t="s">
        <v>14</v>
      </c>
      <c r="U40" s="706">
        <f t="shared" si="13"/>
        <v>100</v>
      </c>
      <c r="V40" s="705" t="s">
        <v>14</v>
      </c>
      <c r="W40" s="706">
        <f t="shared" si="14"/>
        <v>100</v>
      </c>
      <c r="X40" s="1351"/>
      <c r="Y40" s="3774"/>
      <c r="Z40" s="1352">
        <f t="shared" si="15"/>
        <v>111</v>
      </c>
      <c r="AA40" s="1349">
        <f t="shared" si="3"/>
        <v>1</v>
      </c>
      <c r="AB40" s="1349">
        <f t="shared" si="4"/>
        <v>1</v>
      </c>
      <c r="AC40" s="1349">
        <f t="shared" si="5"/>
        <v>1</v>
      </c>
    </row>
    <row r="41" spans="1:29" ht="15">
      <c r="A41" s="430" t="s">
        <v>1708</v>
      </c>
      <c r="B41" s="431"/>
      <c r="C41" s="1151" t="s">
        <v>0</v>
      </c>
      <c r="D41" s="1152"/>
      <c r="E41" s="1153"/>
      <c r="F41" s="1154"/>
      <c r="G41" s="1155"/>
      <c r="H41" s="1156"/>
      <c r="I41" s="1153"/>
      <c r="J41" s="1156"/>
      <c r="K41" s="714"/>
      <c r="L41" s="923"/>
      <c r="M41" s="924"/>
      <c r="N41" s="911"/>
      <c r="O41" s="924"/>
      <c r="P41" s="3718" t="str">
        <f>A41</f>
        <v>成交单价（元/平方米）</v>
      </c>
      <c r="Q41" s="3718"/>
      <c r="R41" s="3770">
        <f>E41</f>
        <v>0</v>
      </c>
      <c r="S41" s="3770"/>
      <c r="T41" s="3770">
        <f>G41</f>
        <v>0</v>
      </c>
      <c r="U41" s="3770"/>
      <c r="V41" s="3770">
        <f>I41</f>
        <v>0</v>
      </c>
      <c r="W41" s="3770"/>
      <c r="X41" s="690"/>
      <c r="Y41" s="712"/>
      <c r="Z41" s="690"/>
      <c r="AA41" s="690"/>
      <c r="AB41" s="690"/>
      <c r="AC41" s="690"/>
    </row>
    <row r="42" spans="1:29" ht="15.75" thickBot="1">
      <c r="A42" s="437" t="s">
        <v>1793</v>
      </c>
      <c r="B42" s="438"/>
      <c r="C42" s="1157" t="e">
        <f>R43</f>
        <v>#DIV/0!</v>
      </c>
      <c r="D42" s="2313" t="s">
        <v>2137</v>
      </c>
      <c r="E42" s="1158" t="e">
        <f>R42</f>
        <v>#DIV/0!</v>
      </c>
      <c r="F42" s="2314"/>
      <c r="G42" s="1157" t="e">
        <f>T42</f>
        <v>#DIV/0!</v>
      </c>
      <c r="H42" s="2314"/>
      <c r="I42" s="1158" t="e">
        <f>V42</f>
        <v>#DIV/0!</v>
      </c>
      <c r="J42" s="2314"/>
      <c r="K42" s="2316">
        <f>F42+H42+J42</f>
        <v>0</v>
      </c>
      <c r="L42" s="923"/>
      <c r="M42" s="924"/>
      <c r="N42" s="911"/>
      <c r="O42" s="924"/>
      <c r="P42" s="3718" t="str">
        <f>A42</f>
        <v>比较价值（元/平方米）</v>
      </c>
      <c r="Q42" s="3718"/>
      <c r="R42" s="3770" t="e">
        <f>IF(F1="售价",ROUND(PRODUCT(R41,AA7:AA40),0),ROUND(PRODUCT(R41,AA7:AA40),1))</f>
        <v>#DIV/0!</v>
      </c>
      <c r="S42" s="3770"/>
      <c r="T42" s="3770" t="e">
        <f>IF(F1="售价",ROUND(PRODUCT(T41,AB7:AB40),0),ROUND(PRODUCT(T41,AB7:AB40),1))</f>
        <v>#DIV/0!</v>
      </c>
      <c r="U42" s="3770"/>
      <c r="V42" s="3770" t="e">
        <f>IF(F1="售价",ROUND(PRODUCT(V41,AC7:AC40),0),ROUND(PRODUCT(V41,AC7:AC40),1))</f>
        <v>#DIV/0!</v>
      </c>
      <c r="W42" s="3770"/>
      <c r="X42" s="690"/>
      <c r="Y42" s="690"/>
      <c r="Z42" s="690"/>
      <c r="AA42" s="690"/>
      <c r="AB42" s="690"/>
      <c r="AC42" s="690"/>
    </row>
    <row r="43" spans="1:29" ht="15.75" thickBot="1">
      <c r="A43" s="441" t="s">
        <v>1794</v>
      </c>
      <c r="B43" s="442"/>
      <c r="C43" s="1160" t="e">
        <f>R43</f>
        <v>#DIV/0!</v>
      </c>
      <c r="D43" s="1160"/>
      <c r="E43" s="1160"/>
      <c r="F43" s="1160"/>
      <c r="G43" s="1160"/>
      <c r="H43" s="1160"/>
      <c r="I43" s="1160"/>
      <c r="J43" s="1160"/>
      <c r="K43" s="715"/>
      <c r="L43" s="923"/>
      <c r="M43" s="924"/>
      <c r="N43" s="924"/>
      <c r="O43" s="924"/>
      <c r="P43" s="3738" t="str">
        <f>A43</f>
        <v>估价对象XX用房的比较价值（楼面单价，元/平方米）</v>
      </c>
      <c r="Q43" s="3739"/>
      <c r="R43" s="3769" t="e">
        <f>IF(F1="售价",ROUND(IF(D42="简单平均",AVERAGE(R42:V42),R42*F42+T42*H42+V42*J42),0),ROUND(IF(D42="简单平均",AVERAGE(R42:V42),R42*F42+T42*H42+V42*J42),1))</f>
        <v>#DIV/0!</v>
      </c>
      <c r="S43" s="3769"/>
      <c r="T43" s="3769"/>
      <c r="U43" s="3769"/>
      <c r="V43" s="3769"/>
      <c r="W43" s="3769"/>
      <c r="X43" s="690"/>
      <c r="Y43" s="690"/>
      <c r="Z43" s="690"/>
      <c r="AA43" s="690"/>
      <c r="AB43" s="690"/>
      <c r="AC43" s="690"/>
    </row>
    <row r="44" spans="1:29">
      <c r="A44" s="2721"/>
      <c r="B44" s="2721"/>
      <c r="C44" s="2721"/>
      <c r="D44" s="2721"/>
      <c r="E44" s="2721"/>
      <c r="F44" s="2721"/>
      <c r="G44" s="2725"/>
      <c r="H44" s="2721"/>
      <c r="I44" s="2721"/>
      <c r="J44" s="2721"/>
      <c r="K44" s="2726"/>
      <c r="L44" s="886"/>
      <c r="M44" s="924"/>
      <c r="N44" s="924"/>
      <c r="O44" s="924"/>
    </row>
    <row r="45" spans="1:29">
      <c r="A45" s="2721"/>
      <c r="B45" s="2721"/>
      <c r="C45" s="2721"/>
      <c r="D45" s="2721"/>
      <c r="E45" s="2721"/>
      <c r="F45" s="2721"/>
      <c r="G45" s="2721"/>
      <c r="H45" s="2721"/>
      <c r="I45" s="2721"/>
      <c r="J45" s="2721"/>
      <c r="K45" s="2726"/>
      <c r="L45" s="886"/>
      <c r="M45" s="924"/>
      <c r="N45" s="924"/>
      <c r="O45" s="924"/>
    </row>
    <row r="46" spans="1:29"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6"/>
      <c r="M46" s="924"/>
      <c r="N46" s="924"/>
      <c r="O46" s="924"/>
    </row>
    <row r="47" spans="1:29"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6"/>
      <c r="M47" s="924"/>
      <c r="N47" s="924"/>
      <c r="O47" s="924"/>
    </row>
    <row r="48" spans="1:29"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27"/>
      <c r="M48" s="925"/>
      <c r="N48" s="925"/>
      <c r="O48" s="925"/>
    </row>
    <row r="49" spans="1:17" s="451" customFormat="1">
      <c r="A49" s="2724"/>
      <c r="B49" s="2727"/>
      <c r="C49" s="2728"/>
      <c r="D49" s="2724"/>
      <c r="E49" s="2724"/>
      <c r="F49" s="2724"/>
      <c r="G49" s="2724"/>
      <c r="H49" s="2724"/>
      <c r="I49" s="2724"/>
      <c r="J49" s="2724"/>
      <c r="K49" s="2729"/>
      <c r="L49" s="927"/>
      <c r="M49" s="925"/>
      <c r="N49" s="925"/>
      <c r="O49" s="925"/>
    </row>
    <row r="50" spans="1:17">
      <c r="A50" s="2721"/>
      <c r="B50" s="2727"/>
      <c r="C50" s="2728"/>
      <c r="D50" s="2721"/>
      <c r="E50" s="2721"/>
      <c r="F50" s="2721"/>
      <c r="G50" s="2721"/>
      <c r="H50" s="2721"/>
      <c r="I50" s="2721"/>
      <c r="J50" s="2721"/>
      <c r="K50" s="2726"/>
      <c r="L50" s="886"/>
      <c r="M50" s="924"/>
      <c r="N50" s="924"/>
      <c r="O50" s="924"/>
    </row>
    <row r="51" spans="1:17" ht="21.75" thickBot="1">
      <c r="A51" s="694" t="s">
        <v>1798</v>
      </c>
      <c r="B51" s="690"/>
      <c r="C51" s="695"/>
      <c r="D51" s="695"/>
      <c r="E51" s="695"/>
      <c r="F51" s="696"/>
      <c r="G51" s="696"/>
      <c r="H51" s="695"/>
      <c r="I51" s="695"/>
      <c r="J51" s="695"/>
      <c r="K51" s="938"/>
      <c r="L51" s="939"/>
      <c r="M51" s="937"/>
      <c r="N51" s="937"/>
      <c r="O51" s="937"/>
      <c r="P51" s="452"/>
      <c r="Q51" s="453"/>
    </row>
    <row r="52" spans="1:17" s="457" customFormat="1" ht="15">
      <c r="A52" s="454" t="s">
        <v>1679</v>
      </c>
      <c r="B52" s="455"/>
      <c r="C52" s="1180" t="str">
        <f>YEAR(C7)&amp;"-"&amp;MONTH(C7)</f>
        <v>2023-3</v>
      </c>
      <c r="D52" s="1181">
        <f>EDATE(C52,-1)</f>
        <v>44958</v>
      </c>
      <c r="E52" s="1181">
        <f t="shared" ref="E52:O52" si="16">EDATE(D52,-1)</f>
        <v>44927</v>
      </c>
      <c r="F52" s="1181">
        <f t="shared" si="16"/>
        <v>44896</v>
      </c>
      <c r="G52" s="1181">
        <f t="shared" si="16"/>
        <v>44866</v>
      </c>
      <c r="H52" s="1181">
        <f t="shared" si="16"/>
        <v>44835</v>
      </c>
      <c r="I52" s="1181">
        <f t="shared" si="16"/>
        <v>44805</v>
      </c>
      <c r="J52" s="1181">
        <f t="shared" si="16"/>
        <v>44774</v>
      </c>
      <c r="K52" s="1181">
        <f t="shared" si="16"/>
        <v>44743</v>
      </c>
      <c r="L52" s="1181">
        <f t="shared" si="16"/>
        <v>44713</v>
      </c>
      <c r="M52" s="1181">
        <f t="shared" si="16"/>
        <v>44682</v>
      </c>
      <c r="N52" s="1181">
        <f t="shared" si="16"/>
        <v>44652</v>
      </c>
      <c r="O52" s="1181">
        <f t="shared" si="16"/>
        <v>44621</v>
      </c>
      <c r="P52" s="456"/>
    </row>
    <row r="53" spans="1:17" s="108" customFormat="1" ht="15">
      <c r="A53" s="458"/>
      <c r="B53" s="459"/>
      <c r="C53" s="1179">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6"/>
      <c r="O54" s="2767"/>
      <c r="P54" s="453"/>
      <c r="Q54" s="453"/>
    </row>
    <row r="55" spans="1:17" s="108" customFormat="1" ht="15">
      <c r="A55" s="470" t="s">
        <v>1681</v>
      </c>
      <c r="B55" s="459"/>
      <c r="C55" s="471" t="s">
        <v>1776</v>
      </c>
      <c r="D55" s="472"/>
      <c r="E55" s="472"/>
      <c r="F55" s="472"/>
      <c r="G55" s="472"/>
      <c r="H55" s="472"/>
      <c r="I55" s="472"/>
      <c r="J55" s="472"/>
      <c r="K55" s="472"/>
      <c r="L55" s="473"/>
      <c r="M55" s="474"/>
      <c r="N55" s="929"/>
      <c r="O55" s="929"/>
      <c r="P55" s="475"/>
      <c r="Q55" s="453"/>
    </row>
    <row r="56" spans="1:17" s="108" customFormat="1" ht="15.75" thickBot="1">
      <c r="A56" s="470"/>
      <c r="B56" s="459"/>
      <c r="C56" s="587">
        <v>100</v>
      </c>
      <c r="D56" s="461"/>
      <c r="E56" s="461"/>
      <c r="F56" s="461"/>
      <c r="G56" s="461"/>
      <c r="H56" s="461"/>
      <c r="I56" s="461"/>
      <c r="J56" s="461"/>
      <c r="K56" s="461"/>
      <c r="L56" s="461"/>
      <c r="M56" s="463"/>
      <c r="N56" s="929"/>
      <c r="O56" s="929"/>
      <c r="P56" s="453"/>
      <c r="Q56" s="453"/>
    </row>
    <row r="57" spans="1:17">
      <c r="A57" s="476" t="s">
        <v>1719</v>
      </c>
      <c r="B57" s="477" t="s">
        <v>1685</v>
      </c>
      <c r="C57" s="478">
        <f>C9</f>
        <v>0</v>
      </c>
      <c r="D57" s="479"/>
      <c r="E57" s="479"/>
      <c r="F57" s="479"/>
      <c r="G57" s="479"/>
      <c r="H57" s="479"/>
      <c r="I57" s="479"/>
      <c r="J57" s="479"/>
      <c r="K57" s="480"/>
      <c r="L57" s="481"/>
      <c r="M57" s="482"/>
      <c r="N57" s="930"/>
      <c r="O57" s="930"/>
      <c r="P57" s="42"/>
      <c r="Q57" s="453"/>
    </row>
    <row r="58" spans="1:17" ht="15.75" thickBot="1">
      <c r="A58" s="483"/>
      <c r="B58" s="484"/>
      <c r="C58" s="485">
        <v>100</v>
      </c>
      <c r="D58" s="485"/>
      <c r="E58" s="485"/>
      <c r="F58" s="485"/>
      <c r="G58" s="485"/>
      <c r="H58" s="485"/>
      <c r="I58" s="485"/>
      <c r="J58" s="485"/>
      <c r="K58" s="485"/>
      <c r="L58" s="485"/>
      <c r="M58" s="486"/>
      <c r="N58" s="931"/>
      <c r="O58" s="931"/>
      <c r="P58" s="42"/>
      <c r="Q58" s="453"/>
    </row>
    <row r="59" spans="1:17" ht="27.75" thickTop="1">
      <c r="A59" s="483"/>
      <c r="B59" s="487" t="s">
        <v>1688</v>
      </c>
      <c r="C59" s="532"/>
      <c r="D59" s="532"/>
      <c r="E59" s="532"/>
      <c r="F59" s="532"/>
      <c r="G59" s="532"/>
      <c r="H59" s="532"/>
      <c r="I59" s="532"/>
      <c r="J59" s="532"/>
      <c r="K59" s="533"/>
      <c r="L59" s="534"/>
      <c r="M59" s="535"/>
      <c r="N59" s="930"/>
      <c r="O59" s="930"/>
      <c r="P59" s="42"/>
      <c r="Q59" s="453"/>
    </row>
    <row r="60" spans="1:17" ht="15.75" thickBot="1">
      <c r="A60" s="483"/>
      <c r="B60" s="492"/>
      <c r="C60" s="485"/>
      <c r="D60" s="485"/>
      <c r="E60" s="485"/>
      <c r="F60" s="485"/>
      <c r="G60" s="485"/>
      <c r="H60" s="485"/>
      <c r="I60" s="485"/>
      <c r="J60" s="485"/>
      <c r="K60" s="485"/>
      <c r="L60" s="485"/>
      <c r="M60" s="486"/>
      <c r="N60" s="931"/>
      <c r="O60" s="931"/>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1"/>
      <c r="O61" s="931"/>
      <c r="P61" s="42"/>
      <c r="Q61" s="453"/>
    </row>
    <row r="62" spans="1:17" ht="15">
      <c r="A62" s="483"/>
      <c r="B62" s="497"/>
      <c r="C62" s="498">
        <v>0</v>
      </c>
      <c r="D62" s="498">
        <v>2</v>
      </c>
      <c r="E62" s="498"/>
      <c r="F62" s="498"/>
      <c r="G62" s="498"/>
      <c r="H62" s="498"/>
      <c r="I62" s="498"/>
      <c r="J62" s="498"/>
      <c r="K62" s="499"/>
      <c r="L62" s="500"/>
      <c r="M62" s="501"/>
      <c r="N62" s="930"/>
      <c r="O62" s="930"/>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1"/>
      <c r="O63" s="931"/>
      <c r="P63" s="42"/>
      <c r="Q63" s="453"/>
    </row>
    <row r="64" spans="1:17" s="422" customFormat="1" ht="15.75" thickTop="1">
      <c r="A64" s="502"/>
      <c r="B64" s="487">
        <f>B12</f>
        <v>111</v>
      </c>
      <c r="C64" s="503"/>
      <c r="D64" s="503"/>
      <c r="E64" s="503"/>
      <c r="F64" s="503"/>
      <c r="G64" s="503"/>
      <c r="H64" s="504"/>
      <c r="I64" s="504"/>
      <c r="J64" s="504"/>
      <c r="K64" s="504"/>
      <c r="L64" s="505"/>
      <c r="M64" s="506"/>
      <c r="N64" s="932"/>
      <c r="O64" s="932"/>
      <c r="P64" s="507"/>
      <c r="Q64" s="508"/>
    </row>
    <row r="65" spans="1:17" s="422" customFormat="1" ht="15.75" thickBot="1">
      <c r="A65" s="502"/>
      <c r="B65" s="492"/>
      <c r="C65" s="509"/>
      <c r="D65" s="485"/>
      <c r="E65" s="485"/>
      <c r="F65" s="485"/>
      <c r="G65" s="485"/>
      <c r="H65" s="485"/>
      <c r="I65" s="485"/>
      <c r="J65" s="485"/>
      <c r="K65" s="485"/>
      <c r="L65" s="485"/>
      <c r="M65" s="486"/>
      <c r="N65" s="931"/>
      <c r="O65" s="931"/>
      <c r="P65" s="507"/>
      <c r="Q65" s="508"/>
    </row>
    <row r="66" spans="1:17" s="422" customFormat="1" ht="15.75" thickTop="1">
      <c r="A66" s="502"/>
      <c r="B66" s="487">
        <f>B13</f>
        <v>111</v>
      </c>
      <c r="C66" s="503"/>
      <c r="D66" s="503"/>
      <c r="E66" s="503"/>
      <c r="F66" s="503"/>
      <c r="G66" s="503"/>
      <c r="H66" s="504"/>
      <c r="I66" s="504"/>
      <c r="J66" s="504"/>
      <c r="K66" s="504"/>
      <c r="L66" s="505"/>
      <c r="M66" s="506"/>
      <c r="N66" s="932"/>
      <c r="O66" s="932"/>
      <c r="P66" s="421"/>
      <c r="Q66" s="510"/>
    </row>
    <row r="67" spans="1:17" s="422" customFormat="1" ht="15.75" thickBot="1">
      <c r="A67" s="502"/>
      <c r="B67" s="492"/>
      <c r="C67" s="509"/>
      <c r="D67" s="485"/>
      <c r="E67" s="485"/>
      <c r="F67" s="485"/>
      <c r="G67" s="509"/>
      <c r="H67" s="511"/>
      <c r="I67" s="511"/>
      <c r="J67" s="511"/>
      <c r="K67" s="511"/>
      <c r="L67" s="511"/>
      <c r="M67" s="512"/>
      <c r="N67" s="932"/>
      <c r="O67" s="932"/>
      <c r="P67" s="507"/>
      <c r="Q67" s="508"/>
    </row>
    <row r="68" spans="1:17" s="422" customFormat="1" ht="15.75" thickTop="1">
      <c r="A68" s="502"/>
      <c r="B68" s="495">
        <f>B14</f>
        <v>111</v>
      </c>
      <c r="C68" s="472"/>
      <c r="D68" s="472"/>
      <c r="E68" s="472"/>
      <c r="F68" s="472"/>
      <c r="G68" s="472"/>
      <c r="H68" s="513"/>
      <c r="I68" s="513"/>
      <c r="J68" s="513"/>
      <c r="K68" s="513"/>
      <c r="L68" s="514"/>
      <c r="M68" s="515"/>
      <c r="N68" s="932"/>
      <c r="O68" s="932"/>
      <c r="P68" s="516"/>
      <c r="Q68" s="508"/>
    </row>
    <row r="69" spans="1:17" s="422" customFormat="1" ht="15.75" thickBot="1">
      <c r="A69" s="517"/>
      <c r="B69" s="518"/>
      <c r="C69" s="519"/>
      <c r="D69" s="519"/>
      <c r="E69" s="519"/>
      <c r="F69" s="519"/>
      <c r="G69" s="519"/>
      <c r="H69" s="520"/>
      <c r="I69" s="520"/>
      <c r="J69" s="520"/>
      <c r="K69" s="520"/>
      <c r="L69" s="520"/>
      <c r="M69" s="521"/>
      <c r="N69" s="932"/>
      <c r="O69" s="932"/>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0"/>
      <c r="O70" s="930"/>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1"/>
      <c r="O71" s="931"/>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0"/>
      <c r="O72" s="930"/>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1"/>
      <c r="O73" s="931"/>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0"/>
      <c r="O74" s="930"/>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1"/>
      <c r="O75" s="931"/>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6"/>
      <c r="N76" s="931"/>
      <c r="O76" s="931"/>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1"/>
      <c r="O77" s="931"/>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0"/>
      <c r="O78" s="930"/>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1"/>
      <c r="O79" s="931"/>
      <c r="P79" s="42"/>
      <c r="Q79" s="453"/>
    </row>
    <row r="80" spans="1:17" s="108" customFormat="1" ht="15.75" thickTop="1">
      <c r="A80" s="528"/>
      <c r="B80" s="487">
        <f>B25</f>
        <v>111</v>
      </c>
      <c r="C80" s="503"/>
      <c r="D80" s="503"/>
      <c r="E80" s="503"/>
      <c r="F80" s="503"/>
      <c r="G80" s="503"/>
      <c r="H80" s="503"/>
      <c r="I80" s="503"/>
      <c r="J80" s="503"/>
      <c r="K80" s="503"/>
      <c r="L80" s="529"/>
      <c r="M80" s="530"/>
      <c r="N80" s="929"/>
      <c r="O80" s="929"/>
      <c r="P80" s="42"/>
      <c r="Q80" s="453"/>
    </row>
    <row r="81" spans="1:17" s="108" customFormat="1" ht="15.75" thickBot="1">
      <c r="A81" s="528"/>
      <c r="B81" s="492"/>
      <c r="C81" s="509"/>
      <c r="D81" s="485"/>
      <c r="E81" s="485"/>
      <c r="F81" s="485"/>
      <c r="G81" s="485"/>
      <c r="H81" s="485"/>
      <c r="I81" s="485"/>
      <c r="J81" s="485"/>
      <c r="K81" s="485"/>
      <c r="L81" s="485"/>
      <c r="M81" s="486"/>
      <c r="N81" s="931"/>
      <c r="O81" s="931"/>
      <c r="P81" s="42"/>
      <c r="Q81" s="453"/>
    </row>
    <row r="82" spans="1:17" s="108" customFormat="1" ht="15.75" thickTop="1">
      <c r="A82" s="528"/>
      <c r="B82" s="487">
        <f>B26</f>
        <v>111</v>
      </c>
      <c r="C82" s="503"/>
      <c r="D82" s="503"/>
      <c r="E82" s="503"/>
      <c r="F82" s="503"/>
      <c r="G82" s="503"/>
      <c r="H82" s="503"/>
      <c r="I82" s="503"/>
      <c r="J82" s="503"/>
      <c r="K82" s="503"/>
      <c r="L82" s="529"/>
      <c r="M82" s="530"/>
      <c r="N82" s="929"/>
      <c r="O82" s="929"/>
      <c r="P82" s="42"/>
      <c r="Q82" s="453"/>
    </row>
    <row r="83" spans="1:17" s="108" customFormat="1" ht="15.75" thickBot="1">
      <c r="A83" s="528"/>
      <c r="B83" s="492"/>
      <c r="C83" s="509"/>
      <c r="D83" s="485"/>
      <c r="E83" s="485"/>
      <c r="F83" s="485"/>
      <c r="G83" s="485"/>
      <c r="H83" s="485"/>
      <c r="I83" s="485"/>
      <c r="J83" s="485"/>
      <c r="K83" s="485"/>
      <c r="L83" s="485"/>
      <c r="M83" s="486"/>
      <c r="N83" s="931"/>
      <c r="O83" s="931"/>
      <c r="P83" s="42"/>
      <c r="Q83" s="453"/>
    </row>
    <row r="84" spans="1:17" s="422" customFormat="1" ht="15.75" thickTop="1">
      <c r="A84" s="502"/>
      <c r="B84" s="487">
        <f>B27</f>
        <v>111</v>
      </c>
      <c r="C84" s="503"/>
      <c r="D84" s="503"/>
      <c r="E84" s="503"/>
      <c r="F84" s="503"/>
      <c r="G84" s="503"/>
      <c r="H84" s="503"/>
      <c r="I84" s="503"/>
      <c r="J84" s="503"/>
      <c r="K84" s="503"/>
      <c r="L84" s="529"/>
      <c r="M84" s="530"/>
      <c r="N84" s="932"/>
      <c r="O84" s="932"/>
      <c r="P84" s="507"/>
      <c r="Q84" s="508"/>
    </row>
    <row r="85" spans="1:17" s="422" customFormat="1" ht="15.75" thickBot="1">
      <c r="A85" s="502"/>
      <c r="B85" s="492"/>
      <c r="C85" s="509"/>
      <c r="D85" s="485"/>
      <c r="E85" s="485"/>
      <c r="F85" s="485"/>
      <c r="G85" s="485"/>
      <c r="H85" s="485"/>
      <c r="I85" s="485"/>
      <c r="J85" s="485"/>
      <c r="K85" s="485"/>
      <c r="L85" s="485"/>
      <c r="M85" s="486"/>
      <c r="N85" s="932"/>
      <c r="O85" s="932"/>
      <c r="P85" s="507"/>
      <c r="Q85" s="508"/>
    </row>
    <row r="86" spans="1:17" ht="15.75" thickTop="1">
      <c r="A86" s="483"/>
      <c r="B86" s="495">
        <f>B28</f>
        <v>111</v>
      </c>
      <c r="C86" s="472"/>
      <c r="D86" s="472"/>
      <c r="E86" s="472"/>
      <c r="F86" s="472"/>
      <c r="G86" s="536"/>
      <c r="H86" s="536"/>
      <c r="I86" s="536"/>
      <c r="J86" s="536"/>
      <c r="K86" s="537"/>
      <c r="L86" s="538"/>
      <c r="M86" s="539"/>
      <c r="N86" s="930"/>
      <c r="O86" s="930"/>
      <c r="P86" s="42"/>
      <c r="Q86" s="453"/>
    </row>
    <row r="87" spans="1:17" ht="15.75" thickBot="1">
      <c r="A87" s="1924"/>
      <c r="B87" s="518"/>
      <c r="C87" s="519"/>
      <c r="D87" s="519"/>
      <c r="E87" s="519"/>
      <c r="F87" s="519"/>
      <c r="G87" s="540"/>
      <c r="H87" s="540"/>
      <c r="I87" s="540"/>
      <c r="J87" s="540"/>
      <c r="K87" s="540"/>
      <c r="L87" s="540"/>
      <c r="M87" s="541"/>
      <c r="N87" s="931"/>
      <c r="O87" s="931"/>
      <c r="P87" s="42"/>
      <c r="Q87" s="453"/>
    </row>
    <row r="88" spans="1:17">
      <c r="A88" s="476" t="s">
        <v>1694</v>
      </c>
      <c r="B88" s="477" t="s">
        <v>1736</v>
      </c>
      <c r="C88" s="479"/>
      <c r="D88" s="479"/>
      <c r="E88" s="479"/>
      <c r="F88" s="479"/>
      <c r="G88" s="479"/>
      <c r="H88" s="479"/>
      <c r="I88" s="479"/>
      <c r="J88" s="479"/>
      <c r="K88" s="480"/>
      <c r="L88" s="481"/>
      <c r="M88" s="482"/>
      <c r="N88" s="930"/>
      <c r="O88" s="930"/>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1"/>
      <c r="O89" s="931"/>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9"/>
      <c r="O90" s="929"/>
      <c r="P90" s="42"/>
      <c r="Q90" s="453"/>
    </row>
    <row r="91" spans="1:17" s="422" customFormat="1">
      <c r="A91" s="542"/>
      <c r="B91" s="543"/>
      <c r="C91" s="544"/>
      <c r="D91" s="544"/>
      <c r="E91" s="544"/>
      <c r="F91" s="544"/>
      <c r="G91" s="544"/>
      <c r="H91" s="544"/>
      <c r="I91" s="544"/>
      <c r="J91" s="545"/>
      <c r="K91" s="545"/>
      <c r="L91" s="546"/>
      <c r="M91" s="547"/>
      <c r="N91" s="932"/>
      <c r="O91" s="932"/>
      <c r="P91" s="507"/>
      <c r="Q91" s="508"/>
    </row>
    <row r="92" spans="1:17" s="422" customFormat="1" ht="15.75" thickBot="1">
      <c r="A92" s="502"/>
      <c r="B92" s="492"/>
      <c r="C92" s="509"/>
      <c r="D92" s="485"/>
      <c r="E92" s="485"/>
      <c r="F92" s="485"/>
      <c r="G92" s="485"/>
      <c r="H92" s="485"/>
      <c r="I92" s="485"/>
      <c r="J92" s="485"/>
      <c r="K92" s="485"/>
      <c r="L92" s="485"/>
      <c r="M92" s="486"/>
      <c r="N92" s="931"/>
      <c r="O92" s="931"/>
      <c r="P92" s="507"/>
      <c r="Q92" s="508"/>
    </row>
    <row r="93" spans="1:17" ht="15" thickTop="1">
      <c r="A93" s="548"/>
      <c r="B93" s="487" t="s">
        <v>1738</v>
      </c>
      <c r="C93" s="503"/>
      <c r="D93" s="503"/>
      <c r="E93" s="532"/>
      <c r="F93" s="532"/>
      <c r="G93" s="532"/>
      <c r="H93" s="532"/>
      <c r="I93" s="532"/>
      <c r="J93" s="532"/>
      <c r="K93" s="533"/>
      <c r="L93" s="534"/>
      <c r="M93" s="535"/>
      <c r="N93" s="930"/>
      <c r="O93" s="930"/>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1"/>
      <c r="O94" s="931"/>
      <c r="P94" s="42"/>
      <c r="Q94" s="453"/>
    </row>
    <row r="95" spans="1:17" ht="15" thickTop="1">
      <c r="A95" s="548"/>
      <c r="B95" s="487" t="s">
        <v>1740</v>
      </c>
      <c r="C95" s="503"/>
      <c r="D95" s="503"/>
      <c r="E95" s="503"/>
      <c r="F95" s="532"/>
      <c r="G95" s="532"/>
      <c r="H95" s="532"/>
      <c r="I95" s="532"/>
      <c r="J95" s="532"/>
      <c r="K95" s="533"/>
      <c r="L95" s="534"/>
      <c r="M95" s="535"/>
      <c r="N95" s="930"/>
      <c r="O95" s="930"/>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1"/>
      <c r="O96" s="931"/>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0"/>
      <c r="O97" s="930"/>
      <c r="P97" s="42"/>
      <c r="Q97" s="453"/>
    </row>
    <row r="98" spans="1:17">
      <c r="A98" s="548"/>
      <c r="B98" s="495"/>
      <c r="C98" s="552">
        <v>0.5</v>
      </c>
      <c r="D98" s="552">
        <v>0.6</v>
      </c>
      <c r="E98" s="552">
        <v>0.7</v>
      </c>
      <c r="F98" s="552">
        <v>0.8</v>
      </c>
      <c r="G98" s="552">
        <v>0.9</v>
      </c>
      <c r="H98" s="552">
        <v>1.0001</v>
      </c>
      <c r="I98" s="571"/>
      <c r="J98" s="571"/>
      <c r="K98" s="572"/>
      <c r="L98" s="573"/>
      <c r="M98" s="574"/>
      <c r="N98" s="930"/>
      <c r="O98" s="930"/>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1"/>
      <c r="O99" s="931"/>
      <c r="P99" s="42"/>
      <c r="Q99" s="453"/>
    </row>
    <row r="100" spans="1:17" s="422" customFormat="1" ht="15" thickTop="1">
      <c r="A100" s="542"/>
      <c r="B100" s="487" t="s">
        <v>1741</v>
      </c>
      <c r="C100" s="503"/>
      <c r="D100" s="503"/>
      <c r="E100" s="503"/>
      <c r="F100" s="503"/>
      <c r="G100" s="503"/>
      <c r="H100" s="532"/>
      <c r="I100" s="532"/>
      <c r="J100" s="532"/>
      <c r="K100" s="533"/>
      <c r="L100" s="534"/>
      <c r="M100" s="535"/>
      <c r="N100" s="932"/>
      <c r="O100" s="932"/>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2"/>
      <c r="O101" s="932"/>
      <c r="P101" s="507"/>
      <c r="Q101" s="508"/>
    </row>
    <row r="102" spans="1:17" ht="15" thickTop="1">
      <c r="A102" s="548"/>
      <c r="B102" s="487" t="s">
        <v>1742</v>
      </c>
      <c r="C102" s="503"/>
      <c r="D102" s="503"/>
      <c r="E102" s="503"/>
      <c r="F102" s="503"/>
      <c r="G102" s="503"/>
      <c r="H102" s="532"/>
      <c r="I102" s="532"/>
      <c r="J102" s="532"/>
      <c r="K102" s="533"/>
      <c r="L102" s="534"/>
      <c r="M102" s="535"/>
      <c r="N102" s="930"/>
      <c r="O102" s="930"/>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1"/>
      <c r="O103" s="931"/>
      <c r="P103" s="42"/>
      <c r="Q103" s="453"/>
    </row>
    <row r="104" spans="1:17" ht="15" thickTop="1">
      <c r="A104" s="548"/>
      <c r="B104" s="487" t="s">
        <v>1744</v>
      </c>
      <c r="C104" s="503"/>
      <c r="D104" s="503"/>
      <c r="E104" s="503"/>
      <c r="F104" s="503"/>
      <c r="G104" s="503"/>
      <c r="H104" s="532"/>
      <c r="I104" s="532"/>
      <c r="J104" s="532"/>
      <c r="K104" s="533"/>
      <c r="L104" s="534"/>
      <c r="M104" s="535"/>
      <c r="N104" s="930"/>
      <c r="O104" s="930"/>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1"/>
      <c r="O105" s="931"/>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1"/>
      <c r="O106" s="931"/>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1"/>
      <c r="O107" s="931"/>
      <c r="P107" s="42"/>
      <c r="Q107" s="453"/>
    </row>
    <row r="108" spans="1:17" s="422" customFormat="1" ht="15" thickTop="1">
      <c r="A108" s="542"/>
      <c r="B108" s="487">
        <f>B38</f>
        <v>111</v>
      </c>
      <c r="C108" s="503"/>
      <c r="D108" s="503"/>
      <c r="E108" s="503"/>
      <c r="F108" s="503"/>
      <c r="G108" s="503"/>
      <c r="H108" s="504"/>
      <c r="I108" s="504"/>
      <c r="J108" s="504"/>
      <c r="K108" s="504"/>
      <c r="L108" s="505"/>
      <c r="M108" s="506"/>
      <c r="N108" s="932"/>
      <c r="O108" s="932"/>
      <c r="P108" s="507"/>
      <c r="Q108" s="508"/>
    </row>
    <row r="109" spans="1:17" s="422" customFormat="1" ht="15.75" thickBot="1">
      <c r="A109" s="502"/>
      <c r="B109" s="484"/>
      <c r="C109" s="509"/>
      <c r="D109" s="485"/>
      <c r="E109" s="485"/>
      <c r="F109" s="485"/>
      <c r="G109" s="509"/>
      <c r="H109" s="511"/>
      <c r="I109" s="511"/>
      <c r="J109" s="511"/>
      <c r="K109" s="511"/>
      <c r="L109" s="511"/>
      <c r="M109" s="512"/>
      <c r="N109" s="932"/>
      <c r="O109" s="932"/>
      <c r="P109" s="507"/>
      <c r="Q109" s="508"/>
    </row>
    <row r="110" spans="1:17" ht="15" thickTop="1">
      <c r="A110" s="548"/>
      <c r="B110" s="487">
        <f>B39</f>
        <v>111</v>
      </c>
      <c r="C110" s="503"/>
      <c r="D110" s="503"/>
      <c r="E110" s="503"/>
      <c r="F110" s="503"/>
      <c r="G110" s="503"/>
      <c r="H110" s="504"/>
      <c r="I110" s="504"/>
      <c r="J110" s="504"/>
      <c r="K110" s="504"/>
      <c r="L110" s="505"/>
      <c r="M110" s="506"/>
      <c r="N110" s="930"/>
      <c r="O110" s="930"/>
      <c r="P110" s="42"/>
      <c r="Q110" s="453"/>
    </row>
    <row r="111" spans="1:17" ht="15.75" thickBot="1">
      <c r="A111" s="483"/>
      <c r="B111" s="492"/>
      <c r="C111" s="509"/>
      <c r="D111" s="485"/>
      <c r="E111" s="485"/>
      <c r="F111" s="485"/>
      <c r="G111" s="509"/>
      <c r="H111" s="511"/>
      <c r="I111" s="511"/>
      <c r="J111" s="511"/>
      <c r="K111" s="511"/>
      <c r="L111" s="511"/>
      <c r="M111" s="512"/>
      <c r="N111" s="931"/>
      <c r="O111" s="931"/>
      <c r="P111" s="42"/>
      <c r="Q111" s="453"/>
    </row>
    <row r="112" spans="1:17" ht="15" thickTop="1">
      <c r="A112" s="548"/>
      <c r="B112" s="495">
        <f>B40</f>
        <v>111</v>
      </c>
      <c r="C112" s="472"/>
      <c r="D112" s="472"/>
      <c r="E112" s="472"/>
      <c r="F112" s="472"/>
      <c r="G112" s="536"/>
      <c r="H112" s="536"/>
      <c r="I112" s="536"/>
      <c r="J112" s="536"/>
      <c r="K112" s="472"/>
      <c r="L112" s="473"/>
      <c r="M112" s="539"/>
      <c r="N112" s="930"/>
      <c r="O112" s="930"/>
      <c r="P112" s="42"/>
      <c r="Q112" s="453"/>
    </row>
    <row r="113" spans="1:17" ht="15.75" thickBot="1">
      <c r="A113" s="1924"/>
      <c r="B113" s="518"/>
      <c r="C113" s="519"/>
      <c r="D113" s="519"/>
      <c r="E113" s="519"/>
      <c r="F113" s="519"/>
      <c r="G113" s="540"/>
      <c r="H113" s="540"/>
      <c r="I113" s="540"/>
      <c r="J113" s="540"/>
      <c r="K113" s="540"/>
      <c r="L113" s="540"/>
      <c r="M113" s="541"/>
      <c r="N113" s="931"/>
      <c r="O113" s="931"/>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5" priority="20" stopIfTrue="1" operator="containsText" text="超过">
      <formula>NOT(ISERROR(SEARCH("超过",F46)))</formula>
    </cfRule>
  </conditionalFormatting>
  <conditionalFormatting sqref="H48">
    <cfRule type="containsText" dxfId="84" priority="19" stopIfTrue="1" operator="containsText" text="超过">
      <formula>NOT(ISERROR(SEARCH("超过",H48)))</formula>
    </cfRule>
  </conditionalFormatting>
  <conditionalFormatting sqref="F48">
    <cfRule type="containsText" dxfId="83" priority="18" stopIfTrue="1" operator="containsText" text="超过">
      <formula>NOT(ISERROR(SEARCH("超过",F48)))</formula>
    </cfRule>
  </conditionalFormatting>
  <conditionalFormatting sqref="F47 H47">
    <cfRule type="containsText" dxfId="82" priority="17" stopIfTrue="1" operator="containsText" text="超过">
      <formula>NOT(ISERROR(SEARCH("超过",F47)))</formula>
    </cfRule>
  </conditionalFormatting>
  <conditionalFormatting sqref="E46">
    <cfRule type="expression" dxfId="81" priority="16" stopIfTrue="1">
      <formula>$F$46="超过30%"</formula>
    </cfRule>
  </conditionalFormatting>
  <conditionalFormatting sqref="E47">
    <cfRule type="expression" dxfId="80" priority="15" stopIfTrue="1">
      <formula>$F$47="超过20%"</formula>
    </cfRule>
  </conditionalFormatting>
  <conditionalFormatting sqref="E48">
    <cfRule type="expression" dxfId="79" priority="14" stopIfTrue="1">
      <formula>$F$48="超过30%"</formula>
    </cfRule>
  </conditionalFormatting>
  <conditionalFormatting sqref="G48">
    <cfRule type="expression" dxfId="78" priority="13" stopIfTrue="1">
      <formula>$H$48="超过30%"</formula>
    </cfRule>
  </conditionalFormatting>
  <conditionalFormatting sqref="G46">
    <cfRule type="expression" dxfId="77" priority="12" stopIfTrue="1">
      <formula>$H$46="超过30%"</formula>
    </cfRule>
  </conditionalFormatting>
  <conditionalFormatting sqref="G47">
    <cfRule type="expression" dxfId="76" priority="11" stopIfTrue="1">
      <formula>$H$47="超过20%"</formula>
    </cfRule>
  </conditionalFormatting>
  <conditionalFormatting sqref="J46">
    <cfRule type="containsText" dxfId="75" priority="10" stopIfTrue="1" operator="containsText" text="超过">
      <formula>NOT(ISERROR(SEARCH("超过",J46)))</formula>
    </cfRule>
  </conditionalFormatting>
  <conditionalFormatting sqref="J48">
    <cfRule type="containsText" dxfId="74" priority="9" stopIfTrue="1" operator="containsText" text="超过">
      <formula>NOT(ISERROR(SEARCH("超过",J48)))</formula>
    </cfRule>
  </conditionalFormatting>
  <conditionalFormatting sqref="J47">
    <cfRule type="containsText" dxfId="73" priority="8" stopIfTrue="1" operator="containsText" text="超过">
      <formula>NOT(ISERROR(SEARCH("超过",J47)))</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F42">
    <cfRule type="expression" dxfId="69" priority="4">
      <formula>$D$42="简单平均"</formula>
    </cfRule>
  </conditionalFormatting>
  <conditionalFormatting sqref="H42">
    <cfRule type="expression" dxfId="68" priority="3">
      <formula>$D$42="简单平均"</formula>
    </cfRule>
  </conditionalFormatting>
  <conditionalFormatting sqref="J42">
    <cfRule type="expression" dxfId="67" priority="2">
      <formula>$D$42="简单平均"</formula>
    </cfRule>
  </conditionalFormatting>
  <conditionalFormatting sqref="F7:F40 H7:H40 J7:J40">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5" sqref="R2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0" t="s">
        <v>2083</v>
      </c>
      <c r="C1" s="3797" t="s">
        <v>2084</v>
      </c>
      <c r="D1" s="3798"/>
      <c r="E1" s="3798"/>
      <c r="F1" s="3798"/>
      <c r="G1" s="3798"/>
      <c r="H1" s="3798"/>
      <c r="I1" s="3798"/>
      <c r="J1" s="3798"/>
      <c r="K1" s="3798"/>
      <c r="L1" s="3798"/>
      <c r="M1" s="3798"/>
      <c r="N1" s="3798"/>
      <c r="O1" s="3798"/>
      <c r="P1" s="3798"/>
      <c r="Q1" s="3798"/>
      <c r="R1" s="3798"/>
      <c r="S1" s="3799"/>
      <c r="T1" s="980" t="s">
        <v>2085</v>
      </c>
    </row>
    <row r="2" spans="1:45" s="655" customFormat="1" ht="38.25">
      <c r="A2" s="981"/>
      <c r="B2" s="651" t="s">
        <v>2086</v>
      </c>
      <c r="C2" s="652" t="str">
        <f t="shared" ref="C2:L2" si="0">C3&amp;"(含)"&amp;"-"&amp;D3</f>
        <v>0(含)-1000</v>
      </c>
      <c r="D2" s="653" t="str">
        <f t="shared" si="0"/>
        <v>1000(含)-2000</v>
      </c>
      <c r="E2" s="653" t="str">
        <f t="shared" si="0"/>
        <v>2000(含)-3000</v>
      </c>
      <c r="F2" s="653" t="str">
        <f t="shared" si="0"/>
        <v>3000(含)-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2"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3"/>
      <c r="B3" s="656"/>
      <c r="C3" s="657">
        <v>0</v>
      </c>
      <c r="D3" s="658">
        <v>1000</v>
      </c>
      <c r="E3" s="658">
        <v>2000</v>
      </c>
      <c r="F3" s="1301">
        <v>3000</v>
      </c>
      <c r="G3" s="1301"/>
      <c r="H3" s="1301"/>
      <c r="I3" s="1301"/>
      <c r="J3" s="1301"/>
      <c r="K3" s="1301"/>
      <c r="L3" s="1302"/>
      <c r="M3" s="1303"/>
      <c r="N3" s="1303"/>
      <c r="O3" s="1301"/>
      <c r="P3" s="1301"/>
      <c r="Q3" s="1301"/>
      <c r="R3" s="1301"/>
      <c r="S3" s="1304"/>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4"/>
      <c r="B4" s="985"/>
      <c r="C4" s="986"/>
      <c r="D4" s="987"/>
      <c r="E4" s="987"/>
      <c r="F4" s="1305"/>
      <c r="G4" s="1305"/>
      <c r="H4" s="1305"/>
      <c r="I4" s="1305"/>
      <c r="J4" s="1305"/>
      <c r="K4" s="1305"/>
      <c r="L4" s="1305"/>
      <c r="M4" s="1306"/>
      <c r="N4" s="1306"/>
      <c r="O4" s="1305"/>
      <c r="P4" s="1305"/>
      <c r="Q4" s="1305"/>
      <c r="R4" s="1305"/>
      <c r="S4" s="1307"/>
      <c r="T4" s="990"/>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1"/>
      <c r="B5" s="1332" t="s">
        <v>2087</v>
      </c>
      <c r="C5" s="992"/>
      <c r="D5" s="993"/>
      <c r="E5" s="993"/>
      <c r="F5" s="1308"/>
      <c r="G5" s="1308"/>
      <c r="H5" s="1308"/>
      <c r="I5" s="1308"/>
      <c r="J5" s="1308"/>
      <c r="K5" s="1308"/>
      <c r="L5" s="1309"/>
      <c r="M5" s="1310"/>
      <c r="N5" s="1310"/>
      <c r="O5" s="1308"/>
      <c r="P5" s="1308"/>
      <c r="Q5" s="1308"/>
      <c r="R5" s="1308"/>
      <c r="S5" s="1311"/>
      <c r="T5" s="995"/>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1"/>
      <c r="B6" s="896"/>
      <c r="C6" s="902">
        <v>100</v>
      </c>
      <c r="D6" s="899">
        <f>C6-$T5</f>
        <v>100</v>
      </c>
      <c r="E6" s="899">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8"/>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1"/>
      <c r="B7" s="1333" t="s">
        <v>2088</v>
      </c>
      <c r="C7" s="901"/>
      <c r="D7" s="895"/>
      <c r="E7" s="895"/>
      <c r="F7" s="1313"/>
      <c r="G7" s="1313"/>
      <c r="H7" s="1313"/>
      <c r="I7" s="1313"/>
      <c r="J7" s="1313"/>
      <c r="K7" s="1313"/>
      <c r="L7" s="1313"/>
      <c r="M7" s="1314"/>
      <c r="N7" s="1315"/>
      <c r="O7" s="1316"/>
      <c r="P7" s="1317"/>
      <c r="Q7" s="1318"/>
      <c r="R7" s="1319"/>
      <c r="S7" s="1320"/>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1"/>
      <c r="B8" s="896"/>
      <c r="C8" s="902">
        <v>100</v>
      </c>
      <c r="D8" s="899">
        <f>C8-$T7</f>
        <v>100</v>
      </c>
      <c r="E8" s="899">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8"/>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1"/>
      <c r="B9" s="1333" t="s">
        <v>2089</v>
      </c>
      <c r="C9" s="901"/>
      <c r="D9" s="895"/>
      <c r="E9" s="895"/>
      <c r="F9" s="1313"/>
      <c r="G9" s="1313"/>
      <c r="H9" s="1313"/>
      <c r="I9" s="1313"/>
      <c r="J9" s="1313"/>
      <c r="K9" s="1313"/>
      <c r="L9" s="1321"/>
      <c r="M9" s="1314"/>
      <c r="N9" s="1315"/>
      <c r="O9" s="1316"/>
      <c r="P9" s="1317"/>
      <c r="Q9" s="1318"/>
      <c r="R9" s="1319"/>
      <c r="S9" s="1320"/>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1"/>
      <c r="B10" s="985"/>
      <c r="C10" s="996">
        <v>100</v>
      </c>
      <c r="D10" s="997">
        <f>C10-$T9</f>
        <v>100</v>
      </c>
      <c r="E10" s="997">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90"/>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1"/>
      <c r="B11" s="1332" t="s">
        <v>2090</v>
      </c>
      <c r="C11" s="992"/>
      <c r="D11" s="993"/>
      <c r="E11" s="993"/>
      <c r="F11" s="993"/>
      <c r="G11" s="993"/>
      <c r="H11" s="993"/>
      <c r="I11" s="993"/>
      <c r="J11" s="993"/>
      <c r="K11" s="993"/>
      <c r="L11" s="993"/>
      <c r="M11" s="994"/>
      <c r="N11" s="998"/>
      <c r="O11" s="999"/>
      <c r="P11" s="1000"/>
      <c r="Q11" s="1001"/>
      <c r="R11" s="1002"/>
      <c r="S11" s="1003"/>
      <c r="T11" s="995"/>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1"/>
      <c r="B12" s="896"/>
      <c r="C12" s="902">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1"/>
      <c r="B13" s="1332" t="s">
        <v>2091</v>
      </c>
      <c r="C13" s="992"/>
      <c r="D13" s="993"/>
      <c r="E13" s="993"/>
      <c r="F13" s="993"/>
      <c r="G13" s="993"/>
      <c r="H13" s="993"/>
      <c r="I13" s="993"/>
      <c r="J13" s="993"/>
      <c r="K13" s="993"/>
      <c r="L13" s="993"/>
      <c r="M13" s="994"/>
      <c r="N13" s="998"/>
      <c r="O13" s="999"/>
      <c r="P13" s="1000"/>
      <c r="Q13" s="1001"/>
      <c r="R13" s="1002"/>
      <c r="S13" s="1003"/>
      <c r="T13" s="1004"/>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1"/>
      <c r="B14" s="896"/>
      <c r="C14" s="900"/>
      <c r="D14" s="897"/>
      <c r="E14" s="897"/>
      <c r="F14" s="897"/>
      <c r="G14" s="897"/>
      <c r="H14" s="897"/>
      <c r="I14" s="897"/>
      <c r="J14" s="897"/>
      <c r="K14" s="897"/>
      <c r="L14" s="897"/>
      <c r="M14" s="1005"/>
      <c r="N14" s="1005"/>
      <c r="O14" s="897"/>
      <c r="P14" s="897"/>
      <c r="Q14" s="897"/>
      <c r="R14" s="897"/>
      <c r="S14" s="1006"/>
      <c r="T14" s="898"/>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1"/>
      <c r="B15" s="1332" t="s">
        <v>2092</v>
      </c>
      <c r="C15" s="992"/>
      <c r="D15" s="993"/>
      <c r="E15" s="993"/>
      <c r="F15" s="993"/>
      <c r="G15" s="993"/>
      <c r="H15" s="993"/>
      <c r="I15" s="993"/>
      <c r="J15" s="993"/>
      <c r="K15" s="993"/>
      <c r="L15" s="993"/>
      <c r="M15" s="994"/>
      <c r="N15" s="998"/>
      <c r="O15" s="999"/>
      <c r="P15" s="1000"/>
      <c r="Q15" s="1001"/>
      <c r="R15" s="1002"/>
      <c r="S15" s="1003"/>
      <c r="T15" s="1004"/>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1"/>
      <c r="B16" s="985"/>
      <c r="C16" s="986"/>
      <c r="D16" s="987"/>
      <c r="E16" s="987"/>
      <c r="F16" s="987"/>
      <c r="G16" s="987"/>
      <c r="H16" s="987"/>
      <c r="I16" s="987"/>
      <c r="J16" s="987"/>
      <c r="K16" s="987"/>
      <c r="L16" s="987"/>
      <c r="M16" s="988"/>
      <c r="N16" s="988"/>
      <c r="O16" s="987"/>
      <c r="P16" s="987"/>
      <c r="Q16" s="987"/>
      <c r="R16" s="987"/>
      <c r="S16" s="989"/>
      <c r="T16" s="990"/>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4" t="s">
        <v>2093</v>
      </c>
      <c r="B17" s="2145" t="s">
        <v>2094</v>
      </c>
      <c r="C17" s="1007">
        <v>1</v>
      </c>
      <c r="D17" s="1008">
        <v>2</v>
      </c>
      <c r="E17" s="1008" t="s">
        <v>3792</v>
      </c>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6"/>
      <c r="AS17" s="726"/>
    </row>
    <row r="18" spans="1:45" s="655" customFormat="1" ht="13.5" thickBot="1">
      <c r="A18" s="1017"/>
      <c r="B18" s="1018"/>
      <c r="C18" s="1019">
        <v>100</v>
      </c>
      <c r="D18" s="1020">
        <v>60</v>
      </c>
      <c r="E18" s="1020">
        <v>50</v>
      </c>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6"/>
      <c r="AS18" s="726"/>
    </row>
    <row r="19" spans="1:45">
      <c r="A19" s="129"/>
      <c r="B19" s="159"/>
      <c r="C19" s="159"/>
      <c r="D19" s="2146" t="s">
        <v>2095</v>
      </c>
      <c r="E19" s="1336"/>
      <c r="F19" s="1336"/>
      <c r="G19" s="1336"/>
      <c r="H19" s="1056"/>
      <c r="I19" s="159"/>
      <c r="J19" s="159"/>
      <c r="K19" s="159"/>
      <c r="L19" s="159"/>
      <c r="M19" s="159"/>
      <c r="N19" s="159"/>
      <c r="O19" s="159"/>
      <c r="P19" s="159"/>
      <c r="Q19" s="159"/>
      <c r="R19" s="718"/>
      <c r="S19" s="129"/>
    </row>
    <row r="20" spans="1:45" ht="16.5" thickBot="1">
      <c r="A20" s="662" t="s">
        <v>2096</v>
      </c>
      <c r="B20" s="294">
        <f>IF(D20="——",S22,S22-F20)</f>
        <v>8783</v>
      </c>
      <c r="C20" s="159"/>
      <c r="D20" s="2147" t="s">
        <v>43</v>
      </c>
      <c r="E20" s="1337"/>
      <c r="F20" s="980" t="e">
        <f ca="1">SUMIF(INDIRECT("'"&amp;H20&amp;"'"&amp;"!A:A"),"承租人权益价值",INDIRECT("'"&amp;H20&amp;"'"&amp;"!c:c"))</f>
        <v>#REF!</v>
      </c>
      <c r="G20" s="980" t="s">
        <v>2097</v>
      </c>
      <c r="H20" s="2148"/>
      <c r="I20" s="159"/>
      <c r="J20" s="159"/>
      <c r="K20" s="159"/>
      <c r="L20" s="159"/>
      <c r="M20" s="159"/>
      <c r="N20" s="159"/>
      <c r="O20" s="159"/>
      <c r="P20" s="159"/>
      <c r="Q20" s="159"/>
      <c r="R20" s="718"/>
      <c r="S20" s="129"/>
    </row>
    <row r="21" spans="1:45" ht="15.75">
      <c r="A21" s="662" t="s">
        <v>2098</v>
      </c>
      <c r="B21" s="294">
        <f>ROUND(B20*10000/B22,0)</f>
        <v>18846</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4660.41</v>
      </c>
      <c r="C22" s="3794" t="s">
        <v>27</v>
      </c>
      <c r="D22" s="3795"/>
      <c r="E22" s="3795"/>
      <c r="F22" s="3795"/>
      <c r="G22" s="3795"/>
      <c r="H22" s="3795"/>
      <c r="I22" s="3795"/>
      <c r="J22" s="3795"/>
      <c r="K22" s="3795"/>
      <c r="L22" s="3795"/>
      <c r="M22" s="3795"/>
      <c r="N22" s="3795"/>
      <c r="O22" s="3795"/>
      <c r="P22" s="3795"/>
      <c r="Q22" s="3796"/>
      <c r="R22" s="663">
        <f>ROUND(S22*10000/B22,0)</f>
        <v>18846</v>
      </c>
      <c r="S22" s="21">
        <f>SUM(S24:S10000)</f>
        <v>8783</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3480" t="s">
        <v>3789</v>
      </c>
      <c r="B24" s="665">
        <f>Sheet1!L90</f>
        <v>709.14999999999986</v>
      </c>
      <c r="C24" s="2806">
        <v>1</v>
      </c>
      <c r="D24" s="2807"/>
      <c r="E24" s="2806">
        <v>1</v>
      </c>
      <c r="F24" s="2807"/>
      <c r="G24" s="2806">
        <v>1</v>
      </c>
      <c r="H24" s="2807"/>
      <c r="I24" s="2806">
        <v>1</v>
      </c>
      <c r="J24" s="2807"/>
      <c r="K24" s="2806">
        <v>1</v>
      </c>
      <c r="L24" s="2807"/>
      <c r="M24" s="2806">
        <v>1</v>
      </c>
      <c r="N24" s="2807"/>
      <c r="O24" s="2806">
        <v>1</v>
      </c>
      <c r="P24" s="2807">
        <v>1</v>
      </c>
      <c r="Q24" s="2806">
        <v>1</v>
      </c>
      <c r="R24" s="668">
        <f>'比较法-商业'!C49</f>
        <v>31628</v>
      </c>
      <c r="S24" s="666">
        <f t="shared" ref="S24:S54" si="11">ROUND(R24*B24/10000,0)</f>
        <v>2243</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t="s">
        <v>3790</v>
      </c>
      <c r="B25" s="54">
        <f>Sheet1!L91</f>
        <v>922.64999999999986</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v>2</v>
      </c>
      <c r="Q25" s="21">
        <f>(SUMIF($17:$17,P25,$18:$18)-SUMIF($17:$17,$P$24,$18:$18)+100)/100</f>
        <v>0.6</v>
      </c>
      <c r="R25" s="663">
        <f>IF(B25="",0,ROUND($R$24*C25*E25*G25*I25*K25*M25*O25*Q25,0))</f>
        <v>18977</v>
      </c>
      <c r="S25" s="316">
        <f t="shared" si="11"/>
        <v>1751</v>
      </c>
    </row>
    <row r="26" spans="1:45">
      <c r="A26" s="150" t="s">
        <v>3791</v>
      </c>
      <c r="B26" s="54">
        <f>Sheet1!L89</f>
        <v>3028.6099999999997</v>
      </c>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t="s">
        <v>3792</v>
      </c>
      <c r="Q26" s="21">
        <f t="shared" ref="Q26:Q89" si="19">(SUMIF($17:$17,P26,$18:$18)-SUMIF($17:$17,$P$24,$18:$18)+100)/100</f>
        <v>0.5</v>
      </c>
      <c r="R26" s="663">
        <f t="shared" ref="R26:R89" si="20">IF(B26="",0,ROUND($R$24*C26*E26*G26*I26*K26*M26*O26*Q26,0))</f>
        <v>15814</v>
      </c>
      <c r="S26" s="316">
        <f t="shared" si="11"/>
        <v>4789</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0</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0</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0</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0</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0</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0</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0</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0</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0</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0</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0</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0</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0</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0</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0</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0</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0</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0</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0</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0</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0</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0</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0</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0</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0</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0</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0</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0</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0</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0</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0</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0</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0</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0</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0</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0</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0</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0</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0</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0</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0</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0</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0</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0</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0</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0</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0</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0</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0</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0</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0</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0</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0</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0</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0</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0</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0</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0</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0</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0</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0</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0</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0</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0</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0</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0</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0</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0</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0</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0</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0</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0</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0</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0</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0</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0</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0</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0</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0</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0</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0</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0</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0</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0</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0</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0</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0</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0</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0</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0</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0</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0</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0</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0</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0</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0</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0</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0</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0</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0</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0</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0</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0</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0</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0</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0</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0</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0</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0</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0</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0</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0</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0</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0</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0</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0</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0</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0</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0</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0</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0</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0</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0</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0</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0</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0</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0</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0</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0</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0</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0</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0</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0</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0</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0</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0</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0</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0</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0</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0</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0</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0</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0</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0</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0</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0</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0</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0</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0</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0</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0</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0</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0</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0</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0</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0</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0</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0</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0</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0</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0</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0</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0</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0</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0</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0</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0</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0</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0</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0</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0</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0</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0</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0</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0</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0</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0</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0</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0</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0</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0</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0</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0</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0</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0</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0</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0</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0</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0</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0</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0</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0</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0</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0</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0</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0</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0</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0</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0</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0</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0</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0</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0</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0</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0</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0</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0</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0</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0</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0</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0</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0</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0</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0</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0</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0</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0</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0</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0</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0</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0</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0</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0</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0</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0</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0</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0</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0</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0</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0</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0</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0</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0</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0</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0</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0</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0</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0</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0</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0</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0</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0</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0</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0</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0</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0</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0</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0</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0</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0</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0</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0</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0</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0</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0</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0</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0</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0</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0</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0</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0</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0</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0</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0</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0</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0</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0</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0</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0</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0</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0</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0</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0</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0</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0</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0</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0</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0</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0</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0</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0</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0</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0</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0</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0</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0</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0</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0</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0</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0</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0</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0</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0</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0</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0</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0</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0</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0</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0</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0</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0</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0</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0</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0</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0</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0</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0</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0</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0</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0</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0</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0</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0</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0</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0</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0</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0</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0</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0</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0</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0</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0</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0</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0</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0</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0</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0</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0</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0</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0</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0</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0</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0</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0</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0</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0</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0</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0</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0</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0</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0</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0</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0</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0</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0</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0</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0</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0</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0</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0</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0</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0</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0</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0</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0</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0</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0</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0</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0</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0</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0</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0</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0</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0</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0</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0</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0</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0</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0</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0</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0</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0</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0</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0</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0</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0</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0</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0</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0</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0</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0</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0</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0</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0</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0</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0</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0</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0</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0</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0</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0</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0</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0</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0</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0</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0</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0</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0</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0</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0</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0</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0</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0</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0</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0</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0</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0</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0</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0</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0</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0</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0</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0</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0</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0</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0</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0</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0</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0</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0</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0</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0</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0</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0</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0</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0</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0</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0</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0</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0</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0</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0</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0</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0</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0</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0</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0</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0</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0</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0</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0</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0</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0</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0</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0</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0</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0</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0</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0</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0</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0</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0</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0</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0</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0</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0</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0</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0</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0</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0</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0</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0</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0</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0</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0</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0</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0</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0</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0</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0</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0</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0</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0</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0</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0</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0</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0</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0</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0</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0</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0</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0</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0</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0</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0</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0</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0</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0</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0</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0</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0</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0</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0</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0</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0</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0</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0</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0</v>
      </c>
      <c r="R524" s="663">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20" sqref="N2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1831</v>
      </c>
      <c r="B1" s="1219" t="s">
        <v>3340</v>
      </c>
      <c r="C1" s="1220" t="s">
        <v>1662</v>
      </c>
      <c r="D1" s="1221" t="s">
        <v>3489</v>
      </c>
      <c r="E1" s="3429" t="s">
        <v>3937</v>
      </c>
      <c r="F1" s="1875" t="s">
        <v>3938</v>
      </c>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1">
        <f>IF(E1="项目模式",IF(C2="——",ROUND(C37*D3/10000,0),ROUND(C37*D3/10000,0)-D2),IF(E1="单套模式",IF(C2="——",ROUND(C37*D3/10000,4),ROUND(C37*D3/10000,4)-D2)))</f>
        <v>9067</v>
      </c>
      <c r="C2" s="1877" t="s">
        <v>43</v>
      </c>
      <c r="D2" s="904" t="e">
        <f ca="1">IF(E1="项目模式",SUMIF(INDIRECT("'"&amp;F2&amp;"'"&amp;"!A:A"),"承租人权益价值",INDIRECT("'"&amp;F2&amp;"'"&amp;"!c:c")),SUMIF(INDIRECT("'"&amp;F2&amp;"'"&amp;"!A:A"),"承租人权益价值（单套）",INDIRECT("'"&amp;F2&amp;"'"&amp;"!c:c")))</f>
        <v>#REF!</v>
      </c>
      <c r="E2" s="1878" t="s">
        <v>1463</v>
      </c>
      <c r="F2" s="1879"/>
      <c r="G2" s="905"/>
      <c r="H2" s="905"/>
      <c r="I2" s="905"/>
      <c r="J2" s="905"/>
      <c r="K2" s="907"/>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IF(C2="——",C37,ROUND(B2*10000/D3,0))</f>
        <v>10667</v>
      </c>
      <c r="C3" s="354" t="s">
        <v>1768</v>
      </c>
      <c r="D3" s="353">
        <f>SUMIF('数据-汇总表'!$C19:$C33,D1,'数据-汇总表'!$E19:$E33)</f>
        <v>8500.51</v>
      </c>
      <c r="E3" s="905"/>
      <c r="F3" s="906"/>
      <c r="G3" s="905"/>
      <c r="H3" s="905"/>
      <c r="I3" s="905"/>
      <c r="J3" s="905"/>
      <c r="K3" s="907"/>
      <c r="L3" s="2730"/>
      <c r="M3" s="2731"/>
      <c r="N3" s="2731"/>
      <c r="O3" s="2731"/>
      <c r="P3" s="699"/>
      <c r="Q3" s="699"/>
      <c r="R3" s="699"/>
      <c r="S3" s="699"/>
      <c r="T3" s="699"/>
      <c r="U3" s="699"/>
      <c r="V3" s="699"/>
      <c r="W3" s="699"/>
      <c r="X3" s="699"/>
      <c r="Y3" s="699"/>
      <c r="Z3" s="699"/>
      <c r="AA3" s="699"/>
      <c r="AB3" s="716"/>
      <c r="AC3" s="713"/>
    </row>
    <row r="4" spans="1:29" ht="15">
      <c r="A4" s="355" t="s">
        <v>1769</v>
      </c>
      <c r="B4" s="356"/>
      <c r="C4" s="3719" t="s">
        <v>1770</v>
      </c>
      <c r="D4" s="3720"/>
      <c r="E4" s="3721" t="s">
        <v>1771</v>
      </c>
      <c r="F4" s="3722"/>
      <c r="G4" s="3719" t="s">
        <v>1772</v>
      </c>
      <c r="H4" s="3720"/>
      <c r="I4" s="3719" t="s">
        <v>1773</v>
      </c>
      <c r="J4" s="3720"/>
      <c r="K4" s="559" t="s">
        <v>1774</v>
      </c>
      <c r="L4" s="2711"/>
      <c r="M4" s="2712"/>
      <c r="N4" s="2712"/>
      <c r="O4" s="2712"/>
      <c r="P4" s="3723" t="s">
        <v>1775</v>
      </c>
      <c r="Q4" s="3724"/>
      <c r="R4" s="3706" t="s">
        <v>1771</v>
      </c>
      <c r="S4" s="3707"/>
      <c r="T4" s="3706" t="s">
        <v>1772</v>
      </c>
      <c r="U4" s="3707"/>
      <c r="V4" s="3731" t="s">
        <v>1773</v>
      </c>
      <c r="W4" s="3731"/>
      <c r="X4" s="1351"/>
      <c r="Y4" s="3706" t="s">
        <v>1775</v>
      </c>
      <c r="Z4" s="3707"/>
      <c r="AA4" s="3701" t="s">
        <v>1771</v>
      </c>
      <c r="AB4" s="3702" t="s">
        <v>1772</v>
      </c>
      <c r="AC4" s="3701" t="s">
        <v>1773</v>
      </c>
    </row>
    <row r="5" spans="1:29" ht="15">
      <c r="A5" s="358"/>
      <c r="B5" s="359"/>
      <c r="C5" s="3712" t="s">
        <v>1673</v>
      </c>
      <c r="D5" s="3713"/>
      <c r="E5" s="3710" t="str">
        <f>仓储案例!$A$2</f>
        <v>永威时代中心</v>
      </c>
      <c r="F5" s="3711"/>
      <c r="G5" s="3712" t="str">
        <f>仓储案例!$A$21</f>
        <v>万达西安One</v>
      </c>
      <c r="H5" s="3713"/>
      <c r="I5" s="3781" t="s">
        <v>3978</v>
      </c>
      <c r="J5" s="3713"/>
      <c r="K5" s="559"/>
      <c r="L5" s="2711"/>
      <c r="M5" s="2712"/>
      <c r="N5" s="2712"/>
      <c r="O5" s="2712"/>
      <c r="P5" s="3725"/>
      <c r="Q5" s="3726"/>
      <c r="R5" s="3708"/>
      <c r="S5" s="3709"/>
      <c r="T5" s="3708"/>
      <c r="U5" s="3709"/>
      <c r="V5" s="3731"/>
      <c r="W5" s="3731"/>
      <c r="X5" s="1351"/>
      <c r="Y5" s="3708"/>
      <c r="Z5" s="3709"/>
      <c r="AA5" s="3702"/>
      <c r="AB5" s="3702"/>
      <c r="AC5" s="3702"/>
    </row>
    <row r="6" spans="1:29" ht="15.75" thickBot="1">
      <c r="A6" s="360"/>
      <c r="B6" s="361"/>
      <c r="C6" s="3714" t="s">
        <v>1677</v>
      </c>
      <c r="D6" s="3715"/>
      <c r="E6" s="3716" t="s">
        <v>1677</v>
      </c>
      <c r="F6" s="3717"/>
      <c r="G6" s="3714" t="s">
        <v>1677</v>
      </c>
      <c r="H6" s="3715"/>
      <c r="I6" s="3714" t="s">
        <v>1677</v>
      </c>
      <c r="J6" s="3715"/>
      <c r="K6" s="559" t="s">
        <v>1678</v>
      </c>
      <c r="L6" s="2711"/>
      <c r="M6" s="2712"/>
      <c r="N6" s="2712"/>
      <c r="O6" s="2712"/>
      <c r="P6" s="3727"/>
      <c r="Q6" s="3728"/>
      <c r="R6" s="3708"/>
      <c r="S6" s="3709"/>
      <c r="T6" s="3729"/>
      <c r="U6" s="3730"/>
      <c r="V6" s="3731"/>
      <c r="W6" s="3731"/>
      <c r="X6" s="1351"/>
      <c r="Y6" s="3729"/>
      <c r="Z6" s="3730"/>
      <c r="AA6" s="3703"/>
      <c r="AB6" s="3703"/>
      <c r="AC6" s="3703"/>
    </row>
    <row r="7" spans="1:29" s="108" customFormat="1" ht="15.75" thickBot="1">
      <c r="A7" s="362" t="s">
        <v>1679</v>
      </c>
      <c r="B7" s="363"/>
      <c r="C7" s="364">
        <f>'数据-取费表'!B2</f>
        <v>45005</v>
      </c>
      <c r="D7" s="365">
        <v>100</v>
      </c>
      <c r="E7" s="366">
        <v>44866</v>
      </c>
      <c r="F7" s="367">
        <f>SUMIF(46:46,YEAR(E7)&amp;"-"&amp;MONTH(E7),47:47)</f>
        <v>100</v>
      </c>
      <c r="G7" s="1970">
        <v>44986</v>
      </c>
      <c r="H7" s="365">
        <f>SUMIF(46:46,YEAR(G7)&amp;"-"&amp;MONTH(G7),47:47)</f>
        <v>100</v>
      </c>
      <c r="I7" s="366">
        <v>44743</v>
      </c>
      <c r="J7" s="365">
        <f>SUMIF(46:46,YEAR(I7)&amp;"-"&amp;MONTH(I7),47:47)</f>
        <v>100</v>
      </c>
      <c r="K7" s="560"/>
      <c r="L7" s="2713"/>
      <c r="M7" s="2714"/>
      <c r="N7" s="2714"/>
      <c r="O7" s="2714"/>
      <c r="P7" s="3704" t="s">
        <v>1680</v>
      </c>
      <c r="Q7" s="3732"/>
      <c r="R7" s="701" t="s">
        <v>14</v>
      </c>
      <c r="S7" s="702">
        <f t="shared" ref="S7:S14" si="0">F7</f>
        <v>100</v>
      </c>
      <c r="T7" s="701" t="s">
        <v>14</v>
      </c>
      <c r="U7" s="702">
        <f t="shared" ref="U7:U14" si="1">H7</f>
        <v>100</v>
      </c>
      <c r="V7" s="701" t="s">
        <v>14</v>
      </c>
      <c r="W7" s="702">
        <f t="shared" ref="W7:W14" si="2">J7</f>
        <v>100</v>
      </c>
      <c r="X7" s="703"/>
      <c r="Y7" s="3704" t="s">
        <v>1680</v>
      </c>
      <c r="Z7" s="3705"/>
      <c r="AA7" s="704">
        <f>D7/F7</f>
        <v>1</v>
      </c>
      <c r="AB7" s="704">
        <f>D7/H7</f>
        <v>1</v>
      </c>
      <c r="AC7" s="704">
        <f>D7/J7</f>
        <v>1</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704" t="s">
        <v>1683</v>
      </c>
      <c r="Q8" s="3705"/>
      <c r="R8" s="701" t="s">
        <v>14</v>
      </c>
      <c r="S8" s="702">
        <f t="shared" si="0"/>
        <v>100</v>
      </c>
      <c r="T8" s="701" t="s">
        <v>14</v>
      </c>
      <c r="U8" s="702">
        <f t="shared" si="1"/>
        <v>100</v>
      </c>
      <c r="V8" s="701" t="s">
        <v>14</v>
      </c>
      <c r="W8" s="702">
        <f t="shared" si="2"/>
        <v>100</v>
      </c>
      <c r="X8" s="703"/>
      <c r="Y8" s="3704" t="s">
        <v>1683</v>
      </c>
      <c r="Z8" s="370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718" t="s">
        <v>1686</v>
      </c>
      <c r="Q9" s="1339" t="str">
        <f t="shared" ref="Q9:Q14" si="6">B9</f>
        <v>用途</v>
      </c>
      <c r="R9" s="701" t="s">
        <v>14</v>
      </c>
      <c r="S9" s="702">
        <f t="shared" si="0"/>
        <v>100</v>
      </c>
      <c r="T9" s="701" t="s">
        <v>14</v>
      </c>
      <c r="U9" s="702">
        <f t="shared" si="1"/>
        <v>100</v>
      </c>
      <c r="V9" s="701" t="s">
        <v>14</v>
      </c>
      <c r="W9" s="702">
        <f t="shared" si="2"/>
        <v>100</v>
      </c>
      <c r="X9" s="703"/>
      <c r="Y9" s="3674" t="s">
        <v>1687</v>
      </c>
      <c r="Z9" s="52" t="str">
        <f t="shared" ref="Z9:Z14" si="7">Q9</f>
        <v>用途</v>
      </c>
      <c r="AA9" s="704">
        <f t="shared" si="3"/>
        <v>1</v>
      </c>
      <c r="AB9" s="704">
        <f t="shared" si="4"/>
        <v>1</v>
      </c>
      <c r="AC9" s="704">
        <f t="shared" si="5"/>
        <v>1</v>
      </c>
    </row>
    <row r="10" spans="1:29" s="378" customFormat="1" ht="27">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718"/>
      <c r="Q10" s="1339" t="str">
        <f t="shared" si="6"/>
        <v>土地使用年限（年）</v>
      </c>
      <c r="R10" s="701" t="s">
        <v>14</v>
      </c>
      <c r="S10" s="702">
        <f t="shared" si="0"/>
        <v>100</v>
      </c>
      <c r="T10" s="701" t="s">
        <v>14</v>
      </c>
      <c r="U10" s="702">
        <f t="shared" si="1"/>
        <v>100</v>
      </c>
      <c r="V10" s="701" t="s">
        <v>14</v>
      </c>
      <c r="W10" s="702">
        <f t="shared" si="2"/>
        <v>100</v>
      </c>
      <c r="X10" s="703"/>
      <c r="Y10" s="3674"/>
      <c r="Z10" s="52" t="str">
        <f t="shared" si="7"/>
        <v>土地使用年限（年）</v>
      </c>
      <c r="AA10" s="704">
        <f t="shared" si="3"/>
        <v>1</v>
      </c>
      <c r="AB10" s="704">
        <f t="shared" si="4"/>
        <v>1</v>
      </c>
      <c r="AC10" s="704">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718"/>
      <c r="Q11" s="1339">
        <f t="shared" si="6"/>
        <v>111</v>
      </c>
      <c r="R11" s="701" t="s">
        <v>14</v>
      </c>
      <c r="S11" s="702">
        <f t="shared" si="0"/>
        <v>100</v>
      </c>
      <c r="T11" s="701" t="s">
        <v>14</v>
      </c>
      <c r="U11" s="702">
        <f t="shared" si="1"/>
        <v>100</v>
      </c>
      <c r="V11" s="701" t="s">
        <v>14</v>
      </c>
      <c r="W11" s="702">
        <f t="shared" si="2"/>
        <v>100</v>
      </c>
      <c r="X11" s="703"/>
      <c r="Y11" s="3674"/>
      <c r="Z11" s="52">
        <f t="shared" si="7"/>
        <v>111</v>
      </c>
      <c r="AA11" s="704">
        <f t="shared" si="3"/>
        <v>1</v>
      </c>
      <c r="AB11" s="704">
        <f t="shared" si="4"/>
        <v>1</v>
      </c>
      <c r="AC11" s="704">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718"/>
      <c r="Q12" s="1339">
        <f t="shared" si="6"/>
        <v>111</v>
      </c>
      <c r="R12" s="701" t="s">
        <v>14</v>
      </c>
      <c r="S12" s="702">
        <f t="shared" si="0"/>
        <v>100</v>
      </c>
      <c r="T12" s="701" t="s">
        <v>14</v>
      </c>
      <c r="U12" s="702">
        <f t="shared" si="1"/>
        <v>100</v>
      </c>
      <c r="V12" s="701" t="s">
        <v>14</v>
      </c>
      <c r="W12" s="702">
        <f t="shared" si="2"/>
        <v>100</v>
      </c>
      <c r="X12" s="703"/>
      <c r="Y12" s="3674"/>
      <c r="Z12" s="52">
        <f t="shared" si="7"/>
        <v>111</v>
      </c>
      <c r="AA12" s="704">
        <f>D12/F12</f>
        <v>1</v>
      </c>
      <c r="AB12" s="704">
        <f>D12/H12</f>
        <v>1</v>
      </c>
      <c r="AC12" s="704">
        <f>D12/J12</f>
        <v>1</v>
      </c>
    </row>
    <row r="13" spans="1:29" ht="15.75" thickBot="1">
      <c r="A13" s="379"/>
      <c r="B13" s="1889">
        <v>111</v>
      </c>
      <c r="C13" s="385"/>
      <c r="D13" s="386">
        <v>100</v>
      </c>
      <c r="E13" s="420"/>
      <c r="F13" s="376">
        <f>SUMIF(59:59,E13,60:60)-SUMIF(59:59,C13,60:60)+100</f>
        <v>100</v>
      </c>
      <c r="G13" s="1971"/>
      <c r="H13" s="389">
        <f>SUMIF(59:59,G13,60:60)-SUMIF(59:59,C13,60:60)+100</f>
        <v>100</v>
      </c>
      <c r="I13" s="420"/>
      <c r="J13" s="386">
        <f>SUMIF(59:59,I13,60:60)-SUMIF(59:59,C13,60:60)+100</f>
        <v>100</v>
      </c>
      <c r="K13" s="562"/>
      <c r="L13" s="2718"/>
      <c r="M13" s="2712"/>
      <c r="N13" s="2712"/>
      <c r="O13" s="2770"/>
      <c r="P13" s="3718"/>
      <c r="Q13" s="1339">
        <f t="shared" si="6"/>
        <v>111</v>
      </c>
      <c r="R13" s="701" t="s">
        <v>14</v>
      </c>
      <c r="S13" s="702">
        <f t="shared" si="0"/>
        <v>100</v>
      </c>
      <c r="T13" s="701" t="s">
        <v>14</v>
      </c>
      <c r="U13" s="702">
        <f t="shared" si="1"/>
        <v>100</v>
      </c>
      <c r="V13" s="701" t="s">
        <v>14</v>
      </c>
      <c r="W13" s="702">
        <f t="shared" si="2"/>
        <v>100</v>
      </c>
      <c r="X13" s="703"/>
      <c r="Y13" s="3674"/>
      <c r="Z13" s="52">
        <f t="shared" si="7"/>
        <v>111</v>
      </c>
      <c r="AA13" s="704">
        <f t="shared" si="3"/>
        <v>1</v>
      </c>
      <c r="AB13" s="704">
        <f t="shared" si="4"/>
        <v>1</v>
      </c>
      <c r="AC13" s="704">
        <f t="shared" si="5"/>
        <v>1</v>
      </c>
    </row>
    <row r="14" spans="1:29" ht="85.5">
      <c r="A14" s="391" t="s">
        <v>1690</v>
      </c>
      <c r="B14" s="61" t="s">
        <v>1833</v>
      </c>
      <c r="C14" s="1967"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733" t="s">
        <v>1691</v>
      </c>
      <c r="Q14" s="1348" t="str">
        <f t="shared" si="6"/>
        <v>交通便捷度</v>
      </c>
      <c r="R14" s="705" t="s">
        <v>14</v>
      </c>
      <c r="S14" s="706">
        <f t="shared" si="0"/>
        <v>100</v>
      </c>
      <c r="T14" s="705" t="s">
        <v>14</v>
      </c>
      <c r="U14" s="706">
        <f t="shared" si="1"/>
        <v>100</v>
      </c>
      <c r="V14" s="705" t="s">
        <v>14</v>
      </c>
      <c r="W14" s="706">
        <f t="shared" si="2"/>
        <v>100</v>
      </c>
      <c r="X14" s="1351"/>
      <c r="Y14" s="3733" t="s">
        <v>1691</v>
      </c>
      <c r="Z14" s="1352" t="str">
        <f t="shared" si="7"/>
        <v>交通便捷度</v>
      </c>
      <c r="AA14" s="1349">
        <f t="shared" si="3"/>
        <v>1</v>
      </c>
      <c r="AB14" s="1349">
        <f t="shared" si="4"/>
        <v>1</v>
      </c>
      <c r="AC14" s="1349">
        <f t="shared" si="5"/>
        <v>1</v>
      </c>
    </row>
    <row r="15" spans="1:29" ht="15">
      <c r="A15" s="379"/>
      <c r="B15" s="397"/>
      <c r="C15" s="398"/>
      <c r="D15" s="399"/>
      <c r="E15" s="398"/>
      <c r="F15" s="400"/>
      <c r="G15" s="398"/>
      <c r="H15" s="401"/>
      <c r="I15" s="398"/>
      <c r="J15" s="399"/>
      <c r="K15" s="564"/>
      <c r="L15" s="2718"/>
      <c r="M15" s="2712"/>
      <c r="N15" s="2712"/>
      <c r="O15" s="2770"/>
      <c r="P15" s="3734"/>
      <c r="Q15" s="1348"/>
      <c r="R15" s="705"/>
      <c r="S15" s="706"/>
      <c r="T15" s="705"/>
      <c r="U15" s="706"/>
      <c r="V15" s="705"/>
      <c r="W15" s="706"/>
      <c r="X15" s="1351"/>
      <c r="Y15" s="3734"/>
      <c r="Z15" s="1352"/>
      <c r="AA15" s="1349">
        <v>1</v>
      </c>
      <c r="AB15" s="1349">
        <v>1</v>
      </c>
      <c r="AC15" s="1349">
        <v>1</v>
      </c>
    </row>
    <row r="16" spans="1:29" ht="42.75">
      <c r="A16" s="379"/>
      <c r="B16" s="402" t="s">
        <v>1812</v>
      </c>
      <c r="C16" s="1896"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734"/>
      <c r="Q16" s="1348" t="str">
        <f>B16</f>
        <v>公共配套设施</v>
      </c>
      <c r="R16" s="705" t="s">
        <v>14</v>
      </c>
      <c r="S16" s="706">
        <f>F16</f>
        <v>100</v>
      </c>
      <c r="T16" s="705" t="s">
        <v>14</v>
      </c>
      <c r="U16" s="706">
        <f>H16</f>
        <v>100</v>
      </c>
      <c r="V16" s="705" t="s">
        <v>14</v>
      </c>
      <c r="W16" s="706">
        <f>J16</f>
        <v>100</v>
      </c>
      <c r="X16" s="1351"/>
      <c r="Y16" s="3734"/>
      <c r="Z16" s="1352" t="str">
        <f>Q16</f>
        <v>公共配套设施</v>
      </c>
      <c r="AA16" s="1349">
        <f t="shared" si="3"/>
        <v>1</v>
      </c>
      <c r="AB16" s="1349">
        <f t="shared" si="4"/>
        <v>1</v>
      </c>
      <c r="AC16" s="1349">
        <f t="shared" si="5"/>
        <v>1</v>
      </c>
    </row>
    <row r="17" spans="1:29" ht="15">
      <c r="A17" s="379"/>
      <c r="B17" s="407"/>
      <c r="C17" s="1897"/>
      <c r="D17" s="399"/>
      <c r="E17" s="398"/>
      <c r="F17" s="400"/>
      <c r="G17" s="398"/>
      <c r="H17" s="399"/>
      <c r="I17" s="398"/>
      <c r="J17" s="399"/>
      <c r="K17" s="564"/>
      <c r="L17" s="2718"/>
      <c r="M17" s="2712"/>
      <c r="N17" s="2712"/>
      <c r="O17" s="2770"/>
      <c r="P17" s="3734"/>
      <c r="Q17" s="1348"/>
      <c r="R17" s="705"/>
      <c r="S17" s="706"/>
      <c r="T17" s="705"/>
      <c r="U17" s="706"/>
      <c r="V17" s="705"/>
      <c r="W17" s="706"/>
      <c r="X17" s="1351"/>
      <c r="Y17" s="3734"/>
      <c r="Z17" s="1352"/>
      <c r="AA17" s="1349">
        <v>1</v>
      </c>
      <c r="AB17" s="1349">
        <v>1</v>
      </c>
      <c r="AC17" s="1349">
        <v>1</v>
      </c>
    </row>
    <row r="18" spans="1:29" ht="28.5">
      <c r="A18" s="379"/>
      <c r="B18" s="1128" t="s">
        <v>1813</v>
      </c>
      <c r="C18" s="1896"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734"/>
      <c r="Q18" s="1348" t="str">
        <f>B18</f>
        <v>基础设施水平</v>
      </c>
      <c r="R18" s="705" t="s">
        <v>14</v>
      </c>
      <c r="S18" s="706">
        <f>F18</f>
        <v>100</v>
      </c>
      <c r="T18" s="705" t="s">
        <v>14</v>
      </c>
      <c r="U18" s="706">
        <f>H18</f>
        <v>100</v>
      </c>
      <c r="V18" s="705" t="s">
        <v>14</v>
      </c>
      <c r="W18" s="706">
        <f>J18</f>
        <v>100</v>
      </c>
      <c r="X18" s="1351"/>
      <c r="Y18" s="3734"/>
      <c r="Z18" s="1352" t="str">
        <f>Q18</f>
        <v>基础设施水平</v>
      </c>
      <c r="AA18" s="1349">
        <f t="shared" ref="AA18" si="8">D18/F18</f>
        <v>1</v>
      </c>
      <c r="AB18" s="1349">
        <f t="shared" ref="AB18" si="9">D18/H18</f>
        <v>1</v>
      </c>
      <c r="AC18" s="1349">
        <f t="shared" ref="AC18" si="10">D18/J18</f>
        <v>1</v>
      </c>
    </row>
    <row r="19" spans="1:29" ht="15">
      <c r="A19" s="379"/>
      <c r="B19" s="1128"/>
      <c r="C19" s="1897"/>
      <c r="D19" s="401"/>
      <c r="E19" s="1897"/>
      <c r="F19" s="404"/>
      <c r="G19" s="1897"/>
      <c r="H19" s="399"/>
      <c r="I19" s="398"/>
      <c r="J19" s="399"/>
      <c r="K19" s="1127"/>
      <c r="L19" s="2718"/>
      <c r="M19" s="2712"/>
      <c r="N19" s="2712"/>
      <c r="O19" s="2770"/>
      <c r="P19" s="3734"/>
      <c r="Q19" s="1348"/>
      <c r="R19" s="705"/>
      <c r="S19" s="706"/>
      <c r="T19" s="705"/>
      <c r="U19" s="706"/>
      <c r="V19" s="705"/>
      <c r="W19" s="706"/>
      <c r="X19" s="1351"/>
      <c r="Y19" s="3734"/>
      <c r="Z19" s="1352"/>
      <c r="AA19" s="1349">
        <v>1</v>
      </c>
      <c r="AB19" s="1349">
        <v>1</v>
      </c>
      <c r="AC19" s="1349">
        <v>1</v>
      </c>
    </row>
    <row r="20" spans="1:29" ht="57">
      <c r="A20" s="379"/>
      <c r="B20" s="402" t="s">
        <v>1834</v>
      </c>
      <c r="C20" s="1896"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734"/>
      <c r="Q20" s="1348" t="str">
        <f>B20</f>
        <v>自然及人文环境</v>
      </c>
      <c r="R20" s="705" t="s">
        <v>14</v>
      </c>
      <c r="S20" s="706">
        <f>F20</f>
        <v>100</v>
      </c>
      <c r="T20" s="705" t="s">
        <v>14</v>
      </c>
      <c r="U20" s="706">
        <f>H20</f>
        <v>100</v>
      </c>
      <c r="V20" s="705" t="s">
        <v>14</v>
      </c>
      <c r="W20" s="706">
        <f>J20</f>
        <v>100</v>
      </c>
      <c r="X20" s="1351"/>
      <c r="Y20" s="3734"/>
      <c r="Z20" s="1352" t="str">
        <f>Q20</f>
        <v>自然及人文环境</v>
      </c>
      <c r="AA20" s="1349">
        <f t="shared" si="3"/>
        <v>1</v>
      </c>
      <c r="AB20" s="1349">
        <f t="shared" si="4"/>
        <v>1</v>
      </c>
      <c r="AC20" s="1349">
        <f t="shared" si="5"/>
        <v>1</v>
      </c>
    </row>
    <row r="21" spans="1:29" ht="15">
      <c r="A21" s="379"/>
      <c r="B21" s="407"/>
      <c r="C21" s="398"/>
      <c r="D21" s="399"/>
      <c r="E21" s="398"/>
      <c r="F21" s="400"/>
      <c r="G21" s="398"/>
      <c r="H21" s="399"/>
      <c r="I21" s="398"/>
      <c r="J21" s="399"/>
      <c r="K21" s="564"/>
      <c r="L21" s="2718"/>
      <c r="M21" s="2712"/>
      <c r="N21" s="2712"/>
      <c r="O21" s="2770"/>
      <c r="P21" s="3734"/>
      <c r="Q21" s="1348"/>
      <c r="R21" s="705"/>
      <c r="S21" s="706"/>
      <c r="T21" s="705"/>
      <c r="U21" s="706"/>
      <c r="V21" s="705"/>
      <c r="W21" s="706"/>
      <c r="X21" s="1351"/>
      <c r="Y21" s="3734"/>
      <c r="Z21" s="1352"/>
      <c r="AA21" s="1349">
        <v>1</v>
      </c>
      <c r="AB21" s="1349">
        <v>1</v>
      </c>
      <c r="AC21" s="1349">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734"/>
      <c r="Q22" s="1348" t="str">
        <f>B22</f>
        <v>楼层</v>
      </c>
      <c r="R22" s="705" t="s">
        <v>14</v>
      </c>
      <c r="S22" s="706">
        <f>F22</f>
        <v>100</v>
      </c>
      <c r="T22" s="705" t="s">
        <v>14</v>
      </c>
      <c r="U22" s="706">
        <f>H22</f>
        <v>100</v>
      </c>
      <c r="V22" s="705" t="s">
        <v>14</v>
      </c>
      <c r="W22" s="706">
        <f>J22</f>
        <v>100</v>
      </c>
      <c r="X22" s="1351"/>
      <c r="Y22" s="3734"/>
      <c r="Z22" s="1352" t="str">
        <f>Q22</f>
        <v>楼层</v>
      </c>
      <c r="AA22" s="1349">
        <f t="shared" si="3"/>
        <v>1</v>
      </c>
      <c r="AB22" s="1349">
        <f t="shared" si="4"/>
        <v>1</v>
      </c>
      <c r="AC22" s="1349">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734"/>
      <c r="Q23" s="1348">
        <f>B23</f>
        <v>111</v>
      </c>
      <c r="R23" s="705" t="s">
        <v>14</v>
      </c>
      <c r="S23" s="706">
        <f>F23</f>
        <v>100</v>
      </c>
      <c r="T23" s="705" t="s">
        <v>14</v>
      </c>
      <c r="U23" s="706">
        <f>H23</f>
        <v>100</v>
      </c>
      <c r="V23" s="705" t="s">
        <v>14</v>
      </c>
      <c r="W23" s="706">
        <f>J23</f>
        <v>100</v>
      </c>
      <c r="X23" s="1351"/>
      <c r="Y23" s="3734"/>
      <c r="Z23" s="1352">
        <f>Q23</f>
        <v>111</v>
      </c>
      <c r="AA23" s="1349">
        <f t="shared" si="3"/>
        <v>1</v>
      </c>
      <c r="AB23" s="1349">
        <f t="shared" si="4"/>
        <v>1</v>
      </c>
      <c r="AC23" s="1349">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734"/>
      <c r="Q24" s="1348">
        <f t="shared" ref="Q24:Q34" si="11">B24</f>
        <v>111</v>
      </c>
      <c r="R24" s="705" t="s">
        <v>14</v>
      </c>
      <c r="S24" s="706">
        <f>F24</f>
        <v>100</v>
      </c>
      <c r="T24" s="705" t="s">
        <v>14</v>
      </c>
      <c r="U24" s="706">
        <f>H24</f>
        <v>100</v>
      </c>
      <c r="V24" s="705" t="s">
        <v>14</v>
      </c>
      <c r="W24" s="706">
        <f>J24</f>
        <v>100</v>
      </c>
      <c r="X24" s="1351"/>
      <c r="Y24" s="3734"/>
      <c r="Z24" s="1352">
        <f>Q24</f>
        <v>111</v>
      </c>
      <c r="AA24" s="1349">
        <f t="shared" si="3"/>
        <v>1</v>
      </c>
      <c r="AB24" s="1349">
        <f t="shared" si="4"/>
        <v>1</v>
      </c>
      <c r="AC24" s="1349">
        <f t="shared" si="5"/>
        <v>1</v>
      </c>
    </row>
    <row r="25" spans="1:29" s="108" customFormat="1" ht="15.75" thickBot="1">
      <c r="A25" s="382"/>
      <c r="B25" s="1889">
        <v>111</v>
      </c>
      <c r="C25" s="1972"/>
      <c r="D25" s="613">
        <v>100</v>
      </c>
      <c r="E25" s="1972"/>
      <c r="F25" s="614">
        <f>SUMIF(75:75,E25,76:76)-SUMIF(75:75,C25,76:76)+100</f>
        <v>100</v>
      </c>
      <c r="G25" s="1972"/>
      <c r="H25" s="613">
        <f>SUMIF(75:75,G25,76:76)-SUMIF(75:75,C25,76:76)+100</f>
        <v>100</v>
      </c>
      <c r="I25" s="1972"/>
      <c r="J25" s="613">
        <f>SUMIF(75:75,I25,76:76)-SUMIF(75:75,C25,76:76)+100</f>
        <v>100</v>
      </c>
      <c r="K25" s="562"/>
      <c r="L25" s="2713"/>
      <c r="M25" s="2714"/>
      <c r="N25" s="2714"/>
      <c r="O25" s="2768"/>
      <c r="P25" s="3734"/>
      <c r="Q25" s="1339">
        <f t="shared" si="11"/>
        <v>111</v>
      </c>
      <c r="R25" s="701" t="s">
        <v>14</v>
      </c>
      <c r="S25" s="702">
        <f>F25</f>
        <v>100</v>
      </c>
      <c r="T25" s="701" t="s">
        <v>14</v>
      </c>
      <c r="U25" s="702">
        <f>H25</f>
        <v>100</v>
      </c>
      <c r="V25" s="701" t="s">
        <v>14</v>
      </c>
      <c r="W25" s="702">
        <f>J25</f>
        <v>100</v>
      </c>
      <c r="X25" s="703"/>
      <c r="Y25" s="3734"/>
      <c r="Z25" s="52">
        <f>Q25</f>
        <v>111</v>
      </c>
      <c r="AA25" s="1349">
        <f>D25/F25</f>
        <v>1</v>
      </c>
      <c r="AB25" s="1349">
        <f>D25/H25</f>
        <v>1</v>
      </c>
      <c r="AC25" s="1349">
        <f>D25/J25</f>
        <v>1</v>
      </c>
    </row>
    <row r="26" spans="1:29" ht="28.5">
      <c r="A26" s="417" t="s">
        <v>1694</v>
      </c>
      <c r="B26" s="63" t="s">
        <v>1838</v>
      </c>
      <c r="C26" s="1963"/>
      <c r="D26" s="418">
        <v>100</v>
      </c>
      <c r="E26" s="1963"/>
      <c r="F26" s="615">
        <f>SUMIF(77:77,E26,78:78)-SUMIF(77:77,C26,78:78)+100</f>
        <v>100</v>
      </c>
      <c r="G26" s="1963"/>
      <c r="H26" s="418">
        <f>SUMIF(77:77,G26,78:78)-SUMIF(77:77,C26,78:78)+100</f>
        <v>100</v>
      </c>
      <c r="I26" s="1963"/>
      <c r="J26" s="418">
        <f>SUMIF(77:77,I26,78:78)-SUMIF(77:77,C26,78:78)+100</f>
        <v>100</v>
      </c>
      <c r="K26" s="561"/>
      <c r="L26" s="2718"/>
      <c r="M26" s="2712"/>
      <c r="N26" s="2712"/>
      <c r="O26" s="2770"/>
      <c r="P26" s="3735" t="s">
        <v>1696</v>
      </c>
      <c r="Q26" s="1348" t="str">
        <f t="shared" si="11"/>
        <v>公共部分装修</v>
      </c>
      <c r="R26" s="705" t="s">
        <v>14</v>
      </c>
      <c r="S26" s="706">
        <f t="shared" ref="S26:S34" si="12">F26</f>
        <v>100</v>
      </c>
      <c r="T26" s="705" t="s">
        <v>14</v>
      </c>
      <c r="U26" s="706">
        <f t="shared" ref="U26:U34" si="13">H26</f>
        <v>100</v>
      </c>
      <c r="V26" s="705" t="s">
        <v>14</v>
      </c>
      <c r="W26" s="706">
        <f t="shared" ref="W26:W34" si="14">J26</f>
        <v>100</v>
      </c>
      <c r="X26" s="1351"/>
      <c r="Y26" s="3736" t="s">
        <v>1696</v>
      </c>
      <c r="Z26" s="1352" t="str">
        <f t="shared" ref="Z26:Z34" si="15">Q26</f>
        <v>公共部分装修</v>
      </c>
      <c r="AA26" s="1349">
        <f t="shared" si="3"/>
        <v>1</v>
      </c>
      <c r="AB26" s="1349">
        <f t="shared" si="4"/>
        <v>1</v>
      </c>
      <c r="AC26" s="1349">
        <f t="shared" si="5"/>
        <v>1</v>
      </c>
    </row>
    <row r="27" spans="1:29" s="422" customFormat="1" ht="15">
      <c r="A27" s="419"/>
      <c r="B27" s="375" t="s">
        <v>1839</v>
      </c>
      <c r="C27" s="425">
        <v>1</v>
      </c>
      <c r="D27" s="127">
        <v>100</v>
      </c>
      <c r="E27" s="426">
        <v>1</v>
      </c>
      <c r="F27" s="412">
        <f>LOOKUP(E27,80:80,81:81)-LOOKUP(C27,80:80,81:81)+100</f>
        <v>100</v>
      </c>
      <c r="G27" s="427">
        <v>1</v>
      </c>
      <c r="H27" s="386">
        <f>LOOKUP(G27,80:80,81:81)-LOOKUP(C27,80:80,81:81)+100</f>
        <v>100</v>
      </c>
      <c r="I27" s="427">
        <v>1</v>
      </c>
      <c r="J27" s="386">
        <f>LOOKUP(I27,80:80,81:81)-LOOKUP(C27,80:80,81:81)+100</f>
        <v>100</v>
      </c>
      <c r="K27" s="561"/>
      <c r="L27" s="2717"/>
      <c r="M27" s="2719"/>
      <c r="N27" s="2719"/>
      <c r="O27" s="2771"/>
      <c r="P27" s="3736"/>
      <c r="Q27" s="707" t="str">
        <f t="shared" si="11"/>
        <v>成新率</v>
      </c>
      <c r="R27" s="708" t="s">
        <v>14</v>
      </c>
      <c r="S27" s="709">
        <f t="shared" si="12"/>
        <v>100</v>
      </c>
      <c r="T27" s="708" t="s">
        <v>14</v>
      </c>
      <c r="U27" s="709">
        <f t="shared" si="13"/>
        <v>100</v>
      </c>
      <c r="V27" s="708" t="s">
        <v>14</v>
      </c>
      <c r="W27" s="709">
        <f t="shared" si="14"/>
        <v>100</v>
      </c>
      <c r="X27" s="710"/>
      <c r="Y27" s="3736"/>
      <c r="Z27" s="711" t="str">
        <f t="shared" si="15"/>
        <v>成新率</v>
      </c>
      <c r="AA27" s="1349">
        <f t="shared" si="3"/>
        <v>1</v>
      </c>
      <c r="AB27" s="1349">
        <f t="shared" si="4"/>
        <v>1</v>
      </c>
      <c r="AC27" s="1349">
        <f t="shared" si="5"/>
        <v>1</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736"/>
      <c r="Q28" s="1348" t="str">
        <f t="shared" si="11"/>
        <v>物业等级</v>
      </c>
      <c r="R28" s="705" t="s">
        <v>14</v>
      </c>
      <c r="S28" s="706">
        <f t="shared" si="12"/>
        <v>100</v>
      </c>
      <c r="T28" s="705" t="s">
        <v>14</v>
      </c>
      <c r="U28" s="706">
        <f t="shared" si="13"/>
        <v>100</v>
      </c>
      <c r="V28" s="705" t="s">
        <v>14</v>
      </c>
      <c r="W28" s="706">
        <f t="shared" si="14"/>
        <v>100</v>
      </c>
      <c r="X28" s="1351"/>
      <c r="Y28" s="3736"/>
      <c r="Z28" s="1352" t="str">
        <f t="shared" si="15"/>
        <v>物业等级</v>
      </c>
      <c r="AA28" s="1349">
        <f t="shared" si="3"/>
        <v>1</v>
      </c>
      <c r="AB28" s="1349">
        <f t="shared" si="4"/>
        <v>1</v>
      </c>
      <c r="AC28" s="1349">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736"/>
      <c r="Q29" s="1348" t="str">
        <f t="shared" si="11"/>
        <v>有无电梯</v>
      </c>
      <c r="R29" s="705" t="s">
        <v>14</v>
      </c>
      <c r="S29" s="706">
        <f t="shared" si="12"/>
        <v>100</v>
      </c>
      <c r="T29" s="705" t="s">
        <v>14</v>
      </c>
      <c r="U29" s="706">
        <f t="shared" si="13"/>
        <v>100</v>
      </c>
      <c r="V29" s="705" t="s">
        <v>14</v>
      </c>
      <c r="W29" s="706">
        <f t="shared" si="14"/>
        <v>100</v>
      </c>
      <c r="X29" s="1351"/>
      <c r="Y29" s="3736"/>
      <c r="Z29" s="1352" t="str">
        <f t="shared" si="15"/>
        <v>有无电梯</v>
      </c>
      <c r="AA29" s="1349">
        <f t="shared" si="3"/>
        <v>1</v>
      </c>
      <c r="AB29" s="1349">
        <f t="shared" si="4"/>
        <v>1</v>
      </c>
      <c r="AC29" s="1349">
        <f t="shared" si="5"/>
        <v>1</v>
      </c>
    </row>
    <row r="30" spans="1:29" ht="15">
      <c r="A30" s="423"/>
      <c r="B30" s="375" t="s">
        <v>1861</v>
      </c>
      <c r="C30" s="420"/>
      <c r="D30" s="386">
        <v>100</v>
      </c>
      <c r="E30" s="420"/>
      <c r="F30" s="412">
        <f>LOOKUP(E30,87:87,88:88)-LOOKUP(C30,87:87,88:88)+100</f>
        <v>100</v>
      </c>
      <c r="G30" s="420"/>
      <c r="H30" s="386">
        <f>LOOKUP(G30,87:87,88:88)-LOOKUP(C30,87:87,88:88)+100</f>
        <v>100</v>
      </c>
      <c r="I30" s="420"/>
      <c r="J30" s="386">
        <f>LOOKUP(I30,87:87,88:88)-LOOKUP(C30,87:87,88:88)+100</f>
        <v>100</v>
      </c>
      <c r="K30" s="562"/>
      <c r="L30" s="2718"/>
      <c r="M30" s="2712"/>
      <c r="N30" s="2712"/>
      <c r="O30" s="2770"/>
      <c r="P30" s="3736"/>
      <c r="Q30" s="1348" t="str">
        <f t="shared" si="11"/>
        <v>建筑面积</v>
      </c>
      <c r="R30" s="705" t="s">
        <v>14</v>
      </c>
      <c r="S30" s="706">
        <f t="shared" si="12"/>
        <v>100</v>
      </c>
      <c r="T30" s="705" t="s">
        <v>14</v>
      </c>
      <c r="U30" s="706">
        <f t="shared" si="13"/>
        <v>100</v>
      </c>
      <c r="V30" s="705" t="s">
        <v>14</v>
      </c>
      <c r="W30" s="706">
        <f t="shared" si="14"/>
        <v>100</v>
      </c>
      <c r="X30" s="1351"/>
      <c r="Y30" s="3736"/>
      <c r="Z30" s="1352" t="str">
        <f t="shared" si="15"/>
        <v>建筑面积</v>
      </c>
      <c r="AA30" s="1349">
        <f t="shared" si="3"/>
        <v>1</v>
      </c>
      <c r="AB30" s="1349">
        <f t="shared" si="4"/>
        <v>1</v>
      </c>
      <c r="AC30" s="1349">
        <f t="shared" si="5"/>
        <v>1</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736"/>
      <c r="Q31" s="1339" t="str">
        <f t="shared" si="11"/>
        <v>是否封闭</v>
      </c>
      <c r="R31" s="701" t="s">
        <v>14</v>
      </c>
      <c r="S31" s="702">
        <f t="shared" si="12"/>
        <v>100</v>
      </c>
      <c r="T31" s="701" t="s">
        <v>14</v>
      </c>
      <c r="U31" s="702">
        <f t="shared" si="13"/>
        <v>100</v>
      </c>
      <c r="V31" s="701" t="s">
        <v>14</v>
      </c>
      <c r="W31" s="702">
        <f t="shared" si="14"/>
        <v>100</v>
      </c>
      <c r="X31" s="703"/>
      <c r="Y31" s="3736"/>
      <c r="Z31" s="52" t="str">
        <f t="shared" si="15"/>
        <v>是否封闭</v>
      </c>
      <c r="AA31" s="704">
        <f t="shared" si="3"/>
        <v>1</v>
      </c>
      <c r="AB31" s="704">
        <f t="shared" si="4"/>
        <v>1</v>
      </c>
      <c r="AC31" s="704">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736" t="s">
        <v>1696</v>
      </c>
      <c r="Q32" s="1348">
        <f t="shared" si="11"/>
        <v>111</v>
      </c>
      <c r="R32" s="705" t="s">
        <v>14</v>
      </c>
      <c r="S32" s="706">
        <f t="shared" si="12"/>
        <v>100</v>
      </c>
      <c r="T32" s="705" t="s">
        <v>14</v>
      </c>
      <c r="U32" s="706">
        <f t="shared" si="13"/>
        <v>100</v>
      </c>
      <c r="V32" s="705" t="s">
        <v>14</v>
      </c>
      <c r="W32" s="706">
        <f t="shared" si="14"/>
        <v>100</v>
      </c>
      <c r="X32" s="1351"/>
      <c r="Y32" s="3736" t="s">
        <v>1696</v>
      </c>
      <c r="Z32" s="1352">
        <f t="shared" si="15"/>
        <v>111</v>
      </c>
      <c r="AA32" s="1349">
        <f t="shared" si="3"/>
        <v>1</v>
      </c>
      <c r="AB32" s="1349">
        <f t="shared" si="4"/>
        <v>1</v>
      </c>
      <c r="AC32" s="1349">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736"/>
      <c r="Q33" s="1348">
        <f t="shared" si="11"/>
        <v>111</v>
      </c>
      <c r="R33" s="705" t="s">
        <v>14</v>
      </c>
      <c r="S33" s="706">
        <f t="shared" si="12"/>
        <v>100</v>
      </c>
      <c r="T33" s="705" t="s">
        <v>14</v>
      </c>
      <c r="U33" s="706">
        <f t="shared" si="13"/>
        <v>100</v>
      </c>
      <c r="V33" s="705" t="s">
        <v>14</v>
      </c>
      <c r="W33" s="706">
        <f t="shared" si="14"/>
        <v>100</v>
      </c>
      <c r="X33" s="1351"/>
      <c r="Y33" s="3736"/>
      <c r="Z33" s="1352">
        <f t="shared" si="15"/>
        <v>111</v>
      </c>
      <c r="AA33" s="1349">
        <f t="shared" si="3"/>
        <v>1</v>
      </c>
      <c r="AB33" s="1349">
        <f t="shared" si="4"/>
        <v>1</v>
      </c>
      <c r="AC33" s="1349">
        <f t="shared" si="5"/>
        <v>1</v>
      </c>
    </row>
    <row r="34" spans="1:30" ht="15.75" thickBot="1">
      <c r="A34" s="429"/>
      <c r="B34" s="1891">
        <v>111</v>
      </c>
      <c r="C34" s="388"/>
      <c r="D34" s="389">
        <v>100</v>
      </c>
      <c r="E34" s="1971"/>
      <c r="F34" s="390">
        <f>SUMIF(95:95,E34,96:96)-SUMIF(95:95,C34,96:96)+100</f>
        <v>100</v>
      </c>
      <c r="G34" s="1971"/>
      <c r="H34" s="389">
        <f>SUMIF(95:95,G34,96:96)-SUMIF(95:95,C34,96:96)+100</f>
        <v>100</v>
      </c>
      <c r="I34" s="1971"/>
      <c r="J34" s="389">
        <f>SUMIF(95:95,I34,96:96)-SUMIF(95:95,C34,96:96)+100</f>
        <v>100</v>
      </c>
      <c r="K34" s="562"/>
      <c r="L34" s="2718"/>
      <c r="M34" s="2712"/>
      <c r="N34" s="2712"/>
      <c r="O34" s="2770"/>
      <c r="P34" s="3736"/>
      <c r="Q34" s="1348">
        <f t="shared" si="11"/>
        <v>111</v>
      </c>
      <c r="R34" s="705" t="s">
        <v>14</v>
      </c>
      <c r="S34" s="706">
        <f t="shared" si="12"/>
        <v>100</v>
      </c>
      <c r="T34" s="705" t="s">
        <v>14</v>
      </c>
      <c r="U34" s="706">
        <f t="shared" si="13"/>
        <v>100</v>
      </c>
      <c r="V34" s="705" t="s">
        <v>14</v>
      </c>
      <c r="W34" s="706">
        <f t="shared" si="14"/>
        <v>100</v>
      </c>
      <c r="X34" s="1351"/>
      <c r="Y34" s="3736"/>
      <c r="Z34" s="1352">
        <f t="shared" si="15"/>
        <v>111</v>
      </c>
      <c r="AA34" s="1349">
        <f t="shared" si="3"/>
        <v>1</v>
      </c>
      <c r="AB34" s="1349">
        <f t="shared" si="4"/>
        <v>1</v>
      </c>
      <c r="AC34" s="1349">
        <f t="shared" si="5"/>
        <v>1</v>
      </c>
    </row>
    <row r="35" spans="1:30" ht="15">
      <c r="A35" s="430" t="s">
        <v>1708</v>
      </c>
      <c r="B35" s="431"/>
      <c r="C35" s="1151" t="s">
        <v>0</v>
      </c>
      <c r="D35" s="1152"/>
      <c r="E35" s="1153">
        <v>10000</v>
      </c>
      <c r="F35" s="1154"/>
      <c r="G35" s="1155">
        <v>12000</v>
      </c>
      <c r="H35" s="1156"/>
      <c r="I35" s="1153">
        <v>10000</v>
      </c>
      <c r="J35" s="1156"/>
      <c r="K35" s="714"/>
      <c r="L35" s="2720"/>
      <c r="M35" s="2721"/>
      <c r="N35" s="2712"/>
      <c r="O35" s="2721"/>
      <c r="P35" s="3718" t="str">
        <f>A35</f>
        <v>成交单价（元/平方米）</v>
      </c>
      <c r="Q35" s="3718"/>
      <c r="R35" s="3770">
        <f>E35</f>
        <v>10000</v>
      </c>
      <c r="S35" s="3770"/>
      <c r="T35" s="3770">
        <f>G35</f>
        <v>12000</v>
      </c>
      <c r="U35" s="3770"/>
      <c r="V35" s="3770">
        <f>I35</f>
        <v>10000</v>
      </c>
      <c r="W35" s="3770"/>
      <c r="X35" s="690"/>
      <c r="Y35" s="712"/>
      <c r="Z35" s="690"/>
      <c r="AA35" s="690"/>
      <c r="AB35" s="690"/>
      <c r="AC35" s="690"/>
    </row>
    <row r="36" spans="1:30" ht="15.75" thickBot="1">
      <c r="A36" s="437" t="s">
        <v>1793</v>
      </c>
      <c r="B36" s="438"/>
      <c r="C36" s="1157">
        <f>R37</f>
        <v>10667</v>
      </c>
      <c r="D36" s="2313" t="s">
        <v>2137</v>
      </c>
      <c r="E36" s="1158">
        <f>R36</f>
        <v>10000</v>
      </c>
      <c r="F36" s="2314"/>
      <c r="G36" s="1157">
        <f>T36</f>
        <v>12000</v>
      </c>
      <c r="H36" s="2314"/>
      <c r="I36" s="1158">
        <f>V36</f>
        <v>10000</v>
      </c>
      <c r="J36" s="2314"/>
      <c r="K36" s="2316">
        <f>F36+H36+J36</f>
        <v>0</v>
      </c>
      <c r="L36" s="2720"/>
      <c r="M36" s="2721"/>
      <c r="N36" s="2712"/>
      <c r="O36" s="2721"/>
      <c r="P36" s="3718" t="str">
        <f>A36</f>
        <v>比较价值（元/平方米）</v>
      </c>
      <c r="Q36" s="3718"/>
      <c r="R36" s="3770">
        <f>IF(F1="售价",ROUND(PRODUCT(R35,AA7:AA34),0),ROUND(PRODUCT(R35,AA7:AA34),1))</f>
        <v>10000</v>
      </c>
      <c r="S36" s="3770"/>
      <c r="T36" s="3770">
        <f>IF(F1="售价",ROUND(PRODUCT(T35,AB7:AB34),0),ROUND(PRODUCT(T35,AB7:AB34),1))</f>
        <v>12000</v>
      </c>
      <c r="U36" s="3770"/>
      <c r="V36" s="3770">
        <f>IF(F1="售价",ROUND(PRODUCT(V35,AC7:AC34),0),ROUND(PRODUCT(V35,AC7:AC34),1))</f>
        <v>10000</v>
      </c>
      <c r="W36" s="3770"/>
      <c r="X36" s="690"/>
      <c r="Y36" s="690"/>
      <c r="Z36" s="690"/>
      <c r="AA36" s="690"/>
      <c r="AB36" s="690"/>
      <c r="AC36" s="690"/>
    </row>
    <row r="37" spans="1:30" ht="15.75" thickBot="1">
      <c r="A37" s="441" t="s">
        <v>1794</v>
      </c>
      <c r="B37" s="442"/>
      <c r="C37" s="1160">
        <f>R37</f>
        <v>10667</v>
      </c>
      <c r="D37" s="1160"/>
      <c r="E37" s="1160"/>
      <c r="F37" s="1160"/>
      <c r="G37" s="1160"/>
      <c r="H37" s="1160"/>
      <c r="I37" s="1160"/>
      <c r="J37" s="1160"/>
      <c r="K37" s="715"/>
      <c r="L37" s="2720"/>
      <c r="M37" s="2721"/>
      <c r="N37" s="2721"/>
      <c r="O37" s="2721"/>
      <c r="P37" s="3738" t="str">
        <f>A37</f>
        <v>估价对象XX用房的比较价值（楼面单价，元/平方米）</v>
      </c>
      <c r="Q37" s="3739"/>
      <c r="R37" s="3800">
        <f>IF(F1="售价",ROUND(IF(D36="简单平均",AVERAGE(R36:W36),R36*F36+T36*H36+V36*J36),0),ROUND(IF(D36="简单平均",AVERAGE(R36:V36),R36*F36+T36*H36+V36*J36),1))</f>
        <v>10667</v>
      </c>
      <c r="S37" s="3800"/>
      <c r="T37" s="3800"/>
      <c r="U37" s="3800"/>
      <c r="V37" s="3800"/>
      <c r="W37" s="3800"/>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f>IF(E35&lt;E36,E36/E35-1,E35/E36-1)</f>
        <v>0</v>
      </c>
      <c r="F40" s="449" t="str">
        <f>IF(OR(E40&gt;=0.3,E40&lt;=-0.3),"超过30%","")</f>
        <v/>
      </c>
      <c r="G40" s="448">
        <f>IF(G35&lt;G36,G36/G35-1,G35/G36-1)</f>
        <v>0</v>
      </c>
      <c r="H40" s="449" t="str">
        <f>IF(OR(G40&gt;=0.3,G40&lt;=-0.3),"超过30%","")</f>
        <v/>
      </c>
      <c r="I40" s="448">
        <f>IF(I35&lt;I36,I36/I35-1,I35/I36-1)</f>
        <v>0</v>
      </c>
      <c r="J40" s="449" t="str">
        <f>IF(OR(I40&gt;=0.3,I40&lt;=-0.3),"超过30%","")</f>
        <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f>IF(E36&lt;G36,G36/E36-1,E36/G36-1)</f>
        <v>0.19999999999999996</v>
      </c>
      <c r="F41" s="449" t="str">
        <f>IF(OR(E41&gt;=0.2,E41&lt;=-0.2),"超过20%","")</f>
        <v>超过20%</v>
      </c>
      <c r="G41" s="448">
        <f>IF(G36&lt;I36,I36/G36-1,G36/I36-1)</f>
        <v>0.19999999999999996</v>
      </c>
      <c r="H41" s="449" t="str">
        <f>IF(OR(G41&gt;=0.2,G41&lt;=-0.2),"超过20%","")</f>
        <v>超过20%</v>
      </c>
      <c r="I41" s="448">
        <f>IF(I36&lt;E36,E36/I36-1,I36/E36-1)</f>
        <v>0</v>
      </c>
      <c r="J41" s="449" t="str">
        <f>IF(OR(I41&gt;=0.2,I41&lt;=-0.2),"超过20%","")</f>
        <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f>IF(E35&lt;G35,G35/E35-1,E35/G35-1)</f>
        <v>0.19999999999999996</v>
      </c>
      <c r="F42" s="449" t="str">
        <f>IF(OR(E42&gt;=0.3,E42&lt;=-0.3),"超过30%","")</f>
        <v/>
      </c>
      <c r="G42" s="448">
        <f>IF(G35&lt;I35,I35/G35-1,G35/I35-1)</f>
        <v>0.19999999999999996</v>
      </c>
      <c r="H42" s="449" t="str">
        <f>IF(OR(G42&gt;=0.3,G42&lt;=-0.3),"超过30%","")</f>
        <v/>
      </c>
      <c r="I42" s="448">
        <f>IF(I35&lt;E35,E35/I35-1,I35/E35-1)</f>
        <v>0</v>
      </c>
      <c r="J42" s="449" t="str">
        <f>IF(OR(I42&gt;=0.3,I42&lt;=-0.3),"超过30%","")</f>
        <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4" t="s">
        <v>1798</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1679</v>
      </c>
      <c r="B46" s="455"/>
      <c r="C46" s="1180" t="str">
        <f>YEAR(C7)&amp;"-"&amp;MONTH(C7)</f>
        <v>2023-3</v>
      </c>
      <c r="D46" s="1181">
        <f>EDATE(C46,-1)</f>
        <v>44958</v>
      </c>
      <c r="E46" s="1181">
        <f t="shared" ref="E46:O46" si="16">EDATE(D46,-1)</f>
        <v>44927</v>
      </c>
      <c r="F46" s="1181">
        <f t="shared" si="16"/>
        <v>44896</v>
      </c>
      <c r="G46" s="1181">
        <f t="shared" si="16"/>
        <v>44866</v>
      </c>
      <c r="H46" s="1181">
        <f t="shared" si="16"/>
        <v>44835</v>
      </c>
      <c r="I46" s="1181">
        <f t="shared" si="16"/>
        <v>44805</v>
      </c>
      <c r="J46" s="1181">
        <f t="shared" si="16"/>
        <v>44774</v>
      </c>
      <c r="K46" s="1181">
        <f t="shared" si="16"/>
        <v>44743</v>
      </c>
      <c r="L46" s="1181">
        <f t="shared" si="16"/>
        <v>44713</v>
      </c>
      <c r="M46" s="1181">
        <f t="shared" si="16"/>
        <v>44682</v>
      </c>
      <c r="N46" s="1181">
        <f t="shared" si="16"/>
        <v>44652</v>
      </c>
      <c r="O46" s="1181">
        <f t="shared" si="16"/>
        <v>44621</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79">
        <v>100</v>
      </c>
      <c r="D47" s="461">
        <v>100</v>
      </c>
      <c r="E47" s="461">
        <v>100</v>
      </c>
      <c r="F47" s="461">
        <v>100</v>
      </c>
      <c r="G47" s="461">
        <v>100</v>
      </c>
      <c r="H47" s="461">
        <v>100</v>
      </c>
      <c r="I47" s="461">
        <v>100</v>
      </c>
      <c r="J47" s="461">
        <v>100</v>
      </c>
      <c r="K47" s="461">
        <v>100</v>
      </c>
      <c r="L47" s="461">
        <v>100</v>
      </c>
      <c r="M47" s="462">
        <v>100</v>
      </c>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1716</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1681</v>
      </c>
      <c r="B49" s="459"/>
      <c r="C49" s="471" t="s">
        <v>1776</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1719</v>
      </c>
      <c r="B51" s="477" t="s">
        <v>1685</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1813</v>
      </c>
      <c r="C65" s="608" t="s">
        <v>1799</v>
      </c>
      <c r="D65" s="608" t="s">
        <v>1800</v>
      </c>
      <c r="E65" s="608" t="s">
        <v>1801</v>
      </c>
      <c r="F65" s="608" t="s">
        <v>1802</v>
      </c>
      <c r="G65" s="608" t="s">
        <v>1803</v>
      </c>
      <c r="H65" s="488"/>
      <c r="I65" s="488"/>
      <c r="J65" s="488"/>
      <c r="K65" s="488"/>
      <c r="L65" s="488"/>
      <c r="M65" s="1126"/>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0(含)-100</v>
      </c>
      <c r="D86" s="527" t="str">
        <f t="shared" si="21"/>
        <v>100(含)-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v>0</v>
      </c>
      <c r="D87" s="544">
        <v>100</v>
      </c>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3"/>
      <c r="B98" s="933"/>
      <c r="C98" s="933"/>
      <c r="D98" s="933"/>
      <c r="E98" s="933"/>
      <c r="F98" s="933"/>
      <c r="G98" s="933"/>
      <c r="H98" s="933"/>
      <c r="I98" s="933"/>
      <c r="J98" s="933"/>
      <c r="K98" s="934"/>
      <c r="L98" s="935"/>
      <c r="M98" s="933"/>
      <c r="N98" s="2721"/>
      <c r="O98" s="2721"/>
      <c r="P98" s="2721"/>
      <c r="Q98" s="2721"/>
      <c r="R98" s="2721"/>
      <c r="S98" s="2721"/>
      <c r="T98" s="2721"/>
      <c r="U98" s="2721"/>
      <c r="V98" s="2721"/>
      <c r="W98" s="2721"/>
      <c r="X98" s="2721"/>
      <c r="Y98" s="2721"/>
      <c r="Z98" s="2721"/>
      <c r="AA98" s="2721"/>
      <c r="AB98" s="2721"/>
      <c r="AC98" s="2721"/>
      <c r="AD98" s="2721"/>
    </row>
    <row r="99" spans="1:30">
      <c r="A99" s="933"/>
      <c r="B99" s="933"/>
      <c r="C99" s="933"/>
      <c r="D99" s="933"/>
      <c r="E99" s="933"/>
      <c r="F99" s="933"/>
      <c r="G99" s="933"/>
      <c r="H99" s="933"/>
      <c r="I99" s="933"/>
      <c r="J99" s="933"/>
      <c r="K99" s="934"/>
      <c r="L99" s="935"/>
      <c r="M99" s="933"/>
      <c r="N99" s="2721"/>
      <c r="O99" s="2721"/>
      <c r="P99" s="2721"/>
      <c r="Q99" s="2721"/>
      <c r="R99" s="2721"/>
      <c r="S99" s="2721"/>
      <c r="T99" s="2721"/>
      <c r="U99" s="2721"/>
      <c r="V99" s="2721"/>
      <c r="W99" s="2721"/>
      <c r="X99" s="2721"/>
      <c r="Y99" s="2721"/>
      <c r="Z99" s="2721"/>
      <c r="AA99" s="2721"/>
      <c r="AB99" s="2721"/>
      <c r="AC99" s="2721"/>
      <c r="AD99" s="2721"/>
    </row>
    <row r="100" spans="1:30">
      <c r="A100" s="933"/>
      <c r="B100" s="933"/>
      <c r="C100" s="933"/>
      <c r="D100" s="933"/>
      <c r="E100" s="933"/>
      <c r="F100" s="933"/>
      <c r="G100" s="933"/>
      <c r="H100" s="933"/>
      <c r="I100" s="933"/>
      <c r="J100" s="933"/>
      <c r="K100" s="934"/>
      <c r="L100" s="935"/>
      <c r="M100" s="933"/>
      <c r="N100" s="2721"/>
      <c r="O100" s="2721"/>
      <c r="P100" s="2721"/>
      <c r="Q100" s="2721"/>
      <c r="R100" s="2721"/>
      <c r="S100" s="2721"/>
      <c r="T100" s="2721"/>
      <c r="U100" s="2721"/>
      <c r="V100" s="2721"/>
      <c r="W100" s="2721"/>
      <c r="X100" s="2721"/>
      <c r="Y100" s="2721"/>
      <c r="Z100" s="2721"/>
      <c r="AA100" s="2721"/>
      <c r="AB100" s="2721"/>
      <c r="AC100" s="2721"/>
      <c r="AD100" s="2721"/>
    </row>
    <row r="101" spans="1:30">
      <c r="A101" s="933"/>
      <c r="B101" s="933"/>
      <c r="C101" s="933"/>
      <c r="D101" s="933"/>
      <c r="E101" s="933"/>
      <c r="F101" s="933"/>
      <c r="G101" s="933"/>
      <c r="H101" s="933"/>
      <c r="I101" s="933"/>
      <c r="J101" s="933"/>
      <c r="K101" s="934"/>
      <c r="L101" s="935"/>
      <c r="M101" s="933"/>
      <c r="N101" s="2721"/>
      <c r="O101" s="2721"/>
      <c r="P101" s="2721"/>
      <c r="Q101" s="2721"/>
      <c r="R101" s="2721"/>
      <c r="S101" s="2721"/>
      <c r="T101" s="2721"/>
      <c r="U101" s="2721"/>
      <c r="V101" s="2721"/>
      <c r="W101" s="2721"/>
      <c r="X101" s="2721"/>
      <c r="Y101" s="2721"/>
      <c r="Z101" s="2721"/>
      <c r="AA101" s="2721"/>
      <c r="AB101" s="2721"/>
      <c r="AC101" s="2721"/>
      <c r="AD101" s="2721"/>
    </row>
    <row r="102" spans="1:30">
      <c r="A102" s="933"/>
      <c r="B102" s="933"/>
      <c r="C102" s="933"/>
      <c r="D102" s="933"/>
      <c r="E102" s="933"/>
      <c r="F102" s="933"/>
      <c r="G102" s="933"/>
      <c r="H102" s="933"/>
      <c r="I102" s="933"/>
      <c r="J102" s="933"/>
      <c r="K102" s="934"/>
      <c r="L102" s="935"/>
      <c r="M102" s="933"/>
      <c r="N102" s="2721"/>
      <c r="O102" s="2721"/>
      <c r="P102" s="2721"/>
      <c r="Q102" s="2721"/>
      <c r="R102" s="2721"/>
      <c r="S102" s="2721"/>
      <c r="T102" s="2721"/>
      <c r="U102" s="2721"/>
      <c r="V102" s="2721"/>
      <c r="W102" s="2721"/>
      <c r="X102" s="2721"/>
      <c r="Y102" s="2721"/>
      <c r="Z102" s="2721"/>
      <c r="AA102" s="2721"/>
      <c r="AB102" s="2721"/>
      <c r="AC102" s="2721"/>
      <c r="AD102" s="2721"/>
    </row>
    <row r="103" spans="1:30">
      <c r="A103" s="933"/>
      <c r="B103" s="933"/>
      <c r="C103" s="933"/>
      <c r="D103" s="933"/>
      <c r="E103" s="933"/>
      <c r="F103" s="933"/>
      <c r="G103" s="933"/>
      <c r="H103" s="933"/>
      <c r="I103" s="933"/>
      <c r="J103" s="933"/>
      <c r="K103" s="934"/>
      <c r="L103" s="935"/>
      <c r="M103" s="933"/>
      <c r="N103" s="933"/>
      <c r="O103" s="933"/>
      <c r="P103" s="2721"/>
      <c r="Q103" s="2721"/>
      <c r="R103" s="2721"/>
      <c r="S103" s="2721"/>
      <c r="T103" s="2721"/>
      <c r="U103" s="2721"/>
      <c r="V103" s="2721"/>
      <c r="W103" s="2721"/>
      <c r="X103" s="2721"/>
      <c r="Y103" s="2721"/>
      <c r="Z103" s="2721"/>
      <c r="AA103" s="2721"/>
      <c r="AB103" s="2721"/>
      <c r="AC103" s="2721"/>
      <c r="AD103" s="2721"/>
    </row>
    <row r="104" spans="1:30">
      <c r="A104" s="933"/>
      <c r="B104" s="933"/>
      <c r="C104" s="933"/>
      <c r="D104" s="933"/>
      <c r="E104" s="933"/>
      <c r="F104" s="933"/>
      <c r="G104" s="933"/>
      <c r="H104" s="933"/>
      <c r="I104" s="933"/>
      <c r="J104" s="933"/>
      <c r="K104" s="934"/>
      <c r="L104" s="935"/>
      <c r="M104" s="933"/>
      <c r="N104" s="933"/>
      <c r="O104" s="933"/>
      <c r="P104" s="933"/>
      <c r="Q104" s="933"/>
      <c r="R104" s="933"/>
      <c r="S104" s="933"/>
      <c r="T104" s="933"/>
    </row>
    <row r="105" spans="1:30">
      <c r="A105" s="933"/>
      <c r="B105" s="933"/>
      <c r="C105" s="933"/>
      <c r="D105" s="933"/>
      <c r="E105" s="933"/>
      <c r="F105" s="933"/>
      <c r="G105" s="933"/>
      <c r="H105" s="933"/>
      <c r="I105" s="933"/>
      <c r="J105" s="933"/>
      <c r="K105" s="934"/>
      <c r="L105" s="935"/>
      <c r="M105" s="933"/>
      <c r="N105" s="933"/>
      <c r="O105" s="933"/>
      <c r="P105" s="933"/>
      <c r="Q105" s="933"/>
      <c r="R105" s="933"/>
      <c r="S105" s="933"/>
      <c r="T105" s="933"/>
    </row>
    <row r="106" spans="1:30">
      <c r="A106" s="933"/>
      <c r="B106" s="933"/>
      <c r="C106" s="933"/>
      <c r="D106" s="933"/>
      <c r="E106" s="933"/>
      <c r="F106" s="933"/>
      <c r="G106" s="933"/>
      <c r="H106" s="933"/>
      <c r="I106" s="933"/>
      <c r="J106" s="933"/>
      <c r="K106" s="934"/>
      <c r="L106" s="935"/>
      <c r="M106" s="933"/>
      <c r="N106" s="933"/>
      <c r="O106" s="933"/>
      <c r="P106" s="933"/>
      <c r="Q106" s="933"/>
      <c r="R106" s="933"/>
      <c r="S106" s="933"/>
      <c r="T106" s="933"/>
    </row>
    <row r="107" spans="1:30">
      <c r="A107" s="933"/>
      <c r="B107" s="933"/>
      <c r="C107" s="933"/>
      <c r="D107" s="933"/>
      <c r="E107" s="933"/>
      <c r="F107" s="933"/>
      <c r="G107" s="933"/>
      <c r="H107" s="933"/>
      <c r="I107" s="933"/>
      <c r="J107" s="933"/>
      <c r="K107" s="934"/>
      <c r="L107" s="935"/>
      <c r="M107" s="933"/>
      <c r="N107" s="933"/>
      <c r="O107" s="933"/>
      <c r="P107" s="933"/>
      <c r="Q107" s="933"/>
      <c r="R107" s="933"/>
      <c r="S107" s="933"/>
      <c r="T107" s="933"/>
    </row>
    <row r="108" spans="1:30">
      <c r="A108" s="933"/>
      <c r="B108" s="933"/>
      <c r="C108" s="933"/>
      <c r="D108" s="933"/>
      <c r="E108" s="933"/>
      <c r="F108" s="933"/>
      <c r="G108" s="933"/>
      <c r="H108" s="933"/>
      <c r="I108" s="933"/>
      <c r="J108" s="933"/>
      <c r="K108" s="934"/>
      <c r="L108" s="935"/>
      <c r="M108" s="933"/>
      <c r="N108" s="933"/>
      <c r="O108" s="933"/>
      <c r="P108" s="933"/>
      <c r="Q108" s="933"/>
      <c r="R108" s="933"/>
      <c r="S108" s="933"/>
      <c r="T108" s="933"/>
    </row>
    <row r="109" spans="1:30">
      <c r="A109" s="933"/>
      <c r="B109" s="933"/>
      <c r="C109" s="933"/>
      <c r="D109" s="933"/>
      <c r="E109" s="933"/>
      <c r="F109" s="933"/>
      <c r="G109" s="933"/>
      <c r="H109" s="933"/>
      <c r="I109" s="933"/>
      <c r="J109" s="933"/>
      <c r="K109" s="934"/>
      <c r="L109" s="935"/>
      <c r="M109" s="933"/>
      <c r="N109" s="933"/>
      <c r="O109" s="933"/>
      <c r="P109" s="933"/>
      <c r="Q109" s="933"/>
      <c r="R109" s="933"/>
      <c r="S109" s="933"/>
      <c r="T109" s="933"/>
    </row>
    <row r="110" spans="1:30">
      <c r="A110" s="933"/>
      <c r="B110" s="933"/>
      <c r="C110" s="933"/>
      <c r="D110" s="933"/>
      <c r="E110" s="933"/>
      <c r="F110" s="933"/>
      <c r="G110" s="933"/>
      <c r="H110" s="933"/>
      <c r="I110" s="933"/>
      <c r="J110" s="933"/>
      <c r="K110" s="934"/>
      <c r="L110" s="935"/>
      <c r="M110" s="933"/>
      <c r="N110" s="933"/>
      <c r="O110" s="933"/>
      <c r="P110" s="933"/>
      <c r="Q110" s="933"/>
      <c r="R110" s="933"/>
      <c r="S110" s="933"/>
      <c r="T110" s="933"/>
    </row>
    <row r="111" spans="1:30">
      <c r="A111" s="933"/>
      <c r="B111" s="933"/>
      <c r="C111" s="933"/>
      <c r="D111" s="933"/>
      <c r="E111" s="933"/>
      <c r="F111" s="933"/>
      <c r="G111" s="933"/>
      <c r="H111" s="933"/>
      <c r="I111" s="933"/>
      <c r="J111" s="933"/>
      <c r="K111" s="934"/>
      <c r="L111" s="935"/>
      <c r="M111" s="933"/>
      <c r="N111" s="933"/>
      <c r="O111" s="933"/>
      <c r="P111" s="933"/>
      <c r="Q111" s="933"/>
      <c r="R111" s="933"/>
      <c r="S111" s="933"/>
      <c r="T111" s="933"/>
    </row>
    <row r="112" spans="1:30">
      <c r="A112" s="933"/>
      <c r="B112" s="933"/>
      <c r="C112" s="933"/>
      <c r="D112" s="933"/>
      <c r="E112" s="933"/>
      <c r="F112" s="933"/>
      <c r="G112" s="933"/>
      <c r="H112" s="933"/>
      <c r="I112" s="933"/>
      <c r="J112" s="933"/>
      <c r="K112" s="934"/>
      <c r="L112" s="935"/>
      <c r="M112" s="933"/>
      <c r="N112" s="933"/>
      <c r="O112" s="933"/>
      <c r="P112" s="933"/>
      <c r="Q112" s="933"/>
      <c r="R112" s="933"/>
      <c r="S112" s="933"/>
      <c r="T112" s="933"/>
    </row>
    <row r="113" spans="1:20">
      <c r="A113" s="933"/>
      <c r="B113" s="933"/>
      <c r="C113" s="933"/>
      <c r="D113" s="933"/>
      <c r="E113" s="933"/>
      <c r="F113" s="933"/>
      <c r="G113" s="933"/>
      <c r="H113" s="933"/>
      <c r="I113" s="933"/>
      <c r="J113" s="933"/>
      <c r="K113" s="934"/>
      <c r="L113" s="935"/>
      <c r="M113" s="933"/>
      <c r="N113" s="933"/>
      <c r="O113" s="933"/>
      <c r="P113" s="933"/>
      <c r="Q113" s="933"/>
      <c r="R113" s="933"/>
      <c r="S113" s="933"/>
      <c r="T113" s="933"/>
    </row>
    <row r="114" spans="1:20">
      <c r="A114" s="933"/>
      <c r="B114" s="933"/>
      <c r="C114" s="933"/>
      <c r="D114" s="933"/>
      <c r="E114" s="933"/>
      <c r="F114" s="933"/>
      <c r="G114" s="933"/>
      <c r="H114" s="933"/>
      <c r="I114" s="933"/>
      <c r="J114" s="933"/>
      <c r="K114" s="934"/>
      <c r="L114" s="935"/>
      <c r="M114" s="933"/>
      <c r="N114" s="933"/>
      <c r="O114" s="933"/>
      <c r="P114" s="933"/>
      <c r="Q114" s="933"/>
      <c r="R114" s="933"/>
      <c r="S114" s="933"/>
      <c r="T114" s="933"/>
    </row>
    <row r="115" spans="1:20">
      <c r="A115" s="933"/>
      <c r="B115" s="933"/>
      <c r="C115" s="933"/>
      <c r="D115" s="933"/>
      <c r="E115" s="933"/>
      <c r="F115" s="933"/>
      <c r="G115" s="933"/>
      <c r="H115" s="933"/>
      <c r="I115" s="933"/>
      <c r="J115" s="933"/>
      <c r="K115" s="934"/>
      <c r="L115" s="935"/>
      <c r="M115" s="933"/>
      <c r="N115" s="933"/>
      <c r="O115" s="933"/>
      <c r="P115" s="933"/>
      <c r="Q115" s="933"/>
      <c r="R115" s="933"/>
      <c r="S115" s="933"/>
      <c r="T115" s="933"/>
    </row>
    <row r="116" spans="1:20">
      <c r="A116" s="933"/>
      <c r="B116" s="933"/>
      <c r="C116" s="933"/>
      <c r="D116" s="933"/>
      <c r="E116" s="933"/>
      <c r="F116" s="933"/>
      <c r="G116" s="933"/>
      <c r="H116" s="933"/>
      <c r="I116" s="933"/>
      <c r="J116" s="933"/>
      <c r="K116" s="934"/>
      <c r="L116" s="935"/>
      <c r="M116" s="933"/>
      <c r="N116" s="933"/>
      <c r="O116" s="933"/>
      <c r="P116" s="933"/>
      <c r="Q116" s="933"/>
      <c r="R116" s="933"/>
      <c r="S116" s="933"/>
      <c r="T116" s="933"/>
    </row>
    <row r="117" spans="1:20">
      <c r="A117" s="933"/>
      <c r="B117" s="933"/>
      <c r="C117" s="933"/>
      <c r="D117" s="933"/>
      <c r="E117" s="933"/>
      <c r="F117" s="933"/>
      <c r="G117" s="933"/>
      <c r="H117" s="933"/>
      <c r="I117" s="933"/>
      <c r="J117" s="933"/>
      <c r="K117" s="934"/>
      <c r="L117" s="935"/>
      <c r="M117" s="933"/>
      <c r="N117" s="933"/>
      <c r="O117" s="933"/>
      <c r="P117" s="933"/>
      <c r="Q117" s="933"/>
      <c r="R117" s="933"/>
      <c r="S117" s="933"/>
      <c r="T117" s="933"/>
    </row>
    <row r="118" spans="1:20">
      <c r="A118" s="933"/>
      <c r="B118" s="933"/>
      <c r="C118" s="933"/>
      <c r="D118" s="933"/>
      <c r="E118" s="933"/>
      <c r="F118" s="933"/>
      <c r="G118" s="933"/>
      <c r="H118" s="933"/>
      <c r="I118" s="933"/>
      <c r="J118" s="933"/>
      <c r="K118" s="934"/>
      <c r="L118" s="935"/>
      <c r="M118" s="933"/>
      <c r="N118" s="933"/>
      <c r="O118" s="933"/>
      <c r="P118" s="933"/>
      <c r="Q118" s="933"/>
      <c r="R118" s="933"/>
      <c r="S118" s="933"/>
      <c r="T118" s="933"/>
    </row>
    <row r="119" spans="1:20">
      <c r="A119" s="933"/>
      <c r="B119" s="933"/>
      <c r="C119" s="933"/>
      <c r="D119" s="933"/>
      <c r="E119" s="933"/>
      <c r="F119" s="933"/>
      <c r="G119" s="933"/>
      <c r="H119" s="933"/>
      <c r="I119" s="933"/>
      <c r="J119" s="933"/>
      <c r="K119" s="934"/>
      <c r="L119" s="935"/>
      <c r="M119" s="933"/>
      <c r="N119" s="933"/>
      <c r="O119" s="933"/>
      <c r="P119" s="933"/>
      <c r="Q119" s="933"/>
      <c r="R119" s="933"/>
      <c r="S119" s="933"/>
      <c r="T119" s="933"/>
    </row>
    <row r="120" spans="1:20">
      <c r="A120" s="933"/>
      <c r="B120" s="933"/>
      <c r="C120" s="933"/>
      <c r="D120" s="933"/>
      <c r="E120" s="933"/>
      <c r="F120" s="933"/>
      <c r="G120" s="933"/>
      <c r="H120" s="933"/>
      <c r="I120" s="933"/>
      <c r="J120" s="933"/>
      <c r="K120" s="934"/>
      <c r="L120" s="935"/>
      <c r="M120" s="933"/>
      <c r="N120" s="933"/>
      <c r="O120" s="933"/>
      <c r="P120" s="933"/>
      <c r="Q120" s="933"/>
      <c r="R120" s="933"/>
      <c r="S120" s="933"/>
      <c r="T120" s="933"/>
    </row>
    <row r="121" spans="1:20">
      <c r="A121" s="933"/>
      <c r="B121" s="933"/>
      <c r="C121" s="933"/>
      <c r="D121" s="933"/>
      <c r="E121" s="933"/>
      <c r="F121" s="933"/>
      <c r="G121" s="933"/>
      <c r="H121" s="933"/>
      <c r="I121" s="933"/>
      <c r="J121" s="933"/>
      <c r="K121" s="934"/>
      <c r="L121" s="935"/>
      <c r="M121" s="933"/>
      <c r="N121" s="933"/>
      <c r="O121" s="933"/>
      <c r="P121" s="933"/>
      <c r="Q121" s="933"/>
      <c r="R121" s="933"/>
      <c r="S121" s="933"/>
      <c r="T121" s="933"/>
    </row>
    <row r="122" spans="1:20">
      <c r="A122" s="933"/>
      <c r="B122" s="933"/>
      <c r="C122" s="933"/>
      <c r="D122" s="933"/>
      <c r="E122" s="933"/>
      <c r="F122" s="933"/>
      <c r="G122" s="933"/>
      <c r="H122" s="933"/>
      <c r="I122" s="933"/>
      <c r="J122" s="933"/>
      <c r="K122" s="934"/>
      <c r="L122" s="935"/>
      <c r="M122" s="933"/>
      <c r="N122" s="933"/>
      <c r="O122" s="933"/>
      <c r="P122" s="933"/>
      <c r="Q122" s="933"/>
      <c r="R122" s="933"/>
      <c r="S122" s="933"/>
      <c r="T122" s="933"/>
    </row>
    <row r="123" spans="1:20">
      <c r="A123" s="933"/>
      <c r="B123" s="933"/>
      <c r="C123" s="933"/>
      <c r="D123" s="933"/>
      <c r="E123" s="933"/>
      <c r="F123" s="933"/>
      <c r="G123" s="933"/>
      <c r="H123" s="933"/>
      <c r="I123" s="933"/>
      <c r="J123" s="933"/>
      <c r="K123" s="934"/>
      <c r="L123" s="935"/>
      <c r="M123" s="933"/>
      <c r="N123" s="933"/>
      <c r="O123" s="933"/>
      <c r="P123" s="933"/>
      <c r="Q123" s="933"/>
      <c r="R123" s="933"/>
      <c r="S123" s="933"/>
      <c r="T123" s="933"/>
    </row>
    <row r="124" spans="1:20">
      <c r="A124" s="933"/>
      <c r="B124" s="933"/>
      <c r="C124" s="933"/>
      <c r="D124" s="933"/>
      <c r="E124" s="933"/>
      <c r="F124" s="933"/>
      <c r="G124" s="933"/>
      <c r="H124" s="933"/>
      <c r="I124" s="933"/>
      <c r="J124" s="933"/>
      <c r="K124" s="934"/>
      <c r="L124" s="935"/>
      <c r="M124" s="933"/>
      <c r="N124" s="933"/>
      <c r="O124" s="933"/>
      <c r="P124" s="933"/>
      <c r="Q124" s="933"/>
      <c r="R124" s="933"/>
      <c r="S124" s="933"/>
      <c r="T124" s="933"/>
    </row>
    <row r="125" spans="1:20">
      <c r="A125" s="933"/>
      <c r="B125" s="933"/>
      <c r="C125" s="933"/>
      <c r="D125" s="933"/>
      <c r="E125" s="933"/>
      <c r="F125" s="933"/>
      <c r="G125" s="933"/>
      <c r="H125" s="933"/>
      <c r="I125" s="933"/>
      <c r="J125" s="933"/>
      <c r="K125" s="934"/>
      <c r="L125" s="935"/>
      <c r="M125" s="933"/>
      <c r="N125" s="933"/>
      <c r="O125" s="933"/>
      <c r="P125" s="933"/>
      <c r="Q125" s="933"/>
      <c r="R125" s="933"/>
      <c r="S125" s="933"/>
      <c r="T125" s="933"/>
    </row>
    <row r="126" spans="1:20">
      <c r="A126" s="933"/>
      <c r="B126" s="933"/>
      <c r="C126" s="933"/>
      <c r="D126" s="933"/>
      <c r="E126" s="933"/>
      <c r="F126" s="933"/>
      <c r="G126" s="933"/>
      <c r="H126" s="933"/>
      <c r="I126" s="933"/>
      <c r="J126" s="933"/>
      <c r="K126" s="934"/>
      <c r="L126" s="935"/>
      <c r="M126" s="933"/>
      <c r="N126" s="933"/>
      <c r="O126" s="933"/>
      <c r="P126" s="933"/>
      <c r="Q126" s="933"/>
      <c r="R126" s="933"/>
      <c r="S126" s="933"/>
      <c r="T126" s="933"/>
    </row>
    <row r="127" spans="1:20">
      <c r="A127" s="933"/>
      <c r="B127" s="933"/>
      <c r="C127" s="933"/>
      <c r="D127" s="933"/>
      <c r="E127" s="933"/>
      <c r="F127" s="933"/>
      <c r="G127" s="933"/>
      <c r="H127" s="933"/>
      <c r="I127" s="933"/>
      <c r="J127" s="933"/>
      <c r="K127" s="934"/>
      <c r="L127" s="935"/>
      <c r="M127" s="933"/>
      <c r="N127" s="933"/>
      <c r="O127" s="933"/>
      <c r="P127" s="933"/>
      <c r="Q127" s="933"/>
      <c r="R127" s="933"/>
      <c r="S127" s="933"/>
      <c r="T127" s="933"/>
    </row>
    <row r="128" spans="1:20">
      <c r="A128" s="933"/>
      <c r="B128" s="933"/>
      <c r="C128" s="933"/>
      <c r="D128" s="933"/>
      <c r="E128" s="933"/>
      <c r="F128" s="933"/>
      <c r="G128" s="933"/>
      <c r="H128" s="933"/>
      <c r="I128" s="933"/>
      <c r="J128" s="933"/>
      <c r="K128" s="934"/>
      <c r="L128" s="935"/>
      <c r="M128" s="933"/>
      <c r="N128" s="933"/>
      <c r="O128" s="933"/>
      <c r="P128" s="933"/>
      <c r="Q128" s="933"/>
      <c r="R128" s="933"/>
      <c r="S128" s="933"/>
      <c r="T128" s="933"/>
    </row>
    <row r="129" spans="1:20">
      <c r="A129" s="933"/>
      <c r="B129" s="933"/>
      <c r="C129" s="933"/>
      <c r="D129" s="933"/>
      <c r="E129" s="933"/>
      <c r="F129" s="933"/>
      <c r="G129" s="933"/>
      <c r="H129" s="933"/>
      <c r="I129" s="933"/>
      <c r="J129" s="933"/>
      <c r="K129" s="934"/>
      <c r="L129" s="935"/>
      <c r="M129" s="933"/>
      <c r="N129" s="933"/>
      <c r="O129" s="933"/>
      <c r="P129" s="933"/>
      <c r="Q129" s="933"/>
      <c r="R129" s="933"/>
      <c r="S129" s="933"/>
      <c r="T129" s="933"/>
    </row>
    <row r="130" spans="1:20">
      <c r="A130" s="933"/>
      <c r="B130" s="933"/>
      <c r="C130" s="933"/>
      <c r="D130" s="933"/>
      <c r="E130" s="933"/>
      <c r="F130" s="933"/>
      <c r="G130" s="933"/>
      <c r="H130" s="933"/>
      <c r="I130" s="933"/>
      <c r="J130" s="933"/>
      <c r="K130" s="934"/>
      <c r="L130" s="935"/>
      <c r="M130" s="933"/>
      <c r="N130" s="933"/>
      <c r="O130" s="933"/>
      <c r="P130" s="933"/>
      <c r="Q130" s="933"/>
      <c r="R130" s="933"/>
      <c r="S130" s="933"/>
      <c r="T130" s="933"/>
    </row>
    <row r="131" spans="1:20">
      <c r="A131" s="933"/>
      <c r="B131" s="933"/>
      <c r="C131" s="933"/>
      <c r="D131" s="933"/>
      <c r="E131" s="933"/>
      <c r="F131" s="933"/>
      <c r="G131" s="933"/>
      <c r="H131" s="933"/>
      <c r="I131" s="933"/>
      <c r="J131" s="933"/>
      <c r="K131" s="934"/>
      <c r="L131" s="935"/>
      <c r="M131" s="933"/>
      <c r="N131" s="933"/>
      <c r="O131" s="933"/>
      <c r="P131" s="933"/>
      <c r="Q131" s="933"/>
      <c r="R131" s="933"/>
      <c r="S131" s="933"/>
      <c r="T131" s="933"/>
    </row>
    <row r="132" spans="1:20">
      <c r="A132" s="933"/>
      <c r="B132" s="933"/>
      <c r="C132" s="933"/>
      <c r="D132" s="933"/>
      <c r="E132" s="933"/>
      <c r="F132" s="933"/>
      <c r="G132" s="933"/>
      <c r="H132" s="933"/>
      <c r="I132" s="933"/>
      <c r="J132" s="933"/>
      <c r="K132" s="934"/>
      <c r="L132" s="935"/>
      <c r="M132" s="933"/>
      <c r="N132" s="933"/>
      <c r="O132" s="933"/>
      <c r="P132" s="933"/>
      <c r="Q132" s="933"/>
      <c r="R132" s="933"/>
      <c r="S132" s="933"/>
      <c r="T132" s="933"/>
    </row>
    <row r="133" spans="1:20">
      <c r="A133" s="933"/>
      <c r="B133" s="933"/>
      <c r="C133" s="933"/>
      <c r="D133" s="933"/>
      <c r="E133" s="933"/>
      <c r="F133" s="933"/>
      <c r="G133" s="933"/>
      <c r="H133" s="933"/>
      <c r="I133" s="933"/>
      <c r="J133" s="933"/>
      <c r="K133" s="934"/>
      <c r="L133" s="935"/>
      <c r="M133" s="933"/>
      <c r="N133" s="933"/>
      <c r="O133" s="933"/>
      <c r="P133" s="933"/>
      <c r="Q133" s="933"/>
      <c r="R133" s="933"/>
      <c r="S133" s="933"/>
      <c r="T133" s="933"/>
    </row>
    <row r="134" spans="1:20">
      <c r="A134" s="933"/>
      <c r="B134" s="933"/>
      <c r="C134" s="933"/>
      <c r="D134" s="933"/>
      <c r="E134" s="933"/>
      <c r="F134" s="933"/>
      <c r="G134" s="933"/>
      <c r="H134" s="933"/>
      <c r="I134" s="933"/>
      <c r="J134" s="933"/>
      <c r="K134" s="934"/>
      <c r="L134" s="935"/>
      <c r="M134" s="933"/>
      <c r="N134" s="933"/>
      <c r="O134" s="933"/>
      <c r="P134" s="933"/>
      <c r="Q134" s="933"/>
      <c r="R134" s="933"/>
      <c r="S134" s="933"/>
      <c r="T134" s="933"/>
    </row>
    <row r="135" spans="1:20">
      <c r="A135" s="933"/>
      <c r="B135" s="933"/>
      <c r="C135" s="933"/>
      <c r="D135" s="933"/>
      <c r="E135" s="933"/>
      <c r="F135" s="933"/>
      <c r="G135" s="933"/>
      <c r="H135" s="933"/>
      <c r="I135" s="933"/>
      <c r="J135" s="933"/>
      <c r="K135" s="934"/>
      <c r="L135" s="935"/>
      <c r="M135" s="933"/>
      <c r="N135" s="933"/>
      <c r="O135" s="933"/>
      <c r="P135" s="933"/>
      <c r="Q135" s="933"/>
      <c r="R135" s="933"/>
      <c r="S135" s="933"/>
      <c r="T135" s="933"/>
    </row>
    <row r="136" spans="1:20">
      <c r="A136" s="933"/>
      <c r="B136" s="933"/>
      <c r="C136" s="933"/>
      <c r="D136" s="933"/>
      <c r="E136" s="933"/>
      <c r="F136" s="933"/>
      <c r="G136" s="933"/>
      <c r="H136" s="933"/>
      <c r="I136" s="933"/>
      <c r="J136" s="933"/>
      <c r="K136" s="934"/>
      <c r="L136" s="935"/>
      <c r="M136" s="933"/>
      <c r="N136" s="933"/>
      <c r="O136" s="933"/>
      <c r="P136" s="933"/>
      <c r="Q136" s="933"/>
      <c r="R136" s="933"/>
      <c r="S136" s="933"/>
      <c r="T136" s="933"/>
    </row>
    <row r="137" spans="1:20">
      <c r="A137" s="933"/>
      <c r="B137" s="933"/>
      <c r="C137" s="933"/>
      <c r="D137" s="933"/>
      <c r="E137" s="933"/>
      <c r="F137" s="933"/>
      <c r="G137" s="933"/>
      <c r="H137" s="933"/>
      <c r="I137" s="933"/>
      <c r="J137" s="933"/>
      <c r="K137" s="934"/>
      <c r="L137" s="935"/>
      <c r="M137" s="933"/>
      <c r="N137" s="933"/>
      <c r="O137" s="933"/>
      <c r="P137" s="933"/>
      <c r="Q137" s="933"/>
      <c r="R137" s="933"/>
      <c r="S137" s="933"/>
      <c r="T137" s="933"/>
    </row>
    <row r="138" spans="1:20">
      <c r="A138" s="933"/>
      <c r="B138" s="933"/>
      <c r="C138" s="933"/>
      <c r="D138" s="933"/>
      <c r="E138" s="933"/>
      <c r="F138" s="933"/>
      <c r="G138" s="933"/>
      <c r="H138" s="933"/>
      <c r="I138" s="933"/>
      <c r="J138" s="933"/>
      <c r="K138" s="934"/>
      <c r="L138" s="935"/>
      <c r="M138" s="933"/>
      <c r="N138" s="933"/>
      <c r="O138" s="933"/>
      <c r="P138" s="933"/>
      <c r="Q138" s="933"/>
      <c r="R138" s="933"/>
      <c r="S138" s="933"/>
      <c r="T138" s="933"/>
    </row>
    <row r="139" spans="1:20">
      <c r="A139" s="933"/>
      <c r="B139" s="933"/>
      <c r="C139" s="933"/>
      <c r="D139" s="933"/>
      <c r="E139" s="933"/>
      <c r="F139" s="933"/>
      <c r="G139" s="933"/>
      <c r="H139" s="933"/>
      <c r="I139" s="933"/>
      <c r="J139" s="933"/>
      <c r="K139" s="934"/>
      <c r="L139" s="935"/>
      <c r="M139" s="933"/>
      <c r="N139" s="933"/>
      <c r="O139" s="933"/>
      <c r="P139" s="933"/>
      <c r="Q139" s="933"/>
      <c r="R139" s="933"/>
      <c r="S139" s="933"/>
      <c r="T139" s="933"/>
    </row>
    <row r="140" spans="1:20">
      <c r="A140" s="933"/>
      <c r="B140" s="933"/>
      <c r="C140" s="933"/>
      <c r="D140" s="933"/>
      <c r="E140" s="933"/>
      <c r="F140" s="933"/>
      <c r="G140" s="933"/>
      <c r="H140" s="933"/>
      <c r="I140" s="933"/>
      <c r="J140" s="933"/>
      <c r="K140" s="934"/>
      <c r="L140" s="935"/>
      <c r="M140" s="933"/>
      <c r="N140" s="933"/>
      <c r="O140" s="933"/>
      <c r="P140" s="933"/>
      <c r="Q140" s="933"/>
      <c r="R140" s="933"/>
      <c r="S140" s="933"/>
      <c r="T140" s="933"/>
    </row>
    <row r="141" spans="1:20">
      <c r="A141" s="933"/>
      <c r="B141" s="933"/>
      <c r="C141" s="933"/>
      <c r="D141" s="933"/>
      <c r="E141" s="933"/>
      <c r="F141" s="933"/>
      <c r="G141" s="933"/>
      <c r="H141" s="933"/>
      <c r="I141" s="933"/>
      <c r="J141" s="933"/>
      <c r="K141" s="934"/>
      <c r="L141" s="935"/>
      <c r="M141" s="933"/>
      <c r="N141" s="933"/>
      <c r="O141" s="933"/>
      <c r="P141" s="933"/>
      <c r="Q141" s="933"/>
      <c r="R141" s="933"/>
      <c r="S141" s="933"/>
      <c r="T141" s="933"/>
    </row>
    <row r="142" spans="1:20">
      <c r="A142" s="933"/>
      <c r="B142" s="933"/>
      <c r="C142" s="933"/>
      <c r="D142" s="933"/>
      <c r="E142" s="933"/>
      <c r="F142" s="933"/>
      <c r="G142" s="933"/>
      <c r="H142" s="933"/>
      <c r="I142" s="933"/>
      <c r="J142" s="933"/>
      <c r="K142" s="934"/>
      <c r="L142" s="935"/>
      <c r="M142" s="933"/>
      <c r="N142" s="933"/>
      <c r="O142" s="933"/>
      <c r="P142" s="933"/>
      <c r="Q142" s="933"/>
      <c r="R142" s="933"/>
      <c r="S142" s="933"/>
      <c r="T142" s="933"/>
    </row>
    <row r="143" spans="1:20">
      <c r="A143" s="933"/>
      <c r="B143" s="933"/>
      <c r="C143" s="933"/>
      <c r="D143" s="933"/>
      <c r="E143" s="933"/>
      <c r="F143" s="933"/>
      <c r="G143" s="933"/>
      <c r="H143" s="933"/>
      <c r="I143" s="933"/>
      <c r="J143" s="933"/>
      <c r="K143" s="934"/>
      <c r="L143" s="935"/>
      <c r="M143" s="933"/>
      <c r="N143" s="933"/>
      <c r="O143" s="933"/>
      <c r="P143" s="933"/>
      <c r="Q143" s="933"/>
      <c r="R143" s="933"/>
      <c r="S143" s="933"/>
      <c r="T143" s="933"/>
    </row>
    <row r="144" spans="1:20">
      <c r="A144" s="933"/>
      <c r="B144" s="933"/>
      <c r="C144" s="933"/>
      <c r="D144" s="933"/>
      <c r="E144" s="933"/>
      <c r="F144" s="933"/>
      <c r="G144" s="933"/>
      <c r="H144" s="933"/>
      <c r="I144" s="933"/>
      <c r="J144" s="933"/>
      <c r="K144" s="934"/>
      <c r="L144" s="935"/>
      <c r="M144" s="933"/>
      <c r="N144" s="933"/>
      <c r="O144" s="933"/>
      <c r="P144" s="933"/>
      <c r="Q144" s="933"/>
      <c r="R144" s="933"/>
      <c r="S144" s="933"/>
      <c r="T144" s="933"/>
    </row>
    <row r="145" spans="1:20">
      <c r="A145" s="933"/>
      <c r="B145" s="933"/>
      <c r="C145" s="933"/>
      <c r="D145" s="933"/>
      <c r="E145" s="933"/>
      <c r="F145" s="933"/>
      <c r="G145" s="933"/>
      <c r="H145" s="933"/>
      <c r="I145" s="933"/>
      <c r="J145" s="933"/>
      <c r="K145" s="934"/>
      <c r="L145" s="935"/>
      <c r="M145" s="933"/>
      <c r="N145" s="933"/>
      <c r="O145" s="933"/>
      <c r="P145" s="933"/>
      <c r="Q145" s="933"/>
      <c r="R145" s="933"/>
      <c r="S145" s="933"/>
      <c r="T145" s="933"/>
    </row>
    <row r="146" spans="1:20">
      <c r="A146" s="933"/>
      <c r="B146" s="933"/>
      <c r="C146" s="933"/>
      <c r="D146" s="933"/>
      <c r="E146" s="933"/>
      <c r="F146" s="933"/>
      <c r="G146" s="933"/>
      <c r="H146" s="933"/>
      <c r="I146" s="933"/>
      <c r="J146" s="933"/>
      <c r="K146" s="934"/>
      <c r="L146" s="935"/>
      <c r="M146" s="933"/>
      <c r="N146" s="933"/>
      <c r="O146" s="933"/>
      <c r="P146" s="933"/>
      <c r="Q146" s="933"/>
      <c r="R146" s="933"/>
      <c r="S146" s="933"/>
      <c r="T146" s="933"/>
    </row>
    <row r="147" spans="1:20">
      <c r="A147" s="933"/>
      <c r="B147" s="933"/>
      <c r="C147" s="933"/>
      <c r="D147" s="933"/>
      <c r="E147" s="933"/>
      <c r="F147" s="933"/>
      <c r="G147" s="933"/>
      <c r="H147" s="933"/>
      <c r="I147" s="933"/>
      <c r="J147" s="933"/>
      <c r="K147" s="934"/>
      <c r="L147" s="935"/>
      <c r="M147" s="933"/>
      <c r="N147" s="933"/>
      <c r="O147" s="933"/>
      <c r="P147" s="933"/>
      <c r="Q147" s="933"/>
      <c r="R147" s="933"/>
      <c r="S147" s="933"/>
      <c r="T147" s="933"/>
    </row>
    <row r="148" spans="1:20">
      <c r="A148" s="933"/>
      <c r="B148" s="933"/>
      <c r="C148" s="933"/>
      <c r="D148" s="933"/>
      <c r="E148" s="933"/>
      <c r="F148" s="933"/>
      <c r="G148" s="933"/>
      <c r="H148" s="933"/>
      <c r="I148" s="933"/>
      <c r="J148" s="933"/>
      <c r="K148" s="934"/>
      <c r="L148" s="935"/>
      <c r="M148" s="933"/>
      <c r="N148" s="933"/>
      <c r="O148" s="933"/>
      <c r="P148" s="933"/>
      <c r="Q148" s="933"/>
      <c r="R148" s="933"/>
      <c r="S148" s="933"/>
      <c r="T148" s="933"/>
    </row>
    <row r="149" spans="1:20">
      <c r="A149" s="933"/>
      <c r="B149" s="933"/>
      <c r="C149" s="933"/>
      <c r="D149" s="933"/>
      <c r="E149" s="933"/>
      <c r="F149" s="933"/>
      <c r="G149" s="933"/>
      <c r="H149" s="933"/>
      <c r="I149" s="933"/>
      <c r="J149" s="933"/>
      <c r="K149" s="934"/>
      <c r="L149" s="935"/>
      <c r="M149" s="933"/>
      <c r="N149" s="933"/>
      <c r="O149" s="933"/>
      <c r="P149" s="933"/>
      <c r="Q149" s="933"/>
      <c r="R149" s="933"/>
      <c r="S149" s="933"/>
      <c r="T149" s="933"/>
    </row>
    <row r="150" spans="1:20">
      <c r="A150" s="933"/>
      <c r="B150" s="933"/>
      <c r="C150" s="933"/>
      <c r="D150" s="933"/>
      <c r="E150" s="933"/>
      <c r="F150" s="933"/>
      <c r="G150" s="933"/>
      <c r="H150" s="933"/>
      <c r="I150" s="933"/>
      <c r="J150" s="933"/>
      <c r="K150" s="934"/>
      <c r="L150" s="935"/>
      <c r="M150" s="933"/>
      <c r="N150" s="933"/>
      <c r="O150" s="933"/>
      <c r="P150" s="933"/>
      <c r="Q150" s="933"/>
      <c r="R150" s="933"/>
      <c r="S150" s="933"/>
      <c r="T150" s="933"/>
    </row>
    <row r="151" spans="1:20">
      <c r="A151" s="933"/>
      <c r="B151" s="933"/>
      <c r="C151" s="933"/>
      <c r="D151" s="933"/>
      <c r="E151" s="933"/>
      <c r="F151" s="933"/>
      <c r="G151" s="933"/>
      <c r="H151" s="933"/>
      <c r="I151" s="933"/>
      <c r="J151" s="933"/>
      <c r="K151" s="934"/>
      <c r="L151" s="935"/>
      <c r="M151" s="933"/>
      <c r="N151" s="933"/>
      <c r="O151" s="933"/>
      <c r="P151" s="933"/>
      <c r="Q151" s="933"/>
      <c r="R151" s="933"/>
      <c r="S151" s="933"/>
      <c r="T151" s="933"/>
    </row>
    <row r="152" spans="1:20">
      <c r="A152" s="933"/>
      <c r="B152" s="933"/>
      <c r="C152" s="933"/>
      <c r="D152" s="933"/>
      <c r="E152" s="933"/>
      <c r="F152" s="933"/>
      <c r="G152" s="933"/>
      <c r="H152" s="933"/>
      <c r="I152" s="933"/>
      <c r="J152" s="933"/>
      <c r="K152" s="934"/>
      <c r="L152" s="935"/>
      <c r="M152" s="933"/>
      <c r="N152" s="933"/>
      <c r="O152" s="933"/>
      <c r="P152" s="933"/>
      <c r="Q152" s="933"/>
      <c r="R152" s="933"/>
      <c r="S152" s="933"/>
      <c r="T152" s="933"/>
    </row>
    <row r="153" spans="1:20">
      <c r="A153" s="933"/>
      <c r="B153" s="933"/>
      <c r="C153" s="933"/>
      <c r="D153" s="933"/>
      <c r="E153" s="933"/>
      <c r="F153" s="933"/>
      <c r="G153" s="933"/>
      <c r="H153" s="933"/>
      <c r="I153" s="933"/>
      <c r="J153" s="933"/>
      <c r="K153" s="934"/>
      <c r="L153" s="935"/>
      <c r="M153" s="933"/>
      <c r="N153" s="933"/>
      <c r="O153" s="933"/>
      <c r="P153" s="933"/>
      <c r="Q153" s="933"/>
      <c r="R153" s="933"/>
      <c r="S153" s="933"/>
      <c r="T153" s="933"/>
    </row>
    <row r="154" spans="1:20">
      <c r="A154" s="933"/>
      <c r="B154" s="933"/>
      <c r="C154" s="933"/>
      <c r="D154" s="933"/>
      <c r="E154" s="933"/>
      <c r="F154" s="933"/>
      <c r="G154" s="933"/>
      <c r="H154" s="933"/>
      <c r="I154" s="933"/>
      <c r="J154" s="933"/>
      <c r="K154" s="934"/>
      <c r="L154" s="935"/>
      <c r="M154" s="933"/>
      <c r="N154" s="933"/>
      <c r="O154" s="933"/>
      <c r="P154" s="933"/>
      <c r="Q154" s="933"/>
      <c r="R154" s="933"/>
      <c r="S154" s="933"/>
      <c r="T154" s="933"/>
    </row>
    <row r="155" spans="1:20">
      <c r="A155" s="933"/>
      <c r="B155" s="933"/>
      <c r="C155" s="933"/>
      <c r="D155" s="933"/>
      <c r="E155" s="933"/>
      <c r="F155" s="933"/>
      <c r="G155" s="933"/>
      <c r="H155" s="933"/>
      <c r="I155" s="933"/>
      <c r="J155" s="933"/>
      <c r="K155" s="934"/>
      <c r="L155" s="935"/>
      <c r="M155" s="933"/>
      <c r="N155" s="933"/>
      <c r="O155" s="933"/>
      <c r="P155" s="933"/>
      <c r="Q155" s="933"/>
      <c r="R155" s="933"/>
      <c r="S155" s="933"/>
      <c r="T155" s="933"/>
    </row>
    <row r="156" spans="1:20">
      <c r="A156" s="933"/>
      <c r="B156" s="933"/>
      <c r="C156" s="933"/>
      <c r="D156" s="933"/>
      <c r="E156" s="933"/>
      <c r="F156" s="933"/>
      <c r="G156" s="933"/>
      <c r="H156" s="933"/>
      <c r="I156" s="933"/>
      <c r="J156" s="933"/>
      <c r="K156" s="934"/>
      <c r="L156" s="935"/>
      <c r="M156" s="933"/>
      <c r="N156" s="933"/>
      <c r="O156" s="933"/>
      <c r="P156" s="933"/>
      <c r="Q156" s="933"/>
      <c r="R156" s="933"/>
      <c r="S156" s="933"/>
      <c r="T156" s="933"/>
    </row>
    <row r="157" spans="1:20">
      <c r="A157" s="933"/>
      <c r="B157" s="933"/>
      <c r="C157" s="933"/>
      <c r="D157" s="933"/>
      <c r="E157" s="933"/>
      <c r="F157" s="933"/>
      <c r="G157" s="933"/>
      <c r="H157" s="933"/>
      <c r="I157" s="933"/>
      <c r="J157" s="933"/>
      <c r="K157" s="934"/>
      <c r="L157" s="935"/>
      <c r="M157" s="933"/>
      <c r="N157" s="933"/>
      <c r="O157" s="933"/>
      <c r="P157" s="933"/>
      <c r="Q157" s="933"/>
      <c r="R157" s="933"/>
      <c r="S157" s="933"/>
      <c r="T157" s="933"/>
    </row>
    <row r="158" spans="1:20">
      <c r="A158" s="933"/>
      <c r="B158" s="933"/>
      <c r="C158" s="933"/>
      <c r="D158" s="933"/>
      <c r="E158" s="933"/>
      <c r="F158" s="933"/>
      <c r="G158" s="933"/>
      <c r="H158" s="933"/>
      <c r="I158" s="933"/>
      <c r="J158" s="933"/>
      <c r="K158" s="934"/>
      <c r="L158" s="935"/>
      <c r="M158" s="933"/>
      <c r="N158" s="933"/>
      <c r="O158" s="933"/>
      <c r="P158" s="933"/>
      <c r="Q158" s="933"/>
      <c r="R158" s="933"/>
      <c r="S158" s="933"/>
      <c r="T158" s="933"/>
    </row>
    <row r="159" spans="1:20">
      <c r="A159" s="933"/>
      <c r="B159" s="933"/>
      <c r="C159" s="933"/>
      <c r="D159" s="933"/>
      <c r="E159" s="933"/>
      <c r="F159" s="933"/>
      <c r="G159" s="933"/>
      <c r="H159" s="933"/>
      <c r="I159" s="933"/>
      <c r="J159" s="933"/>
      <c r="K159" s="934"/>
      <c r="L159" s="935"/>
      <c r="M159" s="933"/>
      <c r="N159" s="933"/>
      <c r="O159" s="933"/>
      <c r="P159" s="933"/>
      <c r="Q159" s="933"/>
      <c r="R159" s="933"/>
      <c r="S159" s="933"/>
      <c r="T159" s="933"/>
    </row>
    <row r="160" spans="1:20">
      <c r="A160" s="933"/>
      <c r="B160" s="933"/>
      <c r="C160" s="933"/>
      <c r="D160" s="933"/>
      <c r="E160" s="933"/>
      <c r="F160" s="933"/>
      <c r="G160" s="933"/>
      <c r="H160" s="933"/>
      <c r="I160" s="933"/>
      <c r="J160" s="933"/>
      <c r="K160" s="934"/>
      <c r="L160" s="935"/>
      <c r="M160" s="933"/>
      <c r="N160" s="933"/>
      <c r="O160" s="933"/>
      <c r="P160" s="933"/>
      <c r="Q160" s="933"/>
      <c r="R160" s="933"/>
      <c r="S160" s="933"/>
      <c r="T160" s="933"/>
    </row>
    <row r="161" spans="1:20">
      <c r="A161" s="933"/>
      <c r="B161" s="933"/>
      <c r="C161" s="933"/>
      <c r="D161" s="933"/>
      <c r="E161" s="933"/>
      <c r="F161" s="933"/>
      <c r="G161" s="933"/>
      <c r="H161" s="933"/>
      <c r="I161" s="933"/>
      <c r="J161" s="933"/>
      <c r="K161" s="934"/>
      <c r="L161" s="935"/>
      <c r="M161" s="933"/>
      <c r="N161" s="933"/>
      <c r="O161" s="933"/>
      <c r="P161" s="933"/>
      <c r="Q161" s="933"/>
      <c r="R161" s="933"/>
      <c r="S161" s="933"/>
      <c r="T161" s="933"/>
    </row>
    <row r="162" spans="1:20">
      <c r="A162" s="933"/>
      <c r="B162" s="933"/>
      <c r="C162" s="933"/>
      <c r="D162" s="933"/>
      <c r="E162" s="933"/>
      <c r="F162" s="933"/>
      <c r="G162" s="933"/>
      <c r="H162" s="933"/>
      <c r="I162" s="933"/>
      <c r="J162" s="933"/>
      <c r="K162" s="934"/>
      <c r="L162" s="935"/>
      <c r="M162" s="933"/>
      <c r="N162" s="933"/>
      <c r="O162" s="933"/>
      <c r="P162" s="933"/>
      <c r="Q162" s="933"/>
      <c r="R162" s="933"/>
      <c r="S162" s="933"/>
      <c r="T162" s="933"/>
    </row>
    <row r="163" spans="1:20">
      <c r="A163" s="933"/>
      <c r="B163" s="933"/>
      <c r="C163" s="933"/>
      <c r="D163" s="933"/>
      <c r="E163" s="933"/>
      <c r="F163" s="933"/>
      <c r="G163" s="933"/>
      <c r="H163" s="933"/>
      <c r="I163" s="933"/>
      <c r="J163" s="933"/>
      <c r="K163" s="934"/>
      <c r="L163" s="935"/>
      <c r="M163" s="933"/>
      <c r="N163" s="933"/>
      <c r="O163" s="933"/>
      <c r="P163" s="933"/>
      <c r="Q163" s="933"/>
      <c r="R163" s="933"/>
      <c r="S163" s="933"/>
      <c r="T163" s="933"/>
    </row>
    <row r="164" spans="1:20">
      <c r="A164" s="933"/>
      <c r="B164" s="933"/>
      <c r="C164" s="933"/>
      <c r="D164" s="933"/>
      <c r="E164" s="933"/>
      <c r="F164" s="933"/>
      <c r="G164" s="933"/>
      <c r="H164" s="933"/>
      <c r="I164" s="933"/>
      <c r="J164" s="933"/>
      <c r="K164" s="934"/>
      <c r="L164" s="935"/>
      <c r="M164" s="933"/>
      <c r="N164" s="933"/>
      <c r="O164" s="933"/>
      <c r="P164" s="933"/>
      <c r="Q164" s="933"/>
      <c r="R164" s="933"/>
      <c r="S164" s="933"/>
      <c r="T164" s="933"/>
    </row>
    <row r="165" spans="1:20">
      <c r="A165" s="933"/>
      <c r="B165" s="933"/>
      <c r="C165" s="933"/>
      <c r="D165" s="933"/>
      <c r="E165" s="933"/>
      <c r="F165" s="933"/>
      <c r="G165" s="933"/>
      <c r="H165" s="933"/>
      <c r="I165" s="933"/>
      <c r="J165" s="933"/>
      <c r="K165" s="934"/>
      <c r="L165" s="935"/>
      <c r="M165" s="933"/>
      <c r="N165" s="933"/>
      <c r="O165" s="933"/>
      <c r="P165" s="933"/>
      <c r="Q165" s="933"/>
      <c r="R165" s="933"/>
      <c r="S165" s="933"/>
      <c r="T165" s="933"/>
    </row>
    <row r="166" spans="1:20">
      <c r="A166" s="933"/>
      <c r="B166" s="933"/>
      <c r="C166" s="933"/>
      <c r="D166" s="933"/>
      <c r="E166" s="933"/>
      <c r="F166" s="933"/>
      <c r="G166" s="933"/>
      <c r="H166" s="933"/>
      <c r="I166" s="933"/>
      <c r="J166" s="933"/>
      <c r="K166" s="934"/>
      <c r="L166" s="935"/>
      <c r="M166" s="933"/>
      <c r="N166" s="933"/>
      <c r="O166" s="933"/>
      <c r="P166" s="933"/>
      <c r="Q166" s="933"/>
      <c r="R166" s="933"/>
      <c r="S166" s="933"/>
      <c r="T166" s="933"/>
    </row>
    <row r="167" spans="1:20">
      <c r="A167" s="933"/>
      <c r="B167" s="933"/>
      <c r="C167" s="933"/>
      <c r="D167" s="933"/>
      <c r="E167" s="933"/>
      <c r="F167" s="933"/>
      <c r="G167" s="933"/>
      <c r="H167" s="933"/>
      <c r="I167" s="933"/>
      <c r="J167" s="933"/>
      <c r="K167" s="934"/>
      <c r="L167" s="935"/>
      <c r="M167" s="933"/>
      <c r="N167" s="933"/>
      <c r="O167" s="933"/>
      <c r="P167" s="933"/>
      <c r="Q167" s="933"/>
      <c r="R167" s="933"/>
      <c r="S167" s="933"/>
      <c r="T167" s="933"/>
    </row>
    <row r="168" spans="1:20">
      <c r="A168" s="933"/>
      <c r="B168" s="933"/>
      <c r="C168" s="933"/>
      <c r="D168" s="933"/>
      <c r="E168" s="933"/>
      <c r="F168" s="933"/>
      <c r="G168" s="933"/>
      <c r="H168" s="933"/>
      <c r="I168" s="933"/>
      <c r="J168" s="933"/>
      <c r="K168" s="934"/>
      <c r="L168" s="935"/>
      <c r="M168" s="933"/>
      <c r="N168" s="933"/>
      <c r="O168" s="933"/>
      <c r="P168" s="933"/>
      <c r="Q168" s="933"/>
      <c r="R168" s="933"/>
      <c r="S168" s="933"/>
      <c r="T168" s="933"/>
    </row>
    <row r="169" spans="1:20">
      <c r="A169" s="933"/>
      <c r="B169" s="933"/>
      <c r="C169" s="933"/>
      <c r="D169" s="933"/>
      <c r="E169" s="933"/>
      <c r="F169" s="933"/>
      <c r="G169" s="933"/>
      <c r="H169" s="933"/>
      <c r="I169" s="933"/>
      <c r="J169" s="933"/>
      <c r="K169" s="934"/>
      <c r="L169" s="935"/>
      <c r="M169" s="933"/>
      <c r="N169" s="933"/>
      <c r="O169" s="933"/>
      <c r="P169" s="933"/>
      <c r="Q169" s="933"/>
      <c r="R169" s="933"/>
      <c r="S169" s="933"/>
      <c r="T169" s="933"/>
    </row>
    <row r="170" spans="1:20">
      <c r="A170" s="933"/>
      <c r="B170" s="933"/>
      <c r="C170" s="933"/>
      <c r="D170" s="933"/>
      <c r="E170" s="933"/>
      <c r="F170" s="933"/>
      <c r="G170" s="933"/>
      <c r="H170" s="933"/>
      <c r="I170" s="933"/>
      <c r="J170" s="933"/>
      <c r="K170" s="934"/>
      <c r="L170" s="935"/>
      <c r="M170" s="933"/>
      <c r="N170" s="933"/>
      <c r="O170" s="933"/>
      <c r="P170" s="933"/>
      <c r="Q170" s="933"/>
      <c r="R170" s="933"/>
      <c r="S170" s="933"/>
      <c r="T170" s="933"/>
    </row>
    <row r="171" spans="1:20">
      <c r="A171" s="933"/>
      <c r="B171" s="933"/>
      <c r="C171" s="933"/>
      <c r="D171" s="933"/>
      <c r="E171" s="933"/>
      <c r="F171" s="933"/>
      <c r="G171" s="933"/>
      <c r="H171" s="933"/>
      <c r="I171" s="933"/>
      <c r="J171" s="933"/>
      <c r="K171" s="934"/>
      <c r="L171" s="935"/>
      <c r="M171" s="933"/>
      <c r="N171" s="933"/>
      <c r="O171" s="933"/>
      <c r="P171" s="933"/>
      <c r="Q171" s="933"/>
      <c r="R171" s="933"/>
      <c r="S171" s="933"/>
      <c r="T171" s="933"/>
    </row>
    <row r="172" spans="1:20">
      <c r="A172" s="933"/>
      <c r="B172" s="933"/>
      <c r="C172" s="933"/>
      <c r="D172" s="933"/>
      <c r="E172" s="933"/>
      <c r="F172" s="933"/>
      <c r="G172" s="933"/>
      <c r="H172" s="933"/>
      <c r="I172" s="933"/>
      <c r="J172" s="933"/>
      <c r="K172" s="934"/>
      <c r="L172" s="935"/>
      <c r="M172" s="933"/>
      <c r="N172" s="933"/>
      <c r="O172" s="933"/>
      <c r="P172" s="933"/>
      <c r="Q172" s="933"/>
      <c r="R172" s="933"/>
      <c r="S172" s="933"/>
      <c r="T172" s="933"/>
    </row>
    <row r="173" spans="1:20">
      <c r="A173" s="933"/>
      <c r="B173" s="933"/>
      <c r="C173" s="933"/>
      <c r="D173" s="933"/>
      <c r="E173" s="933"/>
      <c r="F173" s="933"/>
      <c r="G173" s="933"/>
      <c r="H173" s="933"/>
      <c r="I173" s="933"/>
      <c r="J173" s="933"/>
      <c r="K173" s="934"/>
      <c r="L173" s="935"/>
      <c r="M173" s="933"/>
      <c r="N173" s="933"/>
      <c r="O173" s="933"/>
      <c r="P173" s="933"/>
      <c r="Q173" s="933"/>
      <c r="R173" s="933"/>
      <c r="S173" s="933"/>
      <c r="T173" s="933"/>
    </row>
    <row r="174" spans="1:20">
      <c r="A174" s="933"/>
      <c r="B174" s="933"/>
      <c r="C174" s="933"/>
      <c r="D174" s="933"/>
      <c r="E174" s="933"/>
      <c r="F174" s="933"/>
      <c r="G174" s="933"/>
      <c r="H174" s="933"/>
      <c r="I174" s="933"/>
      <c r="J174" s="933"/>
      <c r="K174" s="934"/>
      <c r="L174" s="935"/>
      <c r="M174" s="933"/>
      <c r="N174" s="933"/>
      <c r="O174" s="933"/>
      <c r="P174" s="933"/>
      <c r="Q174" s="933"/>
      <c r="R174" s="933"/>
      <c r="S174" s="933"/>
      <c r="T174" s="933"/>
    </row>
    <row r="175" spans="1:20">
      <c r="A175" s="933"/>
      <c r="B175" s="933"/>
      <c r="C175" s="933"/>
      <c r="D175" s="933"/>
      <c r="E175" s="933"/>
      <c r="F175" s="933"/>
      <c r="G175" s="933"/>
      <c r="H175" s="933"/>
      <c r="I175" s="933"/>
      <c r="J175" s="933"/>
      <c r="K175" s="934"/>
      <c r="L175" s="935"/>
      <c r="M175" s="933"/>
      <c r="N175" s="933"/>
      <c r="O175" s="933"/>
      <c r="P175" s="933"/>
      <c r="Q175" s="933"/>
      <c r="R175" s="933"/>
      <c r="S175" s="933"/>
      <c r="T175" s="933"/>
    </row>
    <row r="176" spans="1:20">
      <c r="A176" s="933"/>
      <c r="B176" s="933"/>
      <c r="C176" s="933"/>
      <c r="D176" s="933"/>
      <c r="E176" s="933"/>
      <c r="F176" s="933"/>
      <c r="G176" s="933"/>
      <c r="H176" s="933"/>
      <c r="I176" s="933"/>
      <c r="J176" s="933"/>
      <c r="K176" s="934"/>
      <c r="L176" s="935"/>
      <c r="M176" s="933"/>
      <c r="N176" s="933"/>
      <c r="O176" s="933"/>
      <c r="P176" s="933"/>
      <c r="Q176" s="933"/>
      <c r="R176" s="933"/>
      <c r="S176" s="933"/>
      <c r="T176" s="933"/>
    </row>
    <row r="177" spans="1:20">
      <c r="A177" s="933"/>
      <c r="B177" s="933"/>
      <c r="C177" s="933"/>
      <c r="D177" s="933"/>
      <c r="E177" s="933"/>
      <c r="F177" s="933"/>
      <c r="G177" s="933"/>
      <c r="H177" s="933"/>
      <c r="I177" s="933"/>
      <c r="J177" s="933"/>
      <c r="K177" s="934"/>
      <c r="L177" s="935"/>
      <c r="M177" s="933"/>
      <c r="N177" s="933"/>
      <c r="O177" s="933"/>
      <c r="P177" s="933"/>
      <c r="Q177" s="933"/>
      <c r="R177" s="933"/>
      <c r="S177" s="933"/>
      <c r="T177" s="933"/>
    </row>
    <row r="178" spans="1:20">
      <c r="A178" s="933"/>
      <c r="B178" s="933"/>
      <c r="C178" s="933"/>
      <c r="D178" s="933"/>
      <c r="E178" s="933"/>
      <c r="F178" s="933"/>
      <c r="G178" s="933"/>
      <c r="H178" s="933"/>
      <c r="I178" s="933"/>
      <c r="J178" s="933"/>
      <c r="K178" s="934"/>
      <c r="L178" s="935"/>
      <c r="M178" s="933"/>
      <c r="N178" s="933"/>
      <c r="O178" s="933"/>
      <c r="P178" s="933"/>
      <c r="Q178" s="933"/>
      <c r="R178" s="933"/>
      <c r="S178" s="933"/>
      <c r="T178" s="933"/>
    </row>
    <row r="179" spans="1:20">
      <c r="A179" s="933"/>
      <c r="B179" s="933"/>
      <c r="C179" s="933"/>
      <c r="D179" s="933"/>
      <c r="E179" s="933"/>
      <c r="F179" s="933"/>
      <c r="G179" s="933"/>
      <c r="H179" s="933"/>
      <c r="I179" s="933"/>
      <c r="J179" s="933"/>
      <c r="K179" s="934"/>
      <c r="L179" s="935"/>
      <c r="M179" s="933"/>
      <c r="N179" s="933"/>
      <c r="O179" s="933"/>
      <c r="P179" s="933"/>
      <c r="Q179" s="933"/>
      <c r="R179" s="933"/>
      <c r="S179" s="933"/>
      <c r="T179" s="933"/>
    </row>
    <row r="180" spans="1:20">
      <c r="A180" s="933"/>
      <c r="B180" s="933"/>
      <c r="C180" s="933"/>
      <c r="D180" s="933"/>
      <c r="E180" s="933"/>
      <c r="F180" s="933"/>
      <c r="G180" s="933"/>
      <c r="H180" s="933"/>
      <c r="I180" s="933"/>
      <c r="J180" s="933"/>
      <c r="K180" s="934"/>
      <c r="L180" s="935"/>
      <c r="M180" s="933"/>
      <c r="N180" s="933"/>
      <c r="O180" s="933"/>
      <c r="P180" s="933"/>
      <c r="Q180" s="933"/>
      <c r="R180" s="933"/>
      <c r="S180" s="933"/>
      <c r="T180" s="933"/>
    </row>
    <row r="181" spans="1:20">
      <c r="A181" s="933"/>
      <c r="B181" s="933"/>
      <c r="C181" s="933"/>
      <c r="D181" s="933"/>
      <c r="E181" s="933"/>
      <c r="F181" s="933"/>
      <c r="G181" s="933"/>
      <c r="H181" s="933"/>
      <c r="I181" s="933"/>
      <c r="J181" s="933"/>
      <c r="K181" s="934"/>
      <c r="L181" s="935"/>
      <c r="M181" s="933"/>
      <c r="N181" s="933"/>
      <c r="O181" s="933"/>
      <c r="P181" s="933"/>
      <c r="Q181" s="933"/>
      <c r="R181" s="933"/>
      <c r="S181" s="933"/>
      <c r="T181" s="933"/>
    </row>
    <row r="182" spans="1:20">
      <c r="A182" s="933"/>
      <c r="B182" s="933"/>
      <c r="C182" s="933"/>
      <c r="D182" s="933"/>
      <c r="E182" s="933"/>
      <c r="F182" s="933"/>
      <c r="G182" s="933"/>
      <c r="H182" s="933"/>
      <c r="I182" s="933"/>
      <c r="J182" s="933"/>
      <c r="K182" s="934"/>
      <c r="L182" s="935"/>
      <c r="M182" s="933"/>
      <c r="N182" s="933"/>
      <c r="O182" s="933"/>
      <c r="P182" s="933"/>
      <c r="Q182" s="933"/>
      <c r="R182" s="933"/>
      <c r="S182" s="933"/>
      <c r="T182" s="933"/>
    </row>
    <row r="183" spans="1:20">
      <c r="A183" s="933"/>
      <c r="B183" s="933"/>
      <c r="C183" s="933"/>
      <c r="D183" s="933"/>
      <c r="E183" s="933"/>
      <c r="F183" s="933"/>
      <c r="G183" s="933"/>
      <c r="H183" s="933"/>
      <c r="I183" s="933"/>
      <c r="J183" s="933"/>
      <c r="K183" s="934"/>
      <c r="L183" s="935"/>
      <c r="M183" s="933"/>
      <c r="N183" s="933"/>
      <c r="O183" s="933"/>
      <c r="P183" s="933"/>
      <c r="Q183" s="933"/>
      <c r="R183" s="933"/>
      <c r="S183" s="933"/>
      <c r="T183" s="933"/>
    </row>
    <row r="184" spans="1:20">
      <c r="A184" s="933"/>
      <c r="B184" s="933"/>
      <c r="C184" s="933"/>
      <c r="D184" s="933"/>
      <c r="E184" s="933"/>
      <c r="F184" s="933"/>
      <c r="G184" s="933"/>
      <c r="H184" s="933"/>
      <c r="I184" s="933"/>
      <c r="J184" s="933"/>
      <c r="K184" s="934"/>
      <c r="L184" s="935"/>
      <c r="M184" s="933"/>
      <c r="N184" s="933"/>
      <c r="O184" s="933"/>
      <c r="P184" s="933"/>
      <c r="Q184" s="933"/>
      <c r="R184" s="933"/>
      <c r="S184" s="933"/>
      <c r="T184" s="933"/>
    </row>
    <row r="185" spans="1:20">
      <c r="A185" s="933"/>
      <c r="B185" s="933"/>
      <c r="C185" s="933"/>
      <c r="D185" s="933"/>
      <c r="E185" s="933"/>
      <c r="F185" s="933"/>
      <c r="G185" s="933"/>
      <c r="H185" s="933"/>
      <c r="I185" s="933"/>
      <c r="J185" s="933"/>
      <c r="K185" s="934"/>
      <c r="L185" s="935"/>
      <c r="M185" s="933"/>
      <c r="N185" s="933"/>
      <c r="O185" s="933"/>
      <c r="P185" s="933"/>
      <c r="Q185" s="933"/>
      <c r="R185" s="933"/>
      <c r="S185" s="933"/>
      <c r="T185" s="933"/>
    </row>
    <row r="186" spans="1:20">
      <c r="A186" s="933"/>
      <c r="B186" s="933"/>
      <c r="C186" s="933"/>
      <c r="D186" s="933"/>
      <c r="E186" s="933"/>
      <c r="F186" s="933"/>
      <c r="G186" s="933"/>
      <c r="H186" s="933"/>
      <c r="I186" s="933"/>
      <c r="J186" s="933"/>
      <c r="K186" s="934"/>
      <c r="L186" s="935"/>
      <c r="M186" s="933"/>
      <c r="N186" s="933"/>
      <c r="O186" s="933"/>
      <c r="P186" s="933"/>
      <c r="Q186" s="933"/>
      <c r="R186" s="933"/>
      <c r="S186" s="933"/>
      <c r="T186" s="933"/>
    </row>
    <row r="187" spans="1:20">
      <c r="A187" s="933"/>
      <c r="B187" s="933"/>
      <c r="C187" s="933"/>
      <c r="D187" s="933"/>
      <c r="E187" s="933"/>
      <c r="F187" s="933"/>
      <c r="G187" s="933"/>
      <c r="H187" s="933"/>
      <c r="I187" s="933"/>
      <c r="J187" s="933"/>
      <c r="K187" s="934"/>
      <c r="L187" s="935"/>
      <c r="M187" s="933"/>
      <c r="N187" s="933"/>
      <c r="O187" s="933"/>
      <c r="P187" s="933"/>
      <c r="Q187" s="933"/>
      <c r="R187" s="933"/>
      <c r="S187" s="933"/>
      <c r="T187" s="933"/>
    </row>
    <row r="188" spans="1:20">
      <c r="A188" s="933"/>
      <c r="B188" s="933"/>
      <c r="C188" s="933"/>
      <c r="D188" s="933"/>
      <c r="E188" s="933"/>
      <c r="F188" s="933"/>
      <c r="G188" s="933"/>
      <c r="H188" s="933"/>
      <c r="I188" s="933"/>
      <c r="J188" s="933"/>
      <c r="K188" s="934"/>
      <c r="L188" s="935"/>
      <c r="M188" s="933"/>
      <c r="N188" s="933"/>
      <c r="O188" s="933"/>
      <c r="P188" s="933"/>
      <c r="Q188" s="933"/>
      <c r="R188" s="933"/>
      <c r="S188" s="933"/>
      <c r="T188" s="933"/>
    </row>
    <row r="189" spans="1:20">
      <c r="A189" s="933"/>
      <c r="B189" s="933"/>
      <c r="C189" s="933"/>
      <c r="D189" s="933"/>
      <c r="E189" s="933"/>
      <c r="F189" s="933"/>
      <c r="G189" s="933"/>
      <c r="H189" s="933"/>
      <c r="I189" s="933"/>
      <c r="J189" s="933"/>
      <c r="K189" s="934"/>
      <c r="L189" s="935"/>
      <c r="M189" s="933"/>
      <c r="N189" s="933"/>
      <c r="O189" s="933"/>
      <c r="P189" s="933"/>
      <c r="Q189" s="933"/>
      <c r="R189" s="933"/>
      <c r="S189" s="933"/>
      <c r="T189" s="933"/>
    </row>
    <row r="190" spans="1:20">
      <c r="A190" s="933"/>
      <c r="B190" s="933"/>
      <c r="C190" s="933"/>
      <c r="D190" s="933"/>
      <c r="E190" s="933"/>
      <c r="F190" s="933"/>
      <c r="G190" s="933"/>
      <c r="H190" s="933"/>
      <c r="I190" s="933"/>
      <c r="J190" s="933"/>
      <c r="K190" s="934"/>
      <c r="L190" s="935"/>
      <c r="M190" s="933"/>
      <c r="N190" s="933"/>
      <c r="O190" s="933"/>
      <c r="P190" s="933"/>
      <c r="Q190" s="933"/>
      <c r="R190" s="933"/>
      <c r="S190" s="933"/>
      <c r="T190" s="933"/>
    </row>
    <row r="191" spans="1:20">
      <c r="A191" s="933"/>
      <c r="B191" s="933"/>
      <c r="C191" s="933"/>
      <c r="D191" s="933"/>
      <c r="E191" s="933"/>
      <c r="F191" s="933"/>
      <c r="G191" s="933"/>
      <c r="H191" s="933"/>
      <c r="I191" s="933"/>
      <c r="J191" s="933"/>
      <c r="K191" s="934"/>
      <c r="L191" s="935"/>
      <c r="M191" s="933"/>
      <c r="N191" s="933"/>
      <c r="O191" s="933"/>
      <c r="P191" s="933"/>
      <c r="Q191" s="933"/>
      <c r="R191" s="933"/>
      <c r="S191" s="933"/>
      <c r="T191" s="933"/>
    </row>
    <row r="192" spans="1:20">
      <c r="A192" s="933"/>
      <c r="B192" s="933"/>
      <c r="C192" s="933"/>
      <c r="D192" s="933"/>
      <c r="E192" s="933"/>
      <c r="F192" s="933"/>
      <c r="G192" s="933"/>
      <c r="H192" s="933"/>
      <c r="I192" s="933"/>
      <c r="J192" s="933"/>
      <c r="K192" s="934"/>
      <c r="L192" s="935"/>
      <c r="M192" s="933"/>
      <c r="N192" s="933"/>
      <c r="O192" s="933"/>
      <c r="P192" s="933"/>
      <c r="Q192" s="933"/>
      <c r="R192" s="933"/>
      <c r="S192" s="933"/>
      <c r="T192" s="933"/>
    </row>
    <row r="193" spans="1:20">
      <c r="A193" s="933"/>
      <c r="B193" s="933"/>
      <c r="C193" s="933"/>
      <c r="D193" s="933"/>
      <c r="E193" s="933"/>
      <c r="F193" s="933"/>
      <c r="G193" s="933"/>
      <c r="H193" s="933"/>
      <c r="I193" s="933"/>
      <c r="J193" s="933"/>
      <c r="K193" s="934"/>
      <c r="L193" s="935"/>
      <c r="M193" s="933"/>
      <c r="N193" s="933"/>
      <c r="O193" s="933"/>
      <c r="P193" s="933"/>
      <c r="Q193" s="933"/>
      <c r="R193" s="933"/>
      <c r="S193" s="933"/>
      <c r="T193" s="933"/>
    </row>
    <row r="194" spans="1:20">
      <c r="A194" s="933"/>
      <c r="B194" s="933"/>
      <c r="C194" s="933"/>
      <c r="D194" s="933"/>
      <c r="E194" s="933"/>
      <c r="F194" s="933"/>
      <c r="G194" s="933"/>
      <c r="H194" s="933"/>
      <c r="I194" s="933"/>
      <c r="J194" s="933"/>
      <c r="K194" s="934"/>
      <c r="L194" s="935"/>
      <c r="M194" s="933"/>
      <c r="N194" s="933"/>
      <c r="O194" s="933"/>
      <c r="P194" s="933"/>
      <c r="Q194" s="933"/>
      <c r="R194" s="933"/>
      <c r="S194" s="933"/>
      <c r="T194" s="933"/>
    </row>
    <row r="195" spans="1:20">
      <c r="A195" s="933"/>
      <c r="B195" s="933"/>
      <c r="C195" s="933"/>
      <c r="D195" s="933"/>
      <c r="E195" s="933"/>
      <c r="F195" s="933"/>
      <c r="G195" s="933"/>
      <c r="H195" s="933"/>
      <c r="I195" s="933"/>
      <c r="J195" s="933"/>
      <c r="K195" s="934"/>
      <c r="L195" s="935"/>
      <c r="M195" s="933"/>
      <c r="N195" s="933"/>
      <c r="O195" s="933"/>
      <c r="P195" s="933"/>
      <c r="Q195" s="933"/>
      <c r="R195" s="933"/>
      <c r="S195" s="933"/>
      <c r="T195" s="933"/>
    </row>
    <row r="196" spans="1:20">
      <c r="A196" s="933"/>
      <c r="B196" s="933"/>
      <c r="C196" s="933"/>
      <c r="D196" s="933"/>
      <c r="E196" s="933"/>
      <c r="F196" s="933"/>
      <c r="G196" s="933"/>
      <c r="H196" s="933"/>
      <c r="I196" s="933"/>
      <c r="J196" s="933"/>
      <c r="K196" s="934"/>
      <c r="L196" s="935"/>
      <c r="M196" s="933"/>
      <c r="N196" s="933"/>
      <c r="O196" s="933"/>
      <c r="P196" s="933"/>
      <c r="Q196" s="933"/>
      <c r="R196" s="933"/>
      <c r="S196" s="933"/>
      <c r="T196" s="933"/>
    </row>
    <row r="197" spans="1:20">
      <c r="A197" s="933"/>
      <c r="B197" s="933"/>
      <c r="C197" s="933"/>
      <c r="D197" s="933"/>
      <c r="E197" s="933"/>
      <c r="F197" s="933"/>
      <c r="G197" s="933"/>
      <c r="H197" s="933"/>
      <c r="I197" s="933"/>
      <c r="J197" s="933"/>
      <c r="K197" s="934"/>
      <c r="L197" s="935"/>
      <c r="M197" s="933"/>
      <c r="N197" s="933"/>
      <c r="O197" s="933"/>
      <c r="P197" s="933"/>
      <c r="Q197" s="933"/>
      <c r="R197" s="933"/>
      <c r="S197" s="933"/>
      <c r="T197" s="933"/>
    </row>
    <row r="198" spans="1:20">
      <c r="A198" s="933"/>
      <c r="B198" s="933"/>
      <c r="C198" s="933"/>
      <c r="D198" s="933"/>
      <c r="E198" s="933"/>
      <c r="F198" s="933"/>
      <c r="G198" s="933"/>
      <c r="H198" s="933"/>
      <c r="I198" s="933"/>
      <c r="J198" s="933"/>
      <c r="K198" s="934"/>
      <c r="L198" s="935"/>
      <c r="M198" s="933"/>
      <c r="N198" s="933"/>
      <c r="O198" s="933"/>
      <c r="P198" s="933"/>
      <c r="Q198" s="933"/>
      <c r="R198" s="933"/>
      <c r="S198" s="933"/>
      <c r="T198" s="933"/>
    </row>
    <row r="199" spans="1:20">
      <c r="A199" s="933"/>
      <c r="B199" s="933"/>
      <c r="C199" s="933"/>
      <c r="D199" s="933"/>
      <c r="E199" s="933"/>
      <c r="F199" s="933"/>
      <c r="G199" s="933"/>
      <c r="H199" s="933"/>
      <c r="I199" s="933"/>
      <c r="J199" s="933"/>
      <c r="K199" s="934"/>
      <c r="L199" s="935"/>
      <c r="M199" s="933"/>
      <c r="N199" s="933"/>
      <c r="O199" s="933"/>
      <c r="P199" s="933"/>
      <c r="Q199" s="933"/>
      <c r="R199" s="933"/>
      <c r="S199" s="933"/>
      <c r="T199" s="933"/>
    </row>
    <row r="200" spans="1:20">
      <c r="A200" s="933"/>
      <c r="B200" s="933"/>
      <c r="C200" s="933"/>
      <c r="D200" s="933"/>
      <c r="E200" s="933"/>
      <c r="F200" s="933"/>
      <c r="G200" s="933"/>
      <c r="H200" s="933"/>
      <c r="I200" s="933"/>
      <c r="J200" s="933"/>
      <c r="K200" s="934"/>
      <c r="L200" s="935"/>
      <c r="M200" s="933"/>
      <c r="N200" s="933"/>
      <c r="O200" s="933"/>
      <c r="P200" s="933"/>
      <c r="Q200" s="933"/>
      <c r="R200" s="933"/>
      <c r="S200" s="933"/>
      <c r="T200" s="933"/>
    </row>
    <row r="201" spans="1:20">
      <c r="A201" s="933"/>
      <c r="B201" s="933"/>
      <c r="C201" s="933"/>
      <c r="D201" s="933"/>
      <c r="E201" s="933"/>
      <c r="F201" s="933"/>
      <c r="G201" s="933"/>
      <c r="H201" s="933"/>
      <c r="I201" s="933"/>
      <c r="J201" s="933"/>
      <c r="K201" s="934"/>
      <c r="L201" s="935"/>
      <c r="M201" s="933"/>
      <c r="N201" s="933"/>
      <c r="O201" s="933"/>
      <c r="P201" s="933"/>
      <c r="Q201" s="933"/>
      <c r="R201" s="933"/>
      <c r="S201" s="933"/>
      <c r="T201" s="933"/>
    </row>
    <row r="202" spans="1:20">
      <c r="A202" s="933"/>
      <c r="B202" s="933"/>
      <c r="C202" s="933"/>
      <c r="D202" s="933"/>
      <c r="E202" s="933"/>
      <c r="F202" s="933"/>
      <c r="G202" s="933"/>
      <c r="H202" s="933"/>
      <c r="I202" s="933"/>
      <c r="J202" s="933"/>
      <c r="K202" s="934"/>
      <c r="L202" s="935"/>
      <c r="M202" s="933"/>
      <c r="N202" s="933"/>
      <c r="O202" s="933"/>
      <c r="P202" s="933"/>
      <c r="Q202" s="933"/>
      <c r="R202" s="933"/>
      <c r="S202" s="933"/>
      <c r="T202" s="933"/>
    </row>
    <row r="203" spans="1:20">
      <c r="A203" s="933"/>
      <c r="B203" s="933"/>
      <c r="C203" s="933"/>
      <c r="D203" s="933"/>
      <c r="E203" s="933"/>
      <c r="F203" s="933"/>
      <c r="G203" s="933"/>
      <c r="H203" s="933"/>
      <c r="I203" s="933"/>
      <c r="J203" s="933"/>
      <c r="K203" s="934"/>
      <c r="L203" s="935"/>
      <c r="M203" s="933"/>
      <c r="N203" s="933"/>
      <c r="O203" s="933"/>
      <c r="P203" s="933"/>
      <c r="Q203" s="933"/>
      <c r="R203" s="933"/>
      <c r="S203" s="933"/>
      <c r="T203" s="933"/>
    </row>
    <row r="204" spans="1:20">
      <c r="A204" s="933"/>
      <c r="B204" s="933"/>
      <c r="C204" s="933"/>
      <c r="D204" s="933"/>
      <c r="E204" s="933"/>
      <c r="F204" s="933"/>
      <c r="G204" s="933"/>
      <c r="H204" s="933"/>
      <c r="I204" s="933"/>
      <c r="J204" s="933"/>
      <c r="K204" s="934"/>
      <c r="L204" s="935"/>
      <c r="M204" s="933"/>
      <c r="N204" s="933"/>
      <c r="O204" s="933"/>
      <c r="P204" s="933"/>
      <c r="Q204" s="933"/>
      <c r="R204" s="933"/>
      <c r="S204" s="933"/>
      <c r="T204" s="933"/>
    </row>
    <row r="205" spans="1:20">
      <c r="A205" s="933"/>
      <c r="B205" s="933"/>
      <c r="C205" s="933"/>
      <c r="D205" s="933"/>
      <c r="E205" s="933"/>
      <c r="F205" s="933"/>
      <c r="G205" s="933"/>
      <c r="H205" s="933"/>
      <c r="I205" s="933"/>
      <c r="J205" s="933"/>
      <c r="K205" s="934"/>
      <c r="L205" s="935"/>
      <c r="M205" s="933"/>
      <c r="N205" s="933"/>
      <c r="O205" s="933"/>
      <c r="P205" s="933"/>
      <c r="Q205" s="933"/>
      <c r="R205" s="933"/>
      <c r="S205" s="933"/>
      <c r="T205" s="933"/>
    </row>
    <row r="206" spans="1:20">
      <c r="A206" s="933"/>
      <c r="B206" s="933"/>
      <c r="C206" s="933"/>
      <c r="D206" s="933"/>
      <c r="E206" s="933"/>
      <c r="F206" s="933"/>
      <c r="G206" s="933"/>
      <c r="H206" s="933"/>
      <c r="I206" s="933"/>
      <c r="J206" s="933"/>
      <c r="K206" s="934"/>
      <c r="L206" s="935"/>
      <c r="M206" s="933"/>
      <c r="N206" s="933"/>
      <c r="O206" s="933"/>
      <c r="P206" s="933"/>
      <c r="Q206" s="933"/>
      <c r="R206" s="933"/>
      <c r="S206" s="933"/>
      <c r="T206" s="933"/>
    </row>
    <row r="207" spans="1:20">
      <c r="A207" s="933"/>
      <c r="B207" s="933"/>
      <c r="C207" s="933"/>
      <c r="D207" s="933"/>
      <c r="E207" s="933"/>
      <c r="F207" s="933"/>
      <c r="G207" s="933"/>
      <c r="H207" s="933"/>
      <c r="I207" s="933"/>
      <c r="J207" s="933"/>
      <c r="K207" s="934"/>
      <c r="L207" s="935"/>
      <c r="M207" s="933"/>
      <c r="N207" s="933"/>
      <c r="O207" s="933"/>
      <c r="P207" s="933"/>
      <c r="Q207" s="933"/>
      <c r="R207" s="933"/>
      <c r="S207" s="933"/>
      <c r="T207" s="933"/>
    </row>
    <row r="208" spans="1:20">
      <c r="A208" s="933"/>
      <c r="B208" s="933"/>
      <c r="C208" s="933"/>
      <c r="D208" s="933"/>
      <c r="E208" s="933"/>
      <c r="F208" s="933"/>
      <c r="G208" s="933"/>
      <c r="H208" s="933"/>
      <c r="I208" s="933"/>
      <c r="J208" s="933"/>
      <c r="K208" s="934"/>
      <c r="L208" s="935"/>
      <c r="M208" s="933"/>
      <c r="N208" s="933"/>
      <c r="O208" s="933"/>
      <c r="P208" s="933"/>
      <c r="Q208" s="933"/>
      <c r="R208" s="933"/>
      <c r="S208" s="933"/>
      <c r="T208" s="933"/>
    </row>
    <row r="209" spans="1:20">
      <c r="A209" s="933"/>
      <c r="B209" s="933"/>
      <c r="C209" s="933"/>
      <c r="D209" s="933"/>
      <c r="E209" s="933"/>
      <c r="F209" s="933"/>
      <c r="G209" s="933"/>
      <c r="H209" s="933"/>
      <c r="I209" s="933"/>
      <c r="J209" s="933"/>
      <c r="K209" s="934"/>
      <c r="L209" s="935"/>
      <c r="M209" s="933"/>
      <c r="N209" s="933"/>
      <c r="O209" s="933"/>
      <c r="P209" s="933"/>
      <c r="Q209" s="933"/>
      <c r="R209" s="933"/>
      <c r="S209" s="933"/>
      <c r="T209" s="933"/>
    </row>
    <row r="210" spans="1:20">
      <c r="A210" s="933"/>
      <c r="B210" s="933"/>
      <c r="C210" s="933"/>
      <c r="D210" s="933"/>
      <c r="E210" s="933"/>
      <c r="F210" s="933"/>
      <c r="G210" s="933"/>
      <c r="H210" s="933"/>
      <c r="I210" s="933"/>
      <c r="J210" s="933"/>
      <c r="K210" s="934"/>
      <c r="L210" s="935"/>
      <c r="M210" s="933"/>
      <c r="N210" s="933"/>
      <c r="O210" s="933"/>
      <c r="P210" s="933"/>
      <c r="Q210" s="933"/>
      <c r="R210" s="933"/>
      <c r="S210" s="933"/>
      <c r="T210" s="933"/>
    </row>
    <row r="211" spans="1:20">
      <c r="A211" s="933"/>
      <c r="B211" s="933"/>
      <c r="C211" s="933"/>
      <c r="D211" s="933"/>
      <c r="E211" s="933"/>
      <c r="F211" s="933"/>
      <c r="G211" s="933"/>
      <c r="H211" s="933"/>
      <c r="I211" s="933"/>
      <c r="J211" s="933"/>
      <c r="K211" s="934"/>
      <c r="L211" s="935"/>
      <c r="M211" s="933"/>
      <c r="N211" s="933"/>
      <c r="O211" s="933"/>
      <c r="P211" s="933"/>
      <c r="Q211" s="933"/>
      <c r="R211" s="933"/>
      <c r="S211" s="933"/>
      <c r="T211" s="933"/>
    </row>
    <row r="212" spans="1:20">
      <c r="A212" s="933"/>
      <c r="B212" s="933"/>
      <c r="C212" s="933"/>
      <c r="D212" s="933"/>
      <c r="E212" s="933"/>
      <c r="F212" s="933"/>
      <c r="G212" s="933"/>
      <c r="H212" s="933"/>
      <c r="I212" s="933"/>
      <c r="J212" s="933"/>
      <c r="K212" s="934"/>
      <c r="L212" s="935"/>
      <c r="M212" s="933"/>
      <c r="N212" s="933"/>
      <c r="O212" s="933"/>
      <c r="P212" s="933"/>
      <c r="Q212" s="933"/>
      <c r="R212" s="933"/>
      <c r="S212" s="933"/>
      <c r="T212" s="933"/>
    </row>
    <row r="213" spans="1:20">
      <c r="A213" s="933"/>
      <c r="B213" s="933"/>
      <c r="C213" s="933"/>
      <c r="D213" s="933"/>
      <c r="E213" s="933"/>
      <c r="F213" s="933"/>
      <c r="G213" s="933"/>
      <c r="H213" s="933"/>
      <c r="I213" s="933"/>
      <c r="J213" s="933"/>
      <c r="K213" s="934"/>
      <c r="L213" s="935"/>
      <c r="M213" s="933"/>
      <c r="N213" s="933"/>
      <c r="O213" s="933"/>
      <c r="P213" s="933"/>
      <c r="Q213" s="933"/>
      <c r="R213" s="933"/>
      <c r="S213" s="933"/>
      <c r="T213" s="933"/>
    </row>
    <row r="214" spans="1:20">
      <c r="A214" s="933"/>
      <c r="B214" s="933"/>
      <c r="C214" s="933"/>
      <c r="D214" s="933"/>
      <c r="E214" s="933"/>
      <c r="F214" s="933"/>
      <c r="G214" s="933"/>
      <c r="H214" s="933"/>
      <c r="I214" s="933"/>
      <c r="J214" s="933"/>
      <c r="K214" s="934"/>
      <c r="L214" s="935"/>
      <c r="M214" s="933"/>
      <c r="N214" s="933"/>
      <c r="O214" s="933"/>
      <c r="P214" s="933"/>
      <c r="Q214" s="933"/>
      <c r="R214" s="933"/>
      <c r="S214" s="933"/>
      <c r="T214" s="933"/>
    </row>
    <row r="215" spans="1:20">
      <c r="A215" s="933"/>
      <c r="B215" s="933"/>
      <c r="C215" s="933"/>
      <c r="D215" s="933"/>
      <c r="E215" s="933"/>
      <c r="F215" s="933"/>
      <c r="G215" s="933"/>
      <c r="H215" s="933"/>
      <c r="I215" s="933"/>
      <c r="J215" s="933"/>
      <c r="K215" s="934"/>
      <c r="L215" s="935"/>
      <c r="M215" s="933"/>
      <c r="N215" s="933"/>
      <c r="O215" s="933"/>
      <c r="P215" s="933"/>
      <c r="Q215" s="933"/>
      <c r="R215" s="933"/>
      <c r="S215" s="933"/>
      <c r="T215" s="933"/>
    </row>
    <row r="216" spans="1:20">
      <c r="A216" s="933"/>
      <c r="B216" s="933"/>
      <c r="C216" s="933"/>
      <c r="D216" s="933"/>
      <c r="E216" s="933"/>
      <c r="F216" s="933"/>
      <c r="G216" s="933"/>
      <c r="H216" s="933"/>
      <c r="I216" s="933"/>
      <c r="J216" s="933"/>
      <c r="K216" s="934"/>
      <c r="L216" s="935"/>
      <c r="M216" s="933"/>
      <c r="N216" s="933"/>
      <c r="O216" s="933"/>
      <c r="P216" s="933"/>
      <c r="Q216" s="933"/>
      <c r="R216" s="933"/>
      <c r="S216" s="933"/>
      <c r="T216" s="933"/>
    </row>
    <row r="217" spans="1:20">
      <c r="A217" s="933"/>
      <c r="B217" s="933"/>
      <c r="C217" s="933"/>
      <c r="D217" s="933"/>
      <c r="E217" s="933"/>
      <c r="F217" s="933"/>
      <c r="G217" s="933"/>
      <c r="H217" s="933"/>
      <c r="I217" s="933"/>
      <c r="J217" s="933"/>
      <c r="K217" s="934"/>
      <c r="L217" s="935"/>
      <c r="M217" s="933"/>
      <c r="N217" s="933"/>
      <c r="O217" s="933"/>
      <c r="P217" s="933"/>
      <c r="Q217" s="933"/>
      <c r="R217" s="933"/>
      <c r="S217" s="933"/>
      <c r="T217" s="933"/>
    </row>
    <row r="218" spans="1:20">
      <c r="A218" s="933"/>
      <c r="B218" s="933"/>
      <c r="C218" s="933"/>
      <c r="D218" s="933"/>
      <c r="E218" s="933"/>
      <c r="F218" s="933"/>
      <c r="G218" s="933"/>
      <c r="H218" s="933"/>
      <c r="I218" s="933"/>
      <c r="J218" s="933"/>
      <c r="K218" s="934"/>
      <c r="L218" s="935"/>
      <c r="M218" s="933"/>
      <c r="N218" s="933"/>
      <c r="O218" s="933"/>
      <c r="P218" s="933"/>
      <c r="Q218" s="933"/>
      <c r="R218" s="933"/>
      <c r="S218" s="933"/>
      <c r="T218" s="933"/>
    </row>
    <row r="219" spans="1:20">
      <c r="A219" s="933"/>
      <c r="B219" s="933"/>
      <c r="C219" s="933"/>
      <c r="D219" s="933"/>
      <c r="E219" s="933"/>
      <c r="F219" s="933"/>
      <c r="G219" s="933"/>
      <c r="H219" s="933"/>
      <c r="I219" s="933"/>
      <c r="J219" s="933"/>
      <c r="K219" s="934"/>
      <c r="L219" s="935"/>
      <c r="M219" s="933"/>
      <c r="N219" s="933"/>
      <c r="O219" s="933"/>
      <c r="P219" s="933"/>
      <c r="Q219" s="933"/>
      <c r="R219" s="933"/>
      <c r="S219" s="933"/>
      <c r="T219" s="933"/>
    </row>
    <row r="220" spans="1:20">
      <c r="A220" s="933"/>
      <c r="B220" s="933"/>
      <c r="C220" s="933"/>
      <c r="D220" s="933"/>
      <c r="E220" s="933"/>
      <c r="F220" s="933"/>
      <c r="G220" s="933"/>
      <c r="H220" s="933"/>
      <c r="I220" s="933"/>
      <c r="J220" s="933"/>
      <c r="K220" s="934"/>
      <c r="L220" s="935"/>
      <c r="M220" s="933"/>
      <c r="N220" s="933"/>
      <c r="O220" s="933"/>
      <c r="P220" s="933"/>
      <c r="Q220" s="933"/>
      <c r="R220" s="933"/>
      <c r="S220" s="933"/>
      <c r="T220" s="933"/>
    </row>
    <row r="221" spans="1:20">
      <c r="A221" s="933"/>
      <c r="B221" s="933"/>
      <c r="C221" s="933"/>
      <c r="D221" s="933"/>
      <c r="E221" s="933"/>
      <c r="F221" s="933"/>
      <c r="G221" s="933"/>
      <c r="H221" s="933"/>
      <c r="I221" s="933"/>
      <c r="J221" s="933"/>
      <c r="K221" s="934"/>
      <c r="L221" s="935"/>
      <c r="M221" s="933"/>
      <c r="N221" s="933"/>
      <c r="O221" s="933"/>
      <c r="P221" s="933"/>
      <c r="Q221" s="933"/>
      <c r="R221" s="933"/>
      <c r="S221" s="933"/>
      <c r="T221" s="933"/>
    </row>
    <row r="222" spans="1:20">
      <c r="A222" s="933"/>
      <c r="B222" s="933"/>
      <c r="C222" s="933"/>
      <c r="D222" s="933"/>
      <c r="E222" s="933"/>
      <c r="F222" s="933"/>
      <c r="G222" s="933"/>
      <c r="H222" s="933"/>
      <c r="I222" s="933"/>
      <c r="J222" s="933"/>
      <c r="K222" s="934"/>
      <c r="L222" s="935"/>
      <c r="M222" s="933"/>
      <c r="N222" s="933"/>
      <c r="O222" s="933"/>
      <c r="P222" s="933"/>
      <c r="Q222" s="933"/>
      <c r="R222" s="933"/>
      <c r="S222" s="933"/>
      <c r="T222" s="933"/>
    </row>
    <row r="223" spans="1:20">
      <c r="A223" s="933"/>
      <c r="B223" s="933"/>
      <c r="C223" s="933"/>
      <c r="D223" s="933"/>
      <c r="E223" s="933"/>
      <c r="F223" s="933"/>
      <c r="G223" s="933"/>
      <c r="H223" s="933"/>
      <c r="I223" s="933"/>
      <c r="J223" s="933"/>
      <c r="K223" s="934"/>
      <c r="L223" s="935"/>
      <c r="M223" s="933"/>
      <c r="N223" s="933"/>
      <c r="O223" s="933"/>
      <c r="P223" s="933"/>
      <c r="Q223" s="933"/>
      <c r="R223" s="933"/>
      <c r="S223" s="933"/>
      <c r="T223" s="933"/>
    </row>
    <row r="224" spans="1:20">
      <c r="A224" s="933"/>
      <c r="B224" s="933"/>
      <c r="C224" s="933"/>
      <c r="D224" s="933"/>
      <c r="E224" s="933"/>
      <c r="F224" s="933"/>
      <c r="G224" s="933"/>
      <c r="H224" s="933"/>
      <c r="I224" s="933"/>
      <c r="J224" s="933"/>
      <c r="K224" s="934"/>
      <c r="L224" s="935"/>
      <c r="M224" s="933"/>
      <c r="N224" s="933"/>
      <c r="O224" s="933"/>
      <c r="P224" s="933"/>
      <c r="Q224" s="933"/>
      <c r="R224" s="933"/>
      <c r="S224" s="933"/>
      <c r="T224" s="933"/>
    </row>
    <row r="225" spans="1:20">
      <c r="A225" s="933"/>
      <c r="B225" s="933"/>
      <c r="C225" s="933"/>
      <c r="D225" s="933"/>
      <c r="E225" s="933"/>
      <c r="F225" s="933"/>
      <c r="G225" s="933"/>
      <c r="H225" s="933"/>
      <c r="I225" s="933"/>
      <c r="J225" s="933"/>
      <c r="K225" s="934"/>
      <c r="L225" s="935"/>
      <c r="M225" s="933"/>
      <c r="N225" s="933"/>
      <c r="O225" s="933"/>
      <c r="P225" s="933"/>
      <c r="Q225" s="933"/>
      <c r="R225" s="933"/>
      <c r="S225" s="933"/>
      <c r="T225" s="933"/>
    </row>
    <row r="226" spans="1:20">
      <c r="A226" s="933"/>
      <c r="B226" s="933"/>
      <c r="C226" s="933"/>
      <c r="D226" s="933"/>
      <c r="E226" s="933"/>
      <c r="F226" s="933"/>
      <c r="G226" s="933"/>
      <c r="H226" s="933"/>
      <c r="I226" s="933"/>
      <c r="J226" s="933"/>
      <c r="K226" s="934"/>
      <c r="L226" s="935"/>
      <c r="M226" s="933"/>
      <c r="N226" s="933"/>
      <c r="O226" s="933"/>
      <c r="P226" s="933"/>
      <c r="Q226" s="933"/>
      <c r="R226" s="933"/>
      <c r="S226" s="933"/>
      <c r="T226" s="933"/>
    </row>
    <row r="227" spans="1:20">
      <c r="A227" s="933"/>
      <c r="B227" s="933"/>
      <c r="C227" s="933"/>
      <c r="D227" s="933"/>
      <c r="E227" s="933"/>
      <c r="F227" s="933"/>
      <c r="G227" s="933"/>
      <c r="H227" s="933"/>
      <c r="I227" s="933"/>
      <c r="J227" s="933"/>
      <c r="K227" s="934"/>
      <c r="L227" s="935"/>
      <c r="M227" s="933"/>
      <c r="N227" s="933"/>
      <c r="O227" s="933"/>
      <c r="P227" s="933"/>
      <c r="Q227" s="933"/>
      <c r="R227" s="933"/>
      <c r="S227" s="933"/>
      <c r="T227" s="933"/>
    </row>
    <row r="228" spans="1:20">
      <c r="A228" s="933"/>
      <c r="B228" s="933"/>
      <c r="C228" s="933"/>
      <c r="D228" s="933"/>
      <c r="E228" s="933"/>
      <c r="F228" s="933"/>
      <c r="G228" s="933"/>
      <c r="H228" s="933"/>
      <c r="I228" s="933"/>
      <c r="J228" s="933"/>
      <c r="K228" s="934"/>
      <c r="L228" s="935"/>
      <c r="M228" s="933"/>
      <c r="N228" s="933"/>
      <c r="O228" s="933"/>
      <c r="P228" s="933"/>
      <c r="Q228" s="933"/>
      <c r="R228" s="933"/>
      <c r="S228" s="933"/>
      <c r="T228" s="933"/>
    </row>
    <row r="229" spans="1:20">
      <c r="A229" s="933"/>
      <c r="B229" s="933"/>
      <c r="C229" s="933"/>
      <c r="D229" s="933"/>
      <c r="E229" s="933"/>
      <c r="F229" s="933"/>
      <c r="G229" s="933"/>
      <c r="H229" s="933"/>
      <c r="I229" s="933"/>
      <c r="J229" s="933"/>
      <c r="K229" s="934"/>
      <c r="L229" s="935"/>
      <c r="M229" s="933"/>
      <c r="N229" s="933"/>
      <c r="O229" s="933"/>
      <c r="P229" s="933"/>
      <c r="Q229" s="933"/>
      <c r="R229" s="933"/>
      <c r="S229" s="933"/>
      <c r="T229" s="933"/>
    </row>
    <row r="230" spans="1:20">
      <c r="A230" s="933"/>
      <c r="B230" s="933"/>
      <c r="C230" s="933"/>
      <c r="D230" s="933"/>
      <c r="E230" s="933"/>
      <c r="F230" s="933"/>
      <c r="G230" s="933"/>
      <c r="H230" s="933"/>
      <c r="I230" s="933"/>
      <c r="J230" s="933"/>
      <c r="K230" s="934"/>
      <c r="L230" s="935"/>
      <c r="M230" s="933"/>
      <c r="N230" s="933"/>
      <c r="O230" s="933"/>
      <c r="P230" s="933"/>
      <c r="Q230" s="933"/>
      <c r="R230" s="933"/>
      <c r="S230" s="933"/>
      <c r="T230" s="933"/>
    </row>
    <row r="231" spans="1:20">
      <c r="A231" s="933"/>
      <c r="B231" s="933"/>
      <c r="C231" s="933"/>
      <c r="D231" s="933"/>
      <c r="E231" s="933"/>
      <c r="F231" s="933"/>
      <c r="G231" s="933"/>
      <c r="H231" s="933"/>
      <c r="I231" s="933"/>
      <c r="J231" s="933"/>
      <c r="K231" s="934"/>
      <c r="L231" s="935"/>
      <c r="M231" s="933"/>
      <c r="N231" s="933"/>
      <c r="O231" s="933"/>
      <c r="P231" s="933"/>
      <c r="Q231" s="933"/>
      <c r="R231" s="933"/>
      <c r="S231" s="933"/>
      <c r="T231" s="933"/>
    </row>
    <row r="232" spans="1:20">
      <c r="A232" s="933"/>
      <c r="B232" s="933"/>
      <c r="C232" s="933"/>
      <c r="D232" s="933"/>
      <c r="E232" s="933"/>
      <c r="F232" s="933"/>
      <c r="G232" s="933"/>
      <c r="H232" s="933"/>
      <c r="I232" s="933"/>
      <c r="J232" s="933"/>
      <c r="K232" s="934"/>
      <c r="L232" s="935"/>
      <c r="M232" s="933"/>
      <c r="N232" s="933"/>
      <c r="O232" s="933"/>
      <c r="P232" s="933"/>
      <c r="Q232" s="933"/>
      <c r="R232" s="933"/>
      <c r="S232" s="933"/>
      <c r="T232" s="933"/>
    </row>
    <row r="233" spans="1:20">
      <c r="A233" s="933"/>
      <c r="B233" s="933"/>
      <c r="C233" s="933"/>
      <c r="D233" s="933"/>
      <c r="E233" s="933"/>
      <c r="F233" s="933"/>
      <c r="G233" s="933"/>
      <c r="H233" s="933"/>
      <c r="I233" s="933"/>
      <c r="J233" s="933"/>
      <c r="K233" s="934"/>
      <c r="L233" s="935"/>
      <c r="M233" s="933"/>
      <c r="N233" s="933"/>
      <c r="O233" s="933"/>
      <c r="P233" s="933"/>
      <c r="Q233" s="933"/>
      <c r="R233" s="933"/>
      <c r="S233" s="933"/>
      <c r="T233" s="933"/>
    </row>
    <row r="234" spans="1:20">
      <c r="A234" s="933"/>
      <c r="B234" s="933"/>
      <c r="C234" s="933"/>
      <c r="D234" s="933"/>
      <c r="E234" s="933"/>
      <c r="F234" s="933"/>
      <c r="G234" s="933"/>
      <c r="H234" s="933"/>
      <c r="I234" s="933"/>
      <c r="J234" s="933"/>
      <c r="K234" s="934"/>
      <c r="L234" s="935"/>
      <c r="M234" s="933"/>
      <c r="N234" s="933"/>
      <c r="O234" s="933"/>
      <c r="P234" s="933"/>
      <c r="Q234" s="933"/>
      <c r="R234" s="933"/>
      <c r="S234" s="933"/>
      <c r="T234" s="933"/>
    </row>
    <row r="235" spans="1:20">
      <c r="A235" s="933"/>
      <c r="B235" s="933"/>
      <c r="C235" s="933"/>
      <c r="D235" s="933"/>
      <c r="E235" s="933"/>
      <c r="F235" s="933"/>
      <c r="G235" s="933"/>
      <c r="H235" s="933"/>
      <c r="I235" s="933"/>
      <c r="J235" s="933"/>
      <c r="K235" s="934"/>
      <c r="L235" s="935"/>
      <c r="M235" s="933"/>
      <c r="N235" s="933"/>
      <c r="O235" s="933"/>
      <c r="P235" s="933"/>
      <c r="Q235" s="933"/>
      <c r="R235" s="933"/>
      <c r="S235" s="933"/>
      <c r="T235" s="933"/>
    </row>
    <row r="236" spans="1:20">
      <c r="A236" s="933"/>
      <c r="B236" s="933"/>
      <c r="C236" s="933"/>
      <c r="D236" s="933"/>
      <c r="E236" s="933"/>
      <c r="F236" s="933"/>
      <c r="G236" s="933"/>
      <c r="H236" s="933"/>
      <c r="I236" s="933"/>
      <c r="J236" s="933"/>
      <c r="K236" s="934"/>
      <c r="L236" s="935"/>
      <c r="M236" s="933"/>
      <c r="N236" s="933"/>
      <c r="O236" s="933"/>
      <c r="P236" s="933"/>
      <c r="Q236" s="933"/>
      <c r="R236" s="933"/>
      <c r="S236" s="933"/>
      <c r="T236" s="933"/>
    </row>
    <row r="237" spans="1:20">
      <c r="A237" s="933"/>
      <c r="B237" s="933"/>
      <c r="C237" s="933"/>
      <c r="D237" s="933"/>
      <c r="E237" s="933"/>
      <c r="F237" s="933"/>
      <c r="G237" s="933"/>
      <c r="H237" s="933"/>
      <c r="I237" s="933"/>
      <c r="J237" s="933"/>
      <c r="K237" s="934"/>
      <c r="L237" s="935"/>
      <c r="M237" s="933"/>
      <c r="N237" s="933"/>
      <c r="O237" s="933"/>
      <c r="P237" s="933"/>
      <c r="Q237" s="933"/>
      <c r="R237" s="933"/>
      <c r="S237" s="933"/>
      <c r="T237" s="933"/>
    </row>
    <row r="238" spans="1:20">
      <c r="A238" s="933"/>
      <c r="B238" s="933"/>
      <c r="C238" s="933"/>
      <c r="D238" s="933"/>
      <c r="E238" s="933"/>
      <c r="F238" s="933"/>
      <c r="G238" s="933"/>
      <c r="H238" s="933"/>
      <c r="I238" s="933"/>
      <c r="J238" s="933"/>
      <c r="K238" s="934"/>
      <c r="L238" s="935"/>
      <c r="M238" s="933"/>
      <c r="N238" s="933"/>
      <c r="O238" s="933"/>
      <c r="P238" s="933"/>
      <c r="Q238" s="933"/>
      <c r="R238" s="933"/>
      <c r="S238" s="933"/>
      <c r="T238" s="933"/>
    </row>
    <row r="239" spans="1:20">
      <c r="A239" s="933"/>
      <c r="B239" s="933"/>
      <c r="C239" s="933"/>
      <c r="D239" s="933"/>
      <c r="E239" s="933"/>
      <c r="F239" s="933"/>
      <c r="G239" s="933"/>
      <c r="H239" s="933"/>
      <c r="I239" s="933"/>
      <c r="J239" s="933"/>
      <c r="K239" s="934"/>
      <c r="L239" s="935"/>
      <c r="M239" s="933"/>
      <c r="N239" s="933"/>
      <c r="O239" s="933"/>
      <c r="P239" s="933"/>
      <c r="Q239" s="933"/>
      <c r="R239" s="933"/>
      <c r="S239" s="933"/>
      <c r="T239" s="933"/>
    </row>
    <row r="240" spans="1:20">
      <c r="A240" s="933"/>
      <c r="B240" s="933"/>
      <c r="C240" s="933"/>
      <c r="D240" s="933"/>
      <c r="E240" s="933"/>
      <c r="F240" s="933"/>
      <c r="G240" s="933"/>
      <c r="H240" s="933"/>
      <c r="I240" s="933"/>
      <c r="J240" s="933"/>
      <c r="K240" s="934"/>
      <c r="L240" s="935"/>
      <c r="M240" s="933"/>
      <c r="N240" s="933"/>
      <c r="O240" s="933"/>
      <c r="P240" s="933"/>
      <c r="Q240" s="933"/>
      <c r="R240" s="933"/>
      <c r="S240" s="933"/>
      <c r="T240" s="933"/>
    </row>
    <row r="241" spans="1:20">
      <c r="A241" s="933"/>
      <c r="B241" s="933"/>
      <c r="C241" s="933"/>
      <c r="D241" s="933"/>
      <c r="E241" s="933"/>
      <c r="F241" s="933"/>
      <c r="G241" s="933"/>
      <c r="H241" s="933"/>
      <c r="I241" s="933"/>
      <c r="J241" s="933"/>
      <c r="K241" s="934"/>
      <c r="L241" s="935"/>
      <c r="M241" s="933"/>
      <c r="N241" s="933"/>
      <c r="O241" s="933"/>
      <c r="P241" s="933"/>
      <c r="Q241" s="933"/>
      <c r="R241" s="933"/>
      <c r="S241" s="933"/>
      <c r="T241" s="93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4" priority="18" stopIfTrue="1" operator="containsText" text="超过">
      <formula>NOT(ISERROR(SEARCH("超过",F40)))</formula>
    </cfRule>
  </conditionalFormatting>
  <conditionalFormatting sqref="J42">
    <cfRule type="containsText" dxfId="63" priority="17" stopIfTrue="1" operator="containsText" text="超过">
      <formula>NOT(ISERROR(SEARCH("超过",J42)))</formula>
    </cfRule>
  </conditionalFormatting>
  <conditionalFormatting sqref="H42">
    <cfRule type="containsText" dxfId="62" priority="16" stopIfTrue="1" operator="containsText" text="超过">
      <formula>NOT(ISERROR(SEARCH("超过",H42)))</formula>
    </cfRule>
  </conditionalFormatting>
  <conditionalFormatting sqref="F42">
    <cfRule type="containsText" dxfId="61" priority="15" stopIfTrue="1" operator="containsText" text="超过">
      <formula>NOT(ISERROR(SEARCH("超过",F42)))</formula>
    </cfRule>
  </conditionalFormatting>
  <conditionalFormatting sqref="F41 H41 J41">
    <cfRule type="containsText" dxfId="60" priority="14" stopIfTrue="1" operator="containsText" text="超过">
      <formula>NOT(ISERROR(SEARCH("超过",F41)))</formula>
    </cfRule>
  </conditionalFormatting>
  <conditionalFormatting sqref="E40">
    <cfRule type="expression" dxfId="59" priority="13" stopIfTrue="1">
      <formula>$F$40="超过30%"</formula>
    </cfRule>
  </conditionalFormatting>
  <conditionalFormatting sqref="G42">
    <cfRule type="expression" dxfId="58" priority="12" stopIfTrue="1">
      <formula>$H$54+$H$42="超过30%"</formula>
    </cfRule>
  </conditionalFormatting>
  <conditionalFormatting sqref="E41">
    <cfRule type="expression" dxfId="57" priority="11" stopIfTrue="1">
      <formula>$F$41="超过20%"</formula>
    </cfRule>
  </conditionalFormatting>
  <conditionalFormatting sqref="E42">
    <cfRule type="expression" dxfId="56" priority="10" stopIfTrue="1">
      <formula>$F$42="超过30%"</formula>
    </cfRule>
  </conditionalFormatting>
  <conditionalFormatting sqref="G40">
    <cfRule type="expression" dxfId="55" priority="9" stopIfTrue="1">
      <formula>$H$52+$H$40="超过30%"</formula>
    </cfRule>
  </conditionalFormatting>
  <conditionalFormatting sqref="G41">
    <cfRule type="expression" dxfId="54" priority="8" stopIfTrue="1">
      <formula>$H$53+$H$41="超过20%"</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F36">
    <cfRule type="expression" dxfId="50" priority="4">
      <formula>$D$36="简单平均"</formula>
    </cfRule>
  </conditionalFormatting>
  <conditionalFormatting sqref="H36">
    <cfRule type="expression" dxfId="49" priority="3">
      <formula>$D$36="简单平均"</formula>
    </cfRule>
  </conditionalFormatting>
  <conditionalFormatting sqref="J36">
    <cfRule type="expression" dxfId="48" priority="2">
      <formula>$D$36="简单平均"</formula>
    </cfRule>
  </conditionalFormatting>
  <conditionalFormatting sqref="F7:F34 H7:H34 J7:J34">
    <cfRule type="cellIs" dxfId="4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5"/>
      <c r="D2" s="905"/>
      <c r="E2" s="905"/>
      <c r="F2" s="906"/>
      <c r="G2" s="905"/>
      <c r="H2" s="905"/>
      <c r="I2" s="905"/>
      <c r="J2" s="905"/>
      <c r="K2" s="907"/>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89"/>
      <c r="E3" s="905"/>
      <c r="F3" s="906"/>
      <c r="G3" s="905"/>
      <c r="H3" s="905"/>
      <c r="I3" s="905"/>
      <c r="J3" s="905"/>
      <c r="K3" s="907"/>
      <c r="L3" s="2730"/>
      <c r="M3" s="2731"/>
      <c r="N3" s="2731"/>
      <c r="O3" s="2731"/>
      <c r="P3" s="699"/>
      <c r="Q3" s="699"/>
      <c r="R3" s="699"/>
      <c r="S3" s="699"/>
      <c r="T3" s="699"/>
      <c r="U3" s="699"/>
      <c r="V3" s="699"/>
      <c r="W3" s="699"/>
      <c r="X3" s="699"/>
      <c r="Y3" s="699"/>
      <c r="Z3" s="699"/>
      <c r="AA3" s="699"/>
      <c r="AB3" s="716"/>
      <c r="AC3" s="713"/>
    </row>
    <row r="4" spans="1:29" ht="15">
      <c r="A4" s="355" t="s">
        <v>1769</v>
      </c>
      <c r="B4" s="356"/>
      <c r="C4" s="3719" t="s">
        <v>1770</v>
      </c>
      <c r="D4" s="3720"/>
      <c r="E4" s="3721" t="s">
        <v>1771</v>
      </c>
      <c r="F4" s="3722"/>
      <c r="G4" s="3719" t="s">
        <v>1772</v>
      </c>
      <c r="H4" s="3720"/>
      <c r="I4" s="3719" t="s">
        <v>1773</v>
      </c>
      <c r="J4" s="3720"/>
      <c r="K4" s="559" t="s">
        <v>1774</v>
      </c>
      <c r="L4" s="2711"/>
      <c r="M4" s="2712"/>
      <c r="N4" s="2712"/>
      <c r="O4" s="2712"/>
      <c r="P4" s="3723" t="s">
        <v>1775</v>
      </c>
      <c r="Q4" s="3724"/>
      <c r="R4" s="3706" t="s">
        <v>1771</v>
      </c>
      <c r="S4" s="3707"/>
      <c r="T4" s="3706" t="s">
        <v>1772</v>
      </c>
      <c r="U4" s="3707"/>
      <c r="V4" s="3731" t="s">
        <v>1773</v>
      </c>
      <c r="W4" s="3731"/>
      <c r="X4" s="1351"/>
      <c r="Y4" s="3706" t="s">
        <v>1775</v>
      </c>
      <c r="Z4" s="3707"/>
      <c r="AA4" s="3701" t="s">
        <v>1771</v>
      </c>
      <c r="AB4" s="3702" t="s">
        <v>1772</v>
      </c>
      <c r="AC4" s="3701" t="s">
        <v>1773</v>
      </c>
    </row>
    <row r="5" spans="1:29" ht="15">
      <c r="A5" s="358"/>
      <c r="B5" s="359"/>
      <c r="C5" s="3712" t="s">
        <v>1673</v>
      </c>
      <c r="D5" s="3713"/>
      <c r="E5" s="3710" t="s">
        <v>1674</v>
      </c>
      <c r="F5" s="3711"/>
      <c r="G5" s="3712" t="s">
        <v>1675</v>
      </c>
      <c r="H5" s="3713"/>
      <c r="I5" s="3712" t="s">
        <v>1676</v>
      </c>
      <c r="J5" s="3713"/>
      <c r="K5" s="559"/>
      <c r="L5" s="2711"/>
      <c r="M5" s="2712"/>
      <c r="N5" s="2712"/>
      <c r="O5" s="2712"/>
      <c r="P5" s="3725"/>
      <c r="Q5" s="3726"/>
      <c r="R5" s="3708"/>
      <c r="S5" s="3709"/>
      <c r="T5" s="3708"/>
      <c r="U5" s="3709"/>
      <c r="V5" s="3731"/>
      <c r="W5" s="3731"/>
      <c r="X5" s="1351"/>
      <c r="Y5" s="3708"/>
      <c r="Z5" s="3709"/>
      <c r="AA5" s="3702"/>
      <c r="AB5" s="3702"/>
      <c r="AC5" s="3702"/>
    </row>
    <row r="6" spans="1:29" ht="15.75" thickBot="1">
      <c r="A6" s="360"/>
      <c r="B6" s="361"/>
      <c r="C6" s="3801" t="s">
        <v>1919</v>
      </c>
      <c r="D6" s="3802"/>
      <c r="E6" s="3803" t="s">
        <v>1919</v>
      </c>
      <c r="F6" s="3804"/>
      <c r="G6" s="3801" t="s">
        <v>1919</v>
      </c>
      <c r="H6" s="3802"/>
      <c r="I6" s="3801" t="s">
        <v>1919</v>
      </c>
      <c r="J6" s="3802"/>
      <c r="K6" s="559" t="s">
        <v>1678</v>
      </c>
      <c r="L6" s="2711"/>
      <c r="M6" s="2712"/>
      <c r="N6" s="2712"/>
      <c r="O6" s="2712"/>
      <c r="P6" s="3727"/>
      <c r="Q6" s="3728"/>
      <c r="R6" s="3708"/>
      <c r="S6" s="3709"/>
      <c r="T6" s="3729"/>
      <c r="U6" s="3730"/>
      <c r="V6" s="3731"/>
      <c r="W6" s="3731"/>
      <c r="X6" s="1351"/>
      <c r="Y6" s="3729"/>
      <c r="Z6" s="3730"/>
      <c r="AA6" s="3703"/>
      <c r="AB6" s="3703"/>
      <c r="AC6" s="3703"/>
    </row>
    <row r="7" spans="1:29" s="108" customFormat="1" ht="15.75" thickBot="1">
      <c r="A7" s="362" t="s">
        <v>1679</v>
      </c>
      <c r="B7" s="363"/>
      <c r="C7" s="364">
        <f>'数据-取费表'!B2</f>
        <v>45005</v>
      </c>
      <c r="D7" s="365">
        <v>100</v>
      </c>
      <c r="E7" s="366"/>
      <c r="F7" s="367">
        <f>SUMIF(65:65,YEAR(E7)&amp;"-"&amp;INT((MONTH(E7)+2)/3),66:66)</f>
        <v>0</v>
      </c>
      <c r="G7" s="1970"/>
      <c r="H7" s="365">
        <f>SUMIF(65:65,YEAR(G7)&amp;"-"&amp;INT((MONTH(G7)+2)/3),66:66)</f>
        <v>0</v>
      </c>
      <c r="I7" s="1970"/>
      <c r="J7" s="365">
        <f>SUMIF(65:65,YEAR(I7)&amp;"-"&amp;INT((MONTH(I7)+2)/3),66:66)</f>
        <v>0</v>
      </c>
      <c r="K7" s="560"/>
      <c r="L7" s="2713"/>
      <c r="M7" s="2714"/>
      <c r="N7" s="2714"/>
      <c r="O7" s="2714"/>
      <c r="P7" s="3704" t="s">
        <v>1680</v>
      </c>
      <c r="Q7" s="3732"/>
      <c r="R7" s="701" t="s">
        <v>14</v>
      </c>
      <c r="S7" s="702">
        <f t="shared" ref="S7:S15" si="0">F7</f>
        <v>0</v>
      </c>
      <c r="T7" s="701" t="s">
        <v>14</v>
      </c>
      <c r="U7" s="702">
        <f t="shared" ref="U7:U15" si="1">H7</f>
        <v>0</v>
      </c>
      <c r="V7" s="701" t="s">
        <v>14</v>
      </c>
      <c r="W7" s="702">
        <f t="shared" ref="W7:W15" si="2">J7</f>
        <v>0</v>
      </c>
      <c r="X7" s="703"/>
      <c r="Y7" s="3704" t="s">
        <v>1680</v>
      </c>
      <c r="Z7" s="370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704" t="s">
        <v>1683</v>
      </c>
      <c r="Q8" s="3705"/>
      <c r="R8" s="701" t="s">
        <v>14</v>
      </c>
      <c r="S8" s="702">
        <f t="shared" si="0"/>
        <v>0</v>
      </c>
      <c r="T8" s="701" t="s">
        <v>14</v>
      </c>
      <c r="U8" s="702">
        <f t="shared" si="1"/>
        <v>0</v>
      </c>
      <c r="V8" s="701" t="s">
        <v>14</v>
      </c>
      <c r="W8" s="702">
        <f t="shared" si="2"/>
        <v>0</v>
      </c>
      <c r="X8" s="703"/>
      <c r="Y8" s="3704" t="s">
        <v>1683</v>
      </c>
      <c r="Z8" s="3705"/>
      <c r="AA8" s="704" t="e">
        <f t="shared" ref="AA8:AA40" si="3">D8/F8</f>
        <v>#DIV/0!</v>
      </c>
      <c r="AB8" s="704" t="e">
        <f t="shared" ref="AB8:AB40" si="4">D8/H8</f>
        <v>#DIV/0!</v>
      </c>
      <c r="AC8" s="704" t="e">
        <f t="shared" ref="AC8:AC40" si="5">D8/J8</f>
        <v>#DIV/0!</v>
      </c>
    </row>
    <row r="9" spans="1:29" s="108" customFormat="1">
      <c r="A9" s="369" t="s">
        <v>1684</v>
      </c>
      <c r="B9" s="63" t="s">
        <v>1685</v>
      </c>
      <c r="C9" s="1973"/>
      <c r="D9" s="126">
        <v>100</v>
      </c>
      <c r="E9" s="1973"/>
      <c r="F9" s="126">
        <f>SUMIF(70:70,E9,71:71)-SUMIF(70:70,C9,71:71)+100</f>
        <v>100</v>
      </c>
      <c r="G9" s="1973"/>
      <c r="H9" s="126">
        <f>SUMIF(70:70,G9,71:71)-SUMIF(70:70,C9,71:71)+100</f>
        <v>100</v>
      </c>
      <c r="I9" s="1973"/>
      <c r="J9" s="126">
        <f>SUMIF(70:70,I9,71:71)-SUMIF(70:70,C9,71:71)+100</f>
        <v>100</v>
      </c>
      <c r="K9" s="560"/>
      <c r="L9" s="2713"/>
      <c r="M9" s="2714"/>
      <c r="N9" s="2714"/>
      <c r="O9" s="2768"/>
      <c r="P9" s="3718" t="s">
        <v>1686</v>
      </c>
      <c r="Q9" s="1339" t="str">
        <f t="shared" ref="Q9:Q15" si="6">B9</f>
        <v>用途</v>
      </c>
      <c r="R9" s="701" t="s">
        <v>14</v>
      </c>
      <c r="S9" s="702">
        <f t="shared" si="0"/>
        <v>100</v>
      </c>
      <c r="T9" s="701" t="s">
        <v>14</v>
      </c>
      <c r="U9" s="702">
        <f t="shared" si="1"/>
        <v>100</v>
      </c>
      <c r="V9" s="701" t="s">
        <v>14</v>
      </c>
      <c r="W9" s="702">
        <f t="shared" si="2"/>
        <v>100</v>
      </c>
      <c r="X9" s="703"/>
      <c r="Y9" s="3674"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114</v>
      </c>
      <c r="G10" s="383"/>
      <c r="H10" s="127">
        <f>ROUND(100/'数据-取费表'!G16,0)</f>
        <v>114</v>
      </c>
      <c r="I10" s="383"/>
      <c r="J10" s="127">
        <f>ROUND(100/'数据-取费表'!G16,0)</f>
        <v>114</v>
      </c>
      <c r="K10" s="620"/>
      <c r="L10" s="2715"/>
      <c r="M10" s="2716"/>
      <c r="N10" s="2716"/>
      <c r="O10" s="2769"/>
      <c r="P10" s="3718"/>
      <c r="Q10" s="1339" t="str">
        <f t="shared" si="6"/>
        <v>土地使用年限（年）</v>
      </c>
      <c r="R10" s="701" t="s">
        <v>14</v>
      </c>
      <c r="S10" s="702">
        <f t="shared" si="0"/>
        <v>114</v>
      </c>
      <c r="T10" s="701" t="s">
        <v>14</v>
      </c>
      <c r="U10" s="702">
        <f t="shared" si="1"/>
        <v>114</v>
      </c>
      <c r="V10" s="701" t="s">
        <v>14</v>
      </c>
      <c r="W10" s="702">
        <f t="shared" si="2"/>
        <v>114</v>
      </c>
      <c r="X10" s="703"/>
      <c r="Y10" s="3674"/>
      <c r="Z10" s="52" t="str">
        <f t="shared" si="7"/>
        <v>土地使用年限（年）</v>
      </c>
      <c r="AA10" s="704">
        <f t="shared" si="3"/>
        <v>0.8771929824561403</v>
      </c>
      <c r="AB10" s="704">
        <f t="shared" si="4"/>
        <v>0.8771929824561403</v>
      </c>
      <c r="AC10" s="704">
        <f t="shared" si="5"/>
        <v>0.8771929824561403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718"/>
      <c r="Q11" s="1339" t="str">
        <f t="shared" si="6"/>
        <v>容积率</v>
      </c>
      <c r="R11" s="701" t="s">
        <v>14</v>
      </c>
      <c r="S11" s="702" t="e">
        <f t="shared" si="0"/>
        <v>#N/A</v>
      </c>
      <c r="T11" s="701" t="s">
        <v>14</v>
      </c>
      <c r="U11" s="702" t="e">
        <f t="shared" si="1"/>
        <v>#N/A</v>
      </c>
      <c r="V11" s="701" t="s">
        <v>14</v>
      </c>
      <c r="W11" s="702" t="e">
        <f t="shared" si="2"/>
        <v>#N/A</v>
      </c>
      <c r="X11" s="703"/>
      <c r="Y11" s="3674"/>
      <c r="Z11" s="52" t="str">
        <f t="shared" si="7"/>
        <v>容积率</v>
      </c>
      <c r="AA11" s="704" t="e">
        <f t="shared" si="3"/>
        <v>#N/A</v>
      </c>
      <c r="AB11" s="704" t="e">
        <f t="shared" si="4"/>
        <v>#N/A</v>
      </c>
      <c r="AC11" s="704" t="e">
        <f t="shared" si="5"/>
        <v>#N/A</v>
      </c>
    </row>
    <row r="12" spans="1:29" s="108" customFormat="1" ht="15">
      <c r="A12" s="382"/>
      <c r="B12" s="1889">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718"/>
      <c r="Q12" s="1339">
        <f t="shared" si="6"/>
        <v>111</v>
      </c>
      <c r="R12" s="701" t="s">
        <v>14</v>
      </c>
      <c r="S12" s="702">
        <f t="shared" si="0"/>
        <v>100</v>
      </c>
      <c r="T12" s="701" t="s">
        <v>14</v>
      </c>
      <c r="U12" s="702">
        <f t="shared" si="1"/>
        <v>100</v>
      </c>
      <c r="V12" s="701" t="s">
        <v>14</v>
      </c>
      <c r="W12" s="702">
        <f t="shared" si="2"/>
        <v>100</v>
      </c>
      <c r="X12" s="703"/>
      <c r="Y12" s="3674"/>
      <c r="Z12" s="52">
        <f t="shared" si="7"/>
        <v>111</v>
      </c>
      <c r="AA12" s="704">
        <f>D12/F12</f>
        <v>1</v>
      </c>
      <c r="AB12" s="704">
        <f>D12/H12</f>
        <v>1</v>
      </c>
      <c r="AC12" s="704">
        <f>D12/J12</f>
        <v>1</v>
      </c>
    </row>
    <row r="13" spans="1:29" ht="15">
      <c r="A13" s="379"/>
      <c r="B13" s="1889">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718"/>
      <c r="Q13" s="1339">
        <f t="shared" si="6"/>
        <v>111</v>
      </c>
      <c r="R13" s="701" t="s">
        <v>14</v>
      </c>
      <c r="S13" s="702">
        <f t="shared" si="0"/>
        <v>100</v>
      </c>
      <c r="T13" s="701" t="s">
        <v>14</v>
      </c>
      <c r="U13" s="702">
        <f t="shared" si="1"/>
        <v>100</v>
      </c>
      <c r="V13" s="701" t="s">
        <v>14</v>
      </c>
      <c r="W13" s="702">
        <f t="shared" si="2"/>
        <v>100</v>
      </c>
      <c r="X13" s="703"/>
      <c r="Y13" s="3674"/>
      <c r="Z13" s="52">
        <f t="shared" si="7"/>
        <v>111</v>
      </c>
      <c r="AA13" s="704">
        <f t="shared" si="3"/>
        <v>1</v>
      </c>
      <c r="AB13" s="704">
        <f t="shared" si="4"/>
        <v>1</v>
      </c>
      <c r="AC13" s="704">
        <f t="shared" si="5"/>
        <v>1</v>
      </c>
    </row>
    <row r="14" spans="1:29" ht="15.75" thickBot="1">
      <c r="A14" s="387"/>
      <c r="B14" s="1891">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718"/>
      <c r="Q14" s="1339">
        <f t="shared" si="6"/>
        <v>111</v>
      </c>
      <c r="R14" s="701" t="s">
        <v>14</v>
      </c>
      <c r="S14" s="702">
        <f t="shared" si="0"/>
        <v>100</v>
      </c>
      <c r="T14" s="701" t="s">
        <v>14</v>
      </c>
      <c r="U14" s="702">
        <f t="shared" si="1"/>
        <v>100</v>
      </c>
      <c r="V14" s="701" t="s">
        <v>14</v>
      </c>
      <c r="W14" s="702">
        <f t="shared" si="2"/>
        <v>100</v>
      </c>
      <c r="X14" s="703"/>
      <c r="Y14" s="3674"/>
      <c r="Z14" s="52">
        <f t="shared" si="7"/>
        <v>111</v>
      </c>
      <c r="AA14" s="704">
        <f t="shared" si="3"/>
        <v>1</v>
      </c>
      <c r="AB14" s="704">
        <f t="shared" si="4"/>
        <v>1</v>
      </c>
      <c r="AC14" s="704">
        <f t="shared" si="5"/>
        <v>1</v>
      </c>
    </row>
    <row r="15" spans="1:29" ht="57">
      <c r="A15" s="391" t="s">
        <v>1690</v>
      </c>
      <c r="B15" s="577" t="s">
        <v>1920</v>
      </c>
      <c r="C15" s="1967"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733" t="s">
        <v>1691</v>
      </c>
      <c r="Q15" s="1348" t="str">
        <f t="shared" si="6"/>
        <v>产业集聚程度</v>
      </c>
      <c r="R15" s="705" t="s">
        <v>14</v>
      </c>
      <c r="S15" s="706">
        <f t="shared" si="0"/>
        <v>100</v>
      </c>
      <c r="T15" s="705" t="s">
        <v>14</v>
      </c>
      <c r="U15" s="706">
        <f t="shared" si="1"/>
        <v>100</v>
      </c>
      <c r="V15" s="705" t="s">
        <v>14</v>
      </c>
      <c r="W15" s="706">
        <f t="shared" si="2"/>
        <v>100</v>
      </c>
      <c r="X15" s="1351"/>
      <c r="Y15" s="3733" t="s">
        <v>1691</v>
      </c>
      <c r="Z15" s="1352" t="str">
        <f t="shared" si="7"/>
        <v>产业集聚程度</v>
      </c>
      <c r="AA15" s="1349">
        <f t="shared" si="3"/>
        <v>1</v>
      </c>
      <c r="AB15" s="1349">
        <f t="shared" si="4"/>
        <v>1</v>
      </c>
      <c r="AC15" s="1349">
        <f t="shared" si="5"/>
        <v>1</v>
      </c>
    </row>
    <row r="16" spans="1:29" ht="15">
      <c r="A16" s="379"/>
      <c r="B16" s="578"/>
      <c r="C16" s="398"/>
      <c r="D16" s="399"/>
      <c r="E16" s="1900"/>
      <c r="F16" s="399"/>
      <c r="G16" s="1900"/>
      <c r="H16" s="401"/>
      <c r="I16" s="1900"/>
      <c r="J16" s="399"/>
      <c r="K16" s="620"/>
      <c r="L16" s="2718"/>
      <c r="M16" s="2712"/>
      <c r="N16" s="2712"/>
      <c r="O16" s="2770"/>
      <c r="P16" s="3734"/>
      <c r="Q16" s="1348"/>
      <c r="R16" s="705"/>
      <c r="S16" s="706"/>
      <c r="T16" s="705"/>
      <c r="U16" s="706"/>
      <c r="V16" s="705"/>
      <c r="W16" s="706"/>
      <c r="X16" s="1351"/>
      <c r="Y16" s="3734"/>
      <c r="Z16" s="1352"/>
      <c r="AA16" s="1349">
        <v>1</v>
      </c>
      <c r="AB16" s="1349">
        <v>1</v>
      </c>
      <c r="AC16" s="1349">
        <v>1</v>
      </c>
    </row>
    <row r="17" spans="1:29" ht="85.5">
      <c r="A17" s="379"/>
      <c r="B17" s="579" t="s">
        <v>1833</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734"/>
      <c r="Q17" s="1348" t="str">
        <f>B17</f>
        <v>交通便捷度</v>
      </c>
      <c r="R17" s="705" t="s">
        <v>14</v>
      </c>
      <c r="S17" s="706">
        <f>F17</f>
        <v>100</v>
      </c>
      <c r="T17" s="705" t="s">
        <v>14</v>
      </c>
      <c r="U17" s="706">
        <f>H17</f>
        <v>100</v>
      </c>
      <c r="V17" s="705" t="s">
        <v>14</v>
      </c>
      <c r="W17" s="706">
        <f>J17</f>
        <v>100</v>
      </c>
      <c r="X17" s="1351"/>
      <c r="Y17" s="3734"/>
      <c r="Z17" s="1352" t="str">
        <f>Q17</f>
        <v>交通便捷度</v>
      </c>
      <c r="AA17" s="1349">
        <f t="shared" si="3"/>
        <v>1</v>
      </c>
      <c r="AB17" s="1349">
        <f t="shared" si="4"/>
        <v>1</v>
      </c>
      <c r="AC17" s="1349">
        <f t="shared" si="5"/>
        <v>1</v>
      </c>
    </row>
    <row r="18" spans="1:29" ht="15">
      <c r="A18" s="379"/>
      <c r="B18" s="580"/>
      <c r="C18" s="398"/>
      <c r="D18" s="399"/>
      <c r="E18" s="1894"/>
      <c r="F18" s="399"/>
      <c r="G18" s="1894"/>
      <c r="H18" s="399"/>
      <c r="I18" s="1893"/>
      <c r="J18" s="399"/>
      <c r="K18" s="620"/>
      <c r="L18" s="2718"/>
      <c r="M18" s="2712"/>
      <c r="N18" s="2712"/>
      <c r="O18" s="2770"/>
      <c r="P18" s="3734"/>
      <c r="Q18" s="1348"/>
      <c r="R18" s="705"/>
      <c r="S18" s="706"/>
      <c r="T18" s="705"/>
      <c r="U18" s="706"/>
      <c r="V18" s="705"/>
      <c r="W18" s="706"/>
      <c r="X18" s="1351"/>
      <c r="Y18" s="3734"/>
      <c r="Z18" s="1352"/>
      <c r="AA18" s="1349">
        <v>1</v>
      </c>
      <c r="AB18" s="1349">
        <v>1</v>
      </c>
      <c r="AC18" s="1349">
        <v>1</v>
      </c>
    </row>
    <row r="19" spans="1:29" ht="15">
      <c r="A19" s="379"/>
      <c r="B19" s="579" t="s">
        <v>1871</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734"/>
      <c r="Q19" s="1348" t="str">
        <f t="shared" ref="Q19:Q33" si="8">B19</f>
        <v>区域土地利用方向</v>
      </c>
      <c r="R19" s="705" t="s">
        <v>14</v>
      </c>
      <c r="S19" s="706">
        <f>F19</f>
        <v>100</v>
      </c>
      <c r="T19" s="705" t="s">
        <v>14</v>
      </c>
      <c r="U19" s="706">
        <f>H19</f>
        <v>100</v>
      </c>
      <c r="V19" s="705" t="s">
        <v>14</v>
      </c>
      <c r="W19" s="706">
        <f>J19</f>
        <v>100</v>
      </c>
      <c r="X19" s="1351"/>
      <c r="Y19" s="3734"/>
      <c r="Z19" s="1352" t="str">
        <f>Q19</f>
        <v>区域土地利用方向</v>
      </c>
      <c r="AA19" s="1349">
        <f t="shared" si="3"/>
        <v>1</v>
      </c>
      <c r="AB19" s="1349">
        <f t="shared" si="4"/>
        <v>1</v>
      </c>
      <c r="AC19" s="1349">
        <f t="shared" si="5"/>
        <v>1</v>
      </c>
    </row>
    <row r="20" spans="1:29" ht="15">
      <c r="A20" s="358"/>
      <c r="B20" s="580"/>
      <c r="C20" s="398"/>
      <c r="D20" s="399"/>
      <c r="E20" s="1894"/>
      <c r="F20" s="399"/>
      <c r="G20" s="1894"/>
      <c r="H20" s="399"/>
      <c r="I20" s="1894"/>
      <c r="J20" s="399"/>
      <c r="K20" s="737"/>
      <c r="L20" s="2718"/>
      <c r="M20" s="2712"/>
      <c r="N20" s="2712"/>
      <c r="O20" s="2770"/>
      <c r="P20" s="3734"/>
      <c r="Q20" s="1348"/>
      <c r="R20" s="705"/>
      <c r="S20" s="706"/>
      <c r="T20" s="705"/>
      <c r="U20" s="706"/>
      <c r="V20" s="705"/>
      <c r="W20" s="706"/>
      <c r="X20" s="1351"/>
      <c r="Y20" s="3734"/>
      <c r="Z20" s="1352"/>
      <c r="AA20" s="1349"/>
      <c r="AB20" s="1349"/>
      <c r="AC20" s="1349"/>
    </row>
    <row r="21" spans="1:29" ht="71.25">
      <c r="A21" s="358"/>
      <c r="B21" s="579" t="s">
        <v>1921</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734"/>
      <c r="Q21" s="1348" t="str">
        <f t="shared" si="8"/>
        <v>环境状况</v>
      </c>
      <c r="R21" s="705" t="s">
        <v>14</v>
      </c>
      <c r="S21" s="706">
        <f>F21</f>
        <v>100</v>
      </c>
      <c r="T21" s="705" t="s">
        <v>14</v>
      </c>
      <c r="U21" s="706">
        <f>H21</f>
        <v>100</v>
      </c>
      <c r="V21" s="705" t="s">
        <v>14</v>
      </c>
      <c r="W21" s="706">
        <f>J21</f>
        <v>100</v>
      </c>
      <c r="X21" s="1351"/>
      <c r="Y21" s="3734"/>
      <c r="Z21" s="1352" t="str">
        <f>Q21</f>
        <v>环境状况</v>
      </c>
      <c r="AA21" s="1349">
        <f t="shared" si="3"/>
        <v>1</v>
      </c>
      <c r="AB21" s="1349">
        <f t="shared" si="4"/>
        <v>1</v>
      </c>
      <c r="AC21" s="1349">
        <f t="shared" si="5"/>
        <v>1</v>
      </c>
    </row>
    <row r="22" spans="1:29" ht="15">
      <c r="A22" s="358"/>
      <c r="B22" s="580"/>
      <c r="C22" s="398"/>
      <c r="D22" s="399"/>
      <c r="E22" s="1900"/>
      <c r="F22" s="399"/>
      <c r="G22" s="1900"/>
      <c r="H22" s="399"/>
      <c r="I22" s="398"/>
      <c r="J22" s="399"/>
      <c r="K22" s="620"/>
      <c r="L22" s="2718"/>
      <c r="M22" s="2712"/>
      <c r="N22" s="2712"/>
      <c r="O22" s="2770"/>
      <c r="P22" s="3734"/>
      <c r="Q22" s="1348"/>
      <c r="R22" s="705"/>
      <c r="S22" s="706"/>
      <c r="T22" s="705"/>
      <c r="U22" s="706"/>
      <c r="V22" s="705"/>
      <c r="W22" s="706"/>
      <c r="X22" s="1351"/>
      <c r="Y22" s="3734"/>
      <c r="Z22" s="1352"/>
      <c r="AA22" s="1349">
        <v>1</v>
      </c>
      <c r="AB22" s="1349">
        <v>1</v>
      </c>
      <c r="AC22" s="1349">
        <v>1</v>
      </c>
    </row>
    <row r="23" spans="1:29" s="108" customFormat="1" ht="42.75">
      <c r="A23" s="597"/>
      <c r="B23" s="581" t="s">
        <v>1778</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734"/>
      <c r="Q23" s="1339" t="str">
        <f t="shared" si="8"/>
        <v>公共配套设施</v>
      </c>
      <c r="R23" s="701" t="s">
        <v>14</v>
      </c>
      <c r="S23" s="702">
        <f>F23</f>
        <v>100</v>
      </c>
      <c r="T23" s="701" t="s">
        <v>14</v>
      </c>
      <c r="U23" s="702">
        <f>H23</f>
        <v>100</v>
      </c>
      <c r="V23" s="701" t="s">
        <v>14</v>
      </c>
      <c r="W23" s="702">
        <f>J23</f>
        <v>100</v>
      </c>
      <c r="X23" s="703"/>
      <c r="Y23" s="3734"/>
      <c r="Z23" s="52" t="str">
        <f>Q23</f>
        <v>公共配套设施</v>
      </c>
      <c r="AA23" s="1349">
        <f>D23/F23</f>
        <v>1</v>
      </c>
      <c r="AB23" s="1349">
        <f>D23/H23</f>
        <v>1</v>
      </c>
      <c r="AC23" s="1349">
        <f>D23/J23</f>
        <v>1</v>
      </c>
    </row>
    <row r="24" spans="1:29" s="108" customFormat="1" ht="15">
      <c r="A24" s="597"/>
      <c r="B24" s="580"/>
      <c r="C24" s="1974"/>
      <c r="D24" s="399"/>
      <c r="E24" s="1900"/>
      <c r="F24" s="399"/>
      <c r="G24" s="1900"/>
      <c r="H24" s="399"/>
      <c r="I24" s="398"/>
      <c r="J24" s="399"/>
      <c r="K24" s="620"/>
      <c r="L24" s="2713"/>
      <c r="M24" s="2714"/>
      <c r="N24" s="2714"/>
      <c r="O24" s="2768"/>
      <c r="P24" s="3734"/>
      <c r="Q24" s="1339"/>
      <c r="R24" s="701"/>
      <c r="S24" s="702"/>
      <c r="T24" s="701"/>
      <c r="U24" s="702"/>
      <c r="V24" s="701"/>
      <c r="W24" s="702"/>
      <c r="X24" s="703"/>
      <c r="Y24" s="3734"/>
      <c r="Z24" s="52"/>
      <c r="AA24" s="704">
        <v>1</v>
      </c>
      <c r="AB24" s="704">
        <v>1</v>
      </c>
      <c r="AC24" s="704">
        <v>1</v>
      </c>
    </row>
    <row r="25" spans="1:29" s="108" customFormat="1" ht="28.5">
      <c r="A25" s="597"/>
      <c r="B25" s="581" t="s">
        <v>1779</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734"/>
      <c r="Q25" s="1339" t="str">
        <f t="shared" ref="Q25" si="9">B25</f>
        <v>基础设施水平</v>
      </c>
      <c r="R25" s="701" t="s">
        <v>14</v>
      </c>
      <c r="S25" s="702">
        <f>F25</f>
        <v>100</v>
      </c>
      <c r="T25" s="701" t="s">
        <v>14</v>
      </c>
      <c r="U25" s="702">
        <f>H25</f>
        <v>100</v>
      </c>
      <c r="V25" s="701" t="s">
        <v>14</v>
      </c>
      <c r="W25" s="702">
        <f>J25</f>
        <v>100</v>
      </c>
      <c r="X25" s="703"/>
      <c r="Y25" s="3734"/>
      <c r="Z25" s="52" t="str">
        <f>Q25</f>
        <v>基础设施水平</v>
      </c>
      <c r="AA25" s="1349">
        <f>D25/F25</f>
        <v>1</v>
      </c>
      <c r="AB25" s="1349">
        <f>D25/H25</f>
        <v>1</v>
      </c>
      <c r="AC25" s="1349">
        <f>D25/J25</f>
        <v>1</v>
      </c>
    </row>
    <row r="26" spans="1:29" s="108" customFormat="1" ht="15">
      <c r="A26" s="597"/>
      <c r="B26" s="580"/>
      <c r="C26" s="1974"/>
      <c r="D26" s="399"/>
      <c r="E26" s="1975"/>
      <c r="F26" s="399"/>
      <c r="G26" s="1975"/>
      <c r="H26" s="399"/>
      <c r="I26" s="1975"/>
      <c r="J26" s="399"/>
      <c r="K26" s="620"/>
      <c r="L26" s="2713"/>
      <c r="M26" s="2714"/>
      <c r="N26" s="2714"/>
      <c r="O26" s="2768"/>
      <c r="P26" s="3734"/>
      <c r="Q26" s="1339"/>
      <c r="R26" s="701"/>
      <c r="S26" s="702"/>
      <c r="T26" s="701"/>
      <c r="U26" s="702"/>
      <c r="V26" s="701"/>
      <c r="W26" s="702"/>
      <c r="X26" s="703"/>
      <c r="Y26" s="3734"/>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734"/>
      <c r="Q27" s="1348" t="str">
        <f t="shared" si="8"/>
        <v>临街状况</v>
      </c>
      <c r="R27" s="705" t="s">
        <v>14</v>
      </c>
      <c r="S27" s="706">
        <f t="shared" ref="S27:S40" si="10">F27</f>
        <v>100</v>
      </c>
      <c r="T27" s="705" t="s">
        <v>14</v>
      </c>
      <c r="U27" s="706">
        <f t="shared" ref="U27:U40" si="11">H27</f>
        <v>100</v>
      </c>
      <c r="V27" s="705" t="s">
        <v>14</v>
      </c>
      <c r="W27" s="706">
        <f t="shared" ref="W27:W40" si="12">J27</f>
        <v>100</v>
      </c>
      <c r="X27" s="1351"/>
      <c r="Y27" s="3734"/>
      <c r="Z27" s="1352" t="str">
        <f t="shared" ref="Z27:Z40" si="13">Q27</f>
        <v>临街状况</v>
      </c>
      <c r="AA27" s="1349">
        <f t="shared" si="3"/>
        <v>1</v>
      </c>
      <c r="AB27" s="1349">
        <f t="shared" si="4"/>
        <v>1</v>
      </c>
      <c r="AC27" s="1349">
        <f t="shared" si="5"/>
        <v>1</v>
      </c>
    </row>
    <row r="28" spans="1:29" ht="27">
      <c r="A28" s="379"/>
      <c r="B28" s="581" t="s">
        <v>1815</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734"/>
      <c r="Q28" s="1348" t="str">
        <f t="shared" si="8"/>
        <v>毗邻道路的类型与等级</v>
      </c>
      <c r="R28" s="705" t="s">
        <v>14</v>
      </c>
      <c r="S28" s="706">
        <f t="shared" si="10"/>
        <v>100</v>
      </c>
      <c r="T28" s="705" t="s">
        <v>14</v>
      </c>
      <c r="U28" s="706">
        <f t="shared" si="11"/>
        <v>100</v>
      </c>
      <c r="V28" s="705" t="s">
        <v>14</v>
      </c>
      <c r="W28" s="706">
        <f t="shared" si="12"/>
        <v>100</v>
      </c>
      <c r="X28" s="1351"/>
      <c r="Y28" s="3734"/>
      <c r="Z28" s="1352" t="str">
        <f t="shared" si="13"/>
        <v>毗邻道路的类型与等级</v>
      </c>
      <c r="AA28" s="1349">
        <f t="shared" si="3"/>
        <v>1</v>
      </c>
      <c r="AB28" s="1349">
        <f t="shared" si="4"/>
        <v>1</v>
      </c>
      <c r="AC28" s="1349">
        <f t="shared" si="5"/>
        <v>1</v>
      </c>
    </row>
    <row r="29" spans="1:29" ht="15">
      <c r="A29" s="379"/>
      <c r="B29" s="580"/>
      <c r="C29" s="398"/>
      <c r="D29" s="399"/>
      <c r="E29" s="1900"/>
      <c r="F29" s="399"/>
      <c r="G29" s="1900"/>
      <c r="H29" s="399"/>
      <c r="I29" s="1900"/>
      <c r="J29" s="399"/>
      <c r="K29" s="562"/>
      <c r="L29" s="2718"/>
      <c r="M29" s="2712"/>
      <c r="N29" s="2712"/>
      <c r="O29" s="2770"/>
      <c r="P29" s="3734"/>
      <c r="Q29" s="1348"/>
      <c r="R29" s="705"/>
      <c r="S29" s="706"/>
      <c r="T29" s="705"/>
      <c r="U29" s="706"/>
      <c r="V29" s="705"/>
      <c r="W29" s="706"/>
      <c r="X29" s="1351"/>
      <c r="Y29" s="3734"/>
      <c r="Z29" s="1352"/>
      <c r="AA29" s="1349">
        <v>1</v>
      </c>
      <c r="AB29" s="1349">
        <v>1</v>
      </c>
      <c r="AC29" s="1349">
        <v>1</v>
      </c>
    </row>
    <row r="30" spans="1:29" ht="15">
      <c r="A30" s="379"/>
      <c r="B30" s="602" t="s">
        <v>1873</v>
      </c>
      <c r="C30" s="1133">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734"/>
      <c r="Q30" s="1348" t="str">
        <f t="shared" si="8"/>
        <v>土地级别</v>
      </c>
      <c r="R30" s="705" t="s">
        <v>14</v>
      </c>
      <c r="S30" s="706">
        <f t="shared" si="10"/>
        <v>100</v>
      </c>
      <c r="T30" s="705" t="s">
        <v>14</v>
      </c>
      <c r="U30" s="706">
        <f t="shared" si="11"/>
        <v>100</v>
      </c>
      <c r="V30" s="705" t="s">
        <v>14</v>
      </c>
      <c r="W30" s="706">
        <f t="shared" si="12"/>
        <v>100</v>
      </c>
      <c r="X30" s="1351"/>
      <c r="Y30" s="3734"/>
      <c r="Z30" s="1352" t="str">
        <f t="shared" si="13"/>
        <v>土地级别</v>
      </c>
      <c r="AA30" s="1349">
        <f t="shared" si="3"/>
        <v>1</v>
      </c>
      <c r="AB30" s="1349">
        <f t="shared" si="4"/>
        <v>1</v>
      </c>
      <c r="AC30" s="1349">
        <f t="shared" si="5"/>
        <v>1</v>
      </c>
    </row>
    <row r="31" spans="1:29" ht="15">
      <c r="A31" s="358"/>
      <c r="B31" s="1962">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734"/>
      <c r="Q31" s="1348">
        <f t="shared" si="8"/>
        <v>111</v>
      </c>
      <c r="R31" s="705" t="s">
        <v>14</v>
      </c>
      <c r="S31" s="706">
        <f t="shared" si="10"/>
        <v>100</v>
      </c>
      <c r="T31" s="705" t="s">
        <v>14</v>
      </c>
      <c r="U31" s="706">
        <f t="shared" si="11"/>
        <v>100</v>
      </c>
      <c r="V31" s="705" t="s">
        <v>14</v>
      </c>
      <c r="W31" s="706">
        <f t="shared" si="12"/>
        <v>100</v>
      </c>
      <c r="X31" s="1351"/>
      <c r="Y31" s="3734"/>
      <c r="Z31" s="1352">
        <f t="shared" si="13"/>
        <v>111</v>
      </c>
      <c r="AA31" s="1349">
        <f t="shared" si="3"/>
        <v>1</v>
      </c>
      <c r="AB31" s="1349">
        <f t="shared" si="4"/>
        <v>1</v>
      </c>
      <c r="AC31" s="1349">
        <f t="shared" si="5"/>
        <v>1</v>
      </c>
    </row>
    <row r="32" spans="1:29" ht="15">
      <c r="A32" s="623"/>
      <c r="B32" s="1988">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35" t="s">
        <v>1696</v>
      </c>
      <c r="Q32" s="1348">
        <f t="shared" si="8"/>
        <v>111</v>
      </c>
      <c r="R32" s="705" t="s">
        <v>14</v>
      </c>
      <c r="S32" s="706">
        <f t="shared" si="10"/>
        <v>100</v>
      </c>
      <c r="T32" s="705" t="s">
        <v>14</v>
      </c>
      <c r="U32" s="706">
        <f t="shared" si="11"/>
        <v>100</v>
      </c>
      <c r="V32" s="705" t="s">
        <v>14</v>
      </c>
      <c r="W32" s="706">
        <f t="shared" si="12"/>
        <v>100</v>
      </c>
      <c r="X32" s="1351"/>
      <c r="Y32" s="3736" t="s">
        <v>1696</v>
      </c>
      <c r="Z32" s="1352">
        <f t="shared" si="13"/>
        <v>111</v>
      </c>
      <c r="AA32" s="1349">
        <f t="shared" si="3"/>
        <v>1</v>
      </c>
      <c r="AB32" s="1349">
        <f t="shared" si="4"/>
        <v>1</v>
      </c>
      <c r="AC32" s="1349">
        <f t="shared" si="5"/>
        <v>1</v>
      </c>
    </row>
    <row r="33" spans="1:31" s="422" customFormat="1" ht="15.75" thickBot="1">
      <c r="A33" s="624"/>
      <c r="B33" s="1989">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736"/>
      <c r="Q33" s="1348">
        <f t="shared" si="8"/>
        <v>111</v>
      </c>
      <c r="R33" s="708" t="s">
        <v>14</v>
      </c>
      <c r="S33" s="709">
        <f t="shared" si="10"/>
        <v>100</v>
      </c>
      <c r="T33" s="708" t="s">
        <v>14</v>
      </c>
      <c r="U33" s="709">
        <f t="shared" si="11"/>
        <v>100</v>
      </c>
      <c r="V33" s="708" t="s">
        <v>14</v>
      </c>
      <c r="W33" s="709">
        <f t="shared" si="12"/>
        <v>100</v>
      </c>
      <c r="X33" s="710"/>
      <c r="Y33" s="3736"/>
      <c r="Z33" s="711">
        <f t="shared" si="13"/>
        <v>111</v>
      </c>
      <c r="AA33" s="1349">
        <f t="shared" si="3"/>
        <v>1</v>
      </c>
      <c r="AB33" s="1349">
        <f t="shared" si="4"/>
        <v>1</v>
      </c>
      <c r="AC33" s="1349">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736"/>
      <c r="Q34" s="1348" t="str">
        <f>B34</f>
        <v>宗地面积</v>
      </c>
      <c r="R34" s="705" t="s">
        <v>14</v>
      </c>
      <c r="S34" s="706" t="e">
        <f t="shared" si="10"/>
        <v>#N/A</v>
      </c>
      <c r="T34" s="705" t="s">
        <v>14</v>
      </c>
      <c r="U34" s="706" t="e">
        <f t="shared" si="11"/>
        <v>#N/A</v>
      </c>
      <c r="V34" s="705" t="s">
        <v>14</v>
      </c>
      <c r="W34" s="706" t="e">
        <f t="shared" si="12"/>
        <v>#N/A</v>
      </c>
      <c r="X34" s="1351"/>
      <c r="Y34" s="3736"/>
      <c r="Z34" s="1352" t="str">
        <f t="shared" si="13"/>
        <v>宗地面积</v>
      </c>
      <c r="AA34" s="1349" t="e">
        <f t="shared" si="3"/>
        <v>#N/A</v>
      </c>
      <c r="AB34" s="1349" t="e">
        <f t="shared" si="4"/>
        <v>#N/A</v>
      </c>
      <c r="AC34" s="1349" t="e">
        <f t="shared" si="5"/>
        <v>#N/A</v>
      </c>
    </row>
    <row r="35" spans="1:31" ht="15">
      <c r="A35" s="423"/>
      <c r="B35" s="375" t="s">
        <v>1875</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8"/>
      <c r="M35" s="2712"/>
      <c r="N35" s="2712"/>
      <c r="O35" s="2770"/>
      <c r="P35" s="3736"/>
      <c r="Q35" s="1348" t="str">
        <f t="shared" ref="Q35:Q40" si="14">B35</f>
        <v>宗地形状</v>
      </c>
      <c r="R35" s="705" t="s">
        <v>14</v>
      </c>
      <c r="S35" s="706">
        <f t="shared" si="10"/>
        <v>100</v>
      </c>
      <c r="T35" s="705" t="s">
        <v>14</v>
      </c>
      <c r="U35" s="706">
        <f t="shared" si="11"/>
        <v>100</v>
      </c>
      <c r="V35" s="705" t="s">
        <v>14</v>
      </c>
      <c r="W35" s="706">
        <f t="shared" si="12"/>
        <v>100</v>
      </c>
      <c r="X35" s="1351"/>
      <c r="Y35" s="3736"/>
      <c r="Z35" s="1352" t="str">
        <f t="shared" si="13"/>
        <v>宗地形状</v>
      </c>
      <c r="AA35" s="1349">
        <f t="shared" si="3"/>
        <v>1</v>
      </c>
      <c r="AB35" s="1349">
        <f t="shared" si="4"/>
        <v>1</v>
      </c>
      <c r="AC35" s="1349">
        <f t="shared" si="5"/>
        <v>1</v>
      </c>
    </row>
    <row r="36" spans="1:31" s="108" customFormat="1" ht="15">
      <c r="A36" s="424"/>
      <c r="B36" s="375" t="s">
        <v>1877</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3"/>
      <c r="M36" s="2714"/>
      <c r="N36" s="2714"/>
      <c r="O36" s="2768"/>
      <c r="P36" s="3736"/>
      <c r="Q36" s="1348" t="str">
        <f t="shared" si="14"/>
        <v>宗地开发程度</v>
      </c>
      <c r="R36" s="701" t="s">
        <v>14</v>
      </c>
      <c r="S36" s="702">
        <f t="shared" si="10"/>
        <v>100</v>
      </c>
      <c r="T36" s="701" t="s">
        <v>14</v>
      </c>
      <c r="U36" s="702">
        <f t="shared" si="11"/>
        <v>100</v>
      </c>
      <c r="V36" s="701" t="s">
        <v>14</v>
      </c>
      <c r="W36" s="702">
        <f t="shared" si="12"/>
        <v>100</v>
      </c>
      <c r="X36" s="703"/>
      <c r="Y36" s="3736"/>
      <c r="Z36" s="52" t="str">
        <f t="shared" si="13"/>
        <v>宗地开发程度</v>
      </c>
      <c r="AA36" s="704">
        <f t="shared" si="3"/>
        <v>1</v>
      </c>
      <c r="AB36" s="704">
        <f t="shared" si="4"/>
        <v>1</v>
      </c>
      <c r="AC36" s="704">
        <f t="shared" si="5"/>
        <v>1</v>
      </c>
    </row>
    <row r="37" spans="1:31" ht="15">
      <c r="A37" s="423"/>
      <c r="B37" s="375" t="s">
        <v>1878</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61"/>
      <c r="L37" s="2718"/>
      <c r="M37" s="2712"/>
      <c r="N37" s="2712"/>
      <c r="O37" s="2770"/>
      <c r="P37" s="3736" t="s">
        <v>1696</v>
      </c>
      <c r="Q37" s="1348" t="str">
        <f t="shared" si="14"/>
        <v>工程地质条件</v>
      </c>
      <c r="R37" s="705" t="s">
        <v>14</v>
      </c>
      <c r="S37" s="706">
        <f t="shared" si="10"/>
        <v>100</v>
      </c>
      <c r="T37" s="705" t="s">
        <v>14</v>
      </c>
      <c r="U37" s="706">
        <f t="shared" si="11"/>
        <v>100</v>
      </c>
      <c r="V37" s="705" t="s">
        <v>14</v>
      </c>
      <c r="W37" s="706">
        <f t="shared" si="12"/>
        <v>100</v>
      </c>
      <c r="X37" s="1351"/>
      <c r="Y37" s="3736" t="s">
        <v>1696</v>
      </c>
      <c r="Z37" s="1352" t="str">
        <f t="shared" si="13"/>
        <v>工程地质条件</v>
      </c>
      <c r="AA37" s="1349">
        <f t="shared" si="3"/>
        <v>1</v>
      </c>
      <c r="AB37" s="1349">
        <f t="shared" si="4"/>
        <v>1</v>
      </c>
      <c r="AC37" s="1349">
        <f t="shared" si="5"/>
        <v>1</v>
      </c>
    </row>
    <row r="38" spans="1:31" ht="15">
      <c r="A38" s="423"/>
      <c r="B38" s="1131">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736"/>
      <c r="Q38" s="1348">
        <f t="shared" si="14"/>
        <v>111</v>
      </c>
      <c r="R38" s="705" t="s">
        <v>14</v>
      </c>
      <c r="S38" s="706">
        <f t="shared" si="10"/>
        <v>100</v>
      </c>
      <c r="T38" s="705" t="s">
        <v>14</v>
      </c>
      <c r="U38" s="706">
        <f t="shared" si="11"/>
        <v>100</v>
      </c>
      <c r="V38" s="705" t="s">
        <v>14</v>
      </c>
      <c r="W38" s="706">
        <f t="shared" si="12"/>
        <v>100</v>
      </c>
      <c r="X38" s="1351"/>
      <c r="Y38" s="3736"/>
      <c r="Z38" s="1352">
        <f t="shared" si="13"/>
        <v>111</v>
      </c>
      <c r="AA38" s="1349">
        <f t="shared" si="3"/>
        <v>1</v>
      </c>
      <c r="AB38" s="1349">
        <f t="shared" si="4"/>
        <v>1</v>
      </c>
      <c r="AC38" s="1349">
        <f t="shared" si="5"/>
        <v>1</v>
      </c>
    </row>
    <row r="39" spans="1:31" ht="15">
      <c r="A39" s="423"/>
      <c r="B39" s="1131">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736"/>
      <c r="Q39" s="1348">
        <f t="shared" si="14"/>
        <v>111</v>
      </c>
      <c r="R39" s="705" t="s">
        <v>14</v>
      </c>
      <c r="S39" s="706">
        <f t="shared" si="10"/>
        <v>100</v>
      </c>
      <c r="T39" s="705" t="s">
        <v>14</v>
      </c>
      <c r="U39" s="706">
        <f t="shared" si="11"/>
        <v>100</v>
      </c>
      <c r="V39" s="705" t="s">
        <v>14</v>
      </c>
      <c r="W39" s="706">
        <f t="shared" si="12"/>
        <v>100</v>
      </c>
      <c r="X39" s="1351"/>
      <c r="Y39" s="3736"/>
      <c r="Z39" s="1352">
        <f t="shared" si="13"/>
        <v>111</v>
      </c>
      <c r="AA39" s="1349">
        <f t="shared" si="3"/>
        <v>1</v>
      </c>
      <c r="AB39" s="1349">
        <f t="shared" si="4"/>
        <v>1</v>
      </c>
      <c r="AC39" s="1349">
        <f t="shared" si="5"/>
        <v>1</v>
      </c>
    </row>
    <row r="40" spans="1:31" s="422" customFormat="1" ht="15.75" thickBot="1">
      <c r="A40" s="419"/>
      <c r="B40" s="1131">
        <v>111</v>
      </c>
      <c r="C40" s="1977"/>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736"/>
      <c r="Q40" s="1348">
        <f t="shared" si="14"/>
        <v>111</v>
      </c>
      <c r="R40" s="708" t="s">
        <v>14</v>
      </c>
      <c r="S40" s="709">
        <f t="shared" si="10"/>
        <v>100</v>
      </c>
      <c r="T40" s="708" t="s">
        <v>14</v>
      </c>
      <c r="U40" s="709">
        <f t="shared" si="11"/>
        <v>100</v>
      </c>
      <c r="V40" s="708" t="s">
        <v>14</v>
      </c>
      <c r="W40" s="709">
        <f t="shared" si="12"/>
        <v>100</v>
      </c>
      <c r="X40" s="710"/>
      <c r="Y40" s="3736"/>
      <c r="Z40" s="711">
        <f t="shared" si="13"/>
        <v>111</v>
      </c>
      <c r="AA40" s="1349">
        <f t="shared" si="3"/>
        <v>1</v>
      </c>
      <c r="AB40" s="1349">
        <f t="shared" si="4"/>
        <v>1</v>
      </c>
      <c r="AC40" s="1349">
        <f t="shared" si="5"/>
        <v>1</v>
      </c>
    </row>
    <row r="41" spans="1:31" ht="15">
      <c r="A41" s="430" t="s">
        <v>1844</v>
      </c>
      <c r="B41" s="1978" t="s">
        <v>1922</v>
      </c>
      <c r="C41" s="630" t="s">
        <v>0</v>
      </c>
      <c r="D41" s="432"/>
      <c r="E41" s="433"/>
      <c r="F41" s="434"/>
      <c r="G41" s="435"/>
      <c r="H41" s="436"/>
      <c r="I41" s="433"/>
      <c r="J41" s="436"/>
      <c r="K41" s="714"/>
      <c r="L41" s="2720"/>
      <c r="M41" s="2712"/>
      <c r="N41" s="2712"/>
      <c r="O41" s="2721"/>
      <c r="P41" s="3718" t="str">
        <f>A41</f>
        <v>成交单价</v>
      </c>
      <c r="Q41" s="3718"/>
      <c r="R41" s="3731">
        <f>E41</f>
        <v>0</v>
      </c>
      <c r="S41" s="3731"/>
      <c r="T41" s="3731">
        <f>G41</f>
        <v>0</v>
      </c>
      <c r="U41" s="3731"/>
      <c r="V41" s="3731">
        <f>I41</f>
        <v>0</v>
      </c>
      <c r="W41" s="3731"/>
      <c r="X41" s="690"/>
      <c r="Y41" s="712"/>
      <c r="Z41" s="690"/>
      <c r="AA41" s="690"/>
      <c r="AB41" s="690"/>
      <c r="AC41" s="690"/>
    </row>
    <row r="42" spans="1:31" ht="15.75" thickBot="1">
      <c r="A42" s="437" t="s">
        <v>1793</v>
      </c>
      <c r="B42" s="631"/>
      <c r="C42" s="440" t="e">
        <f>R43</f>
        <v>#DIV/0!</v>
      </c>
      <c r="D42" s="2313" t="s">
        <v>2137</v>
      </c>
      <c r="E42" s="440" t="e">
        <f>R42</f>
        <v>#DIV/0!</v>
      </c>
      <c r="F42" s="2314"/>
      <c r="G42" s="439" t="e">
        <f>T42</f>
        <v>#DIV/0!</v>
      </c>
      <c r="H42" s="2314"/>
      <c r="I42" s="440" t="e">
        <f>V42</f>
        <v>#DIV/0!</v>
      </c>
      <c r="J42" s="2314"/>
      <c r="K42" s="2316">
        <f>F42+H42+J42</f>
        <v>0</v>
      </c>
      <c r="L42" s="2720"/>
      <c r="M42" s="2712"/>
      <c r="N42" s="2712"/>
      <c r="O42" s="2721"/>
      <c r="P42" s="3718" t="str">
        <f>A42</f>
        <v>比较价值（元/平方米）</v>
      </c>
      <c r="Q42" s="3718"/>
      <c r="R42" s="3737" t="e">
        <f>ROUND(PRODUCT(R41,AA7:AA40),0)</f>
        <v>#DIV/0!</v>
      </c>
      <c r="S42" s="3737"/>
      <c r="T42" s="3737" t="e">
        <f>ROUND(PRODUCT(T41,AB7:AB40),0)</f>
        <v>#DIV/0!</v>
      </c>
      <c r="U42" s="3737"/>
      <c r="V42" s="3737" t="e">
        <f>ROUND(PRODUCT(V41,AC7:AC40),0)</f>
        <v>#DIV/0!</v>
      </c>
      <c r="W42" s="3737"/>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0"/>
      <c r="M43" s="2712"/>
      <c r="N43" s="2712"/>
      <c r="O43" s="2721"/>
      <c r="P43" s="3738" t="str">
        <f>A43</f>
        <v>估价对象XX用房的比较价值（楼面单价，元/平方米）</v>
      </c>
      <c r="Q43" s="3739"/>
      <c r="R43" s="3740" t="e">
        <f>ROUND(IF(D42="简单平均",AVERAGE(R42:W42),R42*F42+T42*H42+V42*J42),0)</f>
        <v>#DIV/0!</v>
      </c>
      <c r="S43" s="3740"/>
      <c r="T43" s="3740"/>
      <c r="U43" s="3740"/>
      <c r="V43" s="3740"/>
      <c r="W43" s="3740"/>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1881</v>
      </c>
      <c r="B50" s="633" t="s">
        <v>1882</v>
      </c>
      <c r="C50" s="1979" t="s">
        <v>1883</v>
      </c>
      <c r="D50" s="1980" t="s">
        <v>1884</v>
      </c>
      <c r="E50" s="634" t="s">
        <v>1885</v>
      </c>
      <c r="F50" s="635" t="s">
        <v>1886</v>
      </c>
      <c r="G50" s="3719" t="s">
        <v>1887</v>
      </c>
      <c r="H50" s="3741"/>
      <c r="I50" s="1352" t="s">
        <v>1923</v>
      </c>
      <c r="J50" s="1352">
        <f>项目基本情况!F35</f>
        <v>0</v>
      </c>
      <c r="K50" s="1982"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t="e">
        <f>C43</f>
        <v>#DIV/0!</v>
      </c>
      <c r="C51" s="638">
        <v>1</v>
      </c>
      <c r="D51" s="941">
        <v>1</v>
      </c>
      <c r="E51" s="638">
        <f>'数据-汇总表'!E8+'数据-汇总表'!E9</f>
        <v>165925.58999999988</v>
      </c>
      <c r="F51" s="639" t="e">
        <f t="shared" ref="F51:F60" si="15">ROUND(B51*E51/10000,0)</f>
        <v>#DIV/0!</v>
      </c>
      <c r="G51" s="3742"/>
      <c r="H51" s="3718"/>
      <c r="I51" s="770">
        <v>1</v>
      </c>
      <c r="J51" s="770">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1891</v>
      </c>
      <c r="B52" s="218" t="e">
        <f>ROUND($C$43*C52*D52,0)</f>
        <v>#DIV/0!</v>
      </c>
      <c r="C52" s="171">
        <f t="shared" ref="C52:C60" si="16">IF($C$50="北京市系数",I52,J52)</f>
        <v>0</v>
      </c>
      <c r="D52" s="942">
        <v>0.25</v>
      </c>
      <c r="E52" s="642"/>
      <c r="F52" s="639" t="e">
        <f t="shared" si="15"/>
        <v>#DIV/0!</v>
      </c>
      <c r="G52" s="3002" t="s">
        <v>1892</v>
      </c>
      <c r="H52" s="884">
        <f>项目基本情况!B37</f>
        <v>0</v>
      </c>
      <c r="I52" s="770">
        <f>SUMIF(修正!A57:A68,H52,修正!B57:B68)</f>
        <v>0</v>
      </c>
      <c r="J52" s="771"/>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1893</v>
      </c>
      <c r="B53" s="218" t="e">
        <f t="shared" ref="B53:B60" si="17">ROUND($C$43*C53*D53,0)</f>
        <v>#DIV/0!</v>
      </c>
      <c r="C53" s="171">
        <f t="shared" si="16"/>
        <v>0</v>
      </c>
      <c r="D53" s="942">
        <v>0.25</v>
      </c>
      <c r="E53" s="642"/>
      <c r="F53" s="639" t="e">
        <f t="shared" si="15"/>
        <v>#DIV/0!</v>
      </c>
      <c r="G53" s="3003"/>
      <c r="H53" s="884">
        <f>项目基本情况!B37</f>
        <v>0</v>
      </c>
      <c r="I53" s="770">
        <f>SUMIF(修正!A57:A68,H53,修正!C57:C68)</f>
        <v>0</v>
      </c>
      <c r="J53" s="771"/>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1894</v>
      </c>
      <c r="B54" s="218" t="e">
        <f t="shared" si="17"/>
        <v>#DIV/0!</v>
      </c>
      <c r="C54" s="171">
        <f t="shared" si="16"/>
        <v>0</v>
      </c>
      <c r="D54" s="942">
        <v>0.25</v>
      </c>
      <c r="E54" s="642"/>
      <c r="F54" s="639" t="e">
        <f t="shared" si="15"/>
        <v>#DIV/0!</v>
      </c>
      <c r="G54" s="3003"/>
      <c r="H54" s="884">
        <f>项目基本情况!B37</f>
        <v>0</v>
      </c>
      <c r="I54" s="770">
        <f>SUMIF(修正!A57:A68,H54,修正!D57:D68)</f>
        <v>0</v>
      </c>
      <c r="J54" s="771"/>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2"/>
      <c r="E55" s="642"/>
      <c r="F55" s="639"/>
      <c r="G55" s="3004"/>
      <c r="H55" s="884"/>
      <c r="I55" s="770"/>
      <c r="J55" s="771"/>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1895</v>
      </c>
      <c r="B56" s="218" t="e">
        <f t="shared" si="17"/>
        <v>#DIV/0!</v>
      </c>
      <c r="C56" s="171">
        <f t="shared" si="16"/>
        <v>0</v>
      </c>
      <c r="D56" s="942">
        <v>0.25</v>
      </c>
      <c r="E56" s="217">
        <f>'数据-汇总表'!E11</f>
        <v>0</v>
      </c>
      <c r="F56" s="639" t="e">
        <f t="shared" si="15"/>
        <v>#DIV/0!</v>
      </c>
      <c r="G56" s="1983" t="s">
        <v>1896</v>
      </c>
      <c r="H56" s="884">
        <f>项目基本情况!C37</f>
        <v>0</v>
      </c>
      <c r="I56" s="770">
        <f>SUMIF(修正!A57:A68,H56,修正!E57:E68)</f>
        <v>0</v>
      </c>
      <c r="J56" s="771"/>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1897</v>
      </c>
      <c r="B57" s="218" t="e">
        <f t="shared" si="17"/>
        <v>#DIV/0!</v>
      </c>
      <c r="C57" s="171">
        <f t="shared" si="16"/>
        <v>0</v>
      </c>
      <c r="D57" s="942">
        <v>0.25</v>
      </c>
      <c r="E57" s="217">
        <f>'数据-汇总表'!E12</f>
        <v>3014.34</v>
      </c>
      <c r="F57" s="639" t="e">
        <f t="shared" si="15"/>
        <v>#DIV/0!</v>
      </c>
      <c r="G57" s="889" t="s">
        <v>1898</v>
      </c>
      <c r="H57" s="884">
        <f>IF(G57="商业",项目基本情况!B37,IF(G57="办公",项目基本情况!C37,IF(G57="住宅",项目基本情况!D37,项目基本情况!E37)))</f>
        <v>0</v>
      </c>
      <c r="I57" s="770">
        <f>SUMIF(修正!A57:A68,H57,修正!F57:F68)</f>
        <v>0</v>
      </c>
      <c r="J57" s="771"/>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1899</v>
      </c>
      <c r="B58" s="218" t="e">
        <f t="shared" si="17"/>
        <v>#DIV/0!</v>
      </c>
      <c r="C58" s="171">
        <f t="shared" si="16"/>
        <v>0</v>
      </c>
      <c r="D58" s="942">
        <v>0.25</v>
      </c>
      <c r="E58" s="217">
        <f>'数据-汇总表'!E13</f>
        <v>0</v>
      </c>
      <c r="F58" s="639" t="e">
        <f t="shared" si="15"/>
        <v>#DIV/0!</v>
      </c>
      <c r="G58" s="889" t="s">
        <v>1900</v>
      </c>
      <c r="H58" s="884">
        <f>IF(G58="商业",项目基本情况!B37,IF(G58="办公",项目基本情况!C37,IF(G58="住宅",项目基本情况!D37,项目基本情况!E37)))</f>
        <v>0</v>
      </c>
      <c r="I58" s="770">
        <f>SUMIF(修正!A57:A68,H58,修正!G57:G68)</f>
        <v>0</v>
      </c>
      <c r="J58" s="771"/>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1901</v>
      </c>
      <c r="B59" s="218" t="e">
        <f t="shared" si="17"/>
        <v>#DIV/0!</v>
      </c>
      <c r="C59" s="171">
        <f t="shared" si="16"/>
        <v>0</v>
      </c>
      <c r="D59" s="942">
        <v>0.25</v>
      </c>
      <c r="E59" s="217">
        <f>'数据-汇总表'!E14</f>
        <v>0</v>
      </c>
      <c r="F59" s="639" t="e">
        <f t="shared" si="15"/>
        <v>#DIV/0!</v>
      </c>
      <c r="G59" s="1983" t="s">
        <v>1892</v>
      </c>
      <c r="H59" s="884">
        <f>项目基本情况!B37</f>
        <v>0</v>
      </c>
      <c r="I59" s="770">
        <f>SUMIF(修正!A57:A68,H59,修正!G57:G68)</f>
        <v>0</v>
      </c>
      <c r="J59" s="771"/>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1902</v>
      </c>
      <c r="B60" s="218" t="e">
        <f t="shared" si="17"/>
        <v>#DIV/0!</v>
      </c>
      <c r="C60" s="171">
        <f t="shared" si="16"/>
        <v>0</v>
      </c>
      <c r="D60" s="942">
        <v>0.25</v>
      </c>
      <c r="E60" s="217">
        <f>'数据-汇总表'!E15</f>
        <v>46034.520000000011</v>
      </c>
      <c r="F60" s="639" t="e">
        <f t="shared" si="15"/>
        <v>#DIV/0!</v>
      </c>
      <c r="G60" s="1984" t="s">
        <v>1896</v>
      </c>
      <c r="H60" s="894">
        <f>项目基本情况!C37</f>
        <v>0</v>
      </c>
      <c r="I60" s="770">
        <f>SUMIF(修正!A57:A68,H60,修正!G57:G68)</f>
        <v>0</v>
      </c>
      <c r="J60" s="771"/>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1903</v>
      </c>
      <c r="B61" s="644" t="s">
        <v>22</v>
      </c>
      <c r="C61" s="644" t="s">
        <v>23</v>
      </c>
      <c r="D61" s="644" t="s">
        <v>392</v>
      </c>
      <c r="E61" s="644">
        <f>IF(B41="楼面地价",SUM(E51:E60),'数据-汇总表'!D3)</f>
        <v>15635.46</v>
      </c>
      <c r="F61" s="645" t="e">
        <f>IF(B41="楼面地价",SUM(F51:F60),ROUND(C43*E61/10000,0))</f>
        <v>#DIV/0!</v>
      </c>
      <c r="G61" s="936"/>
      <c r="H61" s="936"/>
      <c r="I61" s="936"/>
      <c r="J61" s="936"/>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4"/>
      <c r="B62" s="926"/>
      <c r="C62" s="928"/>
      <c r="D62" s="924"/>
      <c r="E62" s="924"/>
      <c r="F62" s="924"/>
      <c r="G62" s="924"/>
      <c r="H62" s="924"/>
      <c r="I62" s="924"/>
      <c r="J62" s="924"/>
      <c r="K62" s="885"/>
      <c r="L62" s="886"/>
      <c r="M62" s="924"/>
      <c r="N62" s="924"/>
      <c r="O62" s="924"/>
      <c r="P62" s="2721"/>
      <c r="Q62" s="2721"/>
      <c r="R62" s="2721"/>
      <c r="S62" s="2721"/>
      <c r="T62" s="2721"/>
      <c r="U62" s="2721"/>
      <c r="V62" s="2721"/>
      <c r="W62" s="2721"/>
      <c r="X62" s="2721"/>
      <c r="Y62" s="2721"/>
      <c r="Z62" s="2721"/>
      <c r="AA62" s="2721"/>
      <c r="AB62" s="2721"/>
      <c r="AC62" s="2721"/>
      <c r="AD62" s="2721"/>
      <c r="AE62" s="2721"/>
    </row>
    <row r="63" spans="1:31">
      <c r="A63" s="924"/>
      <c r="B63" s="926"/>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1"/>
      <c r="Q63" s="2721"/>
      <c r="R63" s="2721"/>
      <c r="S63" s="2721"/>
      <c r="T63" s="2721"/>
      <c r="U63" s="2721"/>
      <c r="V63" s="2721"/>
      <c r="W63" s="2721"/>
      <c r="X63" s="2721"/>
      <c r="Y63" s="2721"/>
      <c r="Z63" s="2721"/>
      <c r="AA63" s="2721"/>
      <c r="AB63" s="2721"/>
      <c r="AC63" s="2721"/>
      <c r="AD63" s="2721"/>
      <c r="AE63" s="2721"/>
    </row>
    <row r="64" spans="1:31" ht="21.75" thickBot="1">
      <c r="A64" s="694" t="s">
        <v>1798</v>
      </c>
      <c r="B64" s="690"/>
      <c r="C64" s="695"/>
      <c r="D64" s="695"/>
      <c r="E64" s="695"/>
      <c r="F64" s="696"/>
      <c r="G64" s="696"/>
      <c r="H64" s="695"/>
      <c r="I64" s="695"/>
      <c r="J64" s="695"/>
      <c r="K64" s="697"/>
      <c r="L64" s="698"/>
      <c r="M64" s="695"/>
      <c r="N64" s="695"/>
      <c r="O64" s="937"/>
      <c r="P64" s="2765"/>
      <c r="Q64" s="2735"/>
      <c r="R64" s="2721"/>
      <c r="S64" s="2721"/>
      <c r="T64" s="2721"/>
      <c r="U64" s="2721"/>
      <c r="V64" s="2721"/>
      <c r="W64" s="2721"/>
      <c r="X64" s="2721"/>
      <c r="Y64" s="2721"/>
      <c r="Z64" s="2721"/>
      <c r="AA64" s="2721"/>
      <c r="AB64" s="2721"/>
      <c r="AC64" s="2721"/>
      <c r="AD64" s="2721"/>
      <c r="AE64" s="2721"/>
    </row>
    <row r="65" spans="1:31" s="457" customFormat="1" ht="15">
      <c r="A65" s="1985" t="s">
        <v>1904</v>
      </c>
      <c r="B65" s="1106"/>
      <c r="C65" s="1178" t="str">
        <f>YEAR(C63)&amp;"-"&amp;ROUNDUP(MONTH(C63)/3,0)</f>
        <v>2023-1</v>
      </c>
      <c r="D65" s="1178" t="str">
        <f t="shared" ref="D65:O65" si="19">YEAR(D63)&amp;"-"&amp;ROUNDUP(MONTH(D63)/3,0)</f>
        <v>2022-4</v>
      </c>
      <c r="E65" s="1178" t="str">
        <f t="shared" si="19"/>
        <v>2022-3</v>
      </c>
      <c r="F65" s="1178" t="str">
        <f t="shared" si="19"/>
        <v>2022-2</v>
      </c>
      <c r="G65" s="1178" t="str">
        <f t="shared" si="19"/>
        <v>2022-1</v>
      </c>
      <c r="H65" s="1178" t="str">
        <f t="shared" si="19"/>
        <v>2021-4</v>
      </c>
      <c r="I65" s="1178" t="str">
        <f t="shared" si="19"/>
        <v>2021-3</v>
      </c>
      <c r="J65" s="1178" t="str">
        <f t="shared" si="19"/>
        <v>2021-2</v>
      </c>
      <c r="K65" s="1178" t="str">
        <f t="shared" si="19"/>
        <v>2021-1</v>
      </c>
      <c r="L65" s="1178" t="str">
        <f t="shared" si="19"/>
        <v>2020-4</v>
      </c>
      <c r="M65" s="1178" t="str">
        <f t="shared" si="19"/>
        <v>2020-3</v>
      </c>
      <c r="N65" s="1178" t="str">
        <f t="shared" si="19"/>
        <v>2020-2</v>
      </c>
      <c r="O65" s="1178" t="str">
        <f t="shared" si="19"/>
        <v>2020-1</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0" t="s">
        <v>1924</v>
      </c>
      <c r="B66" s="288" t="str">
        <f>"北京市平均增长率"&amp;TEXT(基准地价修正!P28,"0.00%")</f>
        <v>北京市平均增长率0.00%</v>
      </c>
      <c r="C66" s="552">
        <v>100</v>
      </c>
      <c r="D66" s="544"/>
      <c r="E66" s="544"/>
      <c r="F66" s="544"/>
      <c r="G66" s="544"/>
      <c r="H66" s="544"/>
      <c r="I66" s="544"/>
      <c r="J66" s="544"/>
      <c r="K66" s="544"/>
      <c r="L66" s="544"/>
      <c r="M66" s="1175"/>
      <c r="N66" s="1175"/>
      <c r="O66" s="1176"/>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1716</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1681</v>
      </c>
      <c r="B68" s="459"/>
      <c r="C68" s="471" t="s">
        <v>1776</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1719</v>
      </c>
      <c r="B70" s="477" t="s">
        <v>1685</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9"/>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1873</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9" t="str">
        <f t="shared" si="25"/>
        <v>(含)-</v>
      </c>
      <c r="L107" s="1329" t="str">
        <f t="shared" si="25"/>
        <v>(含)-</v>
      </c>
      <c r="M107" s="1330"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1914</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1916</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1917</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46" priority="18" stopIfTrue="1" operator="containsText" text="超过">
      <formula>NOT(ISERROR(SEARCH("超过",F46)))</formula>
    </cfRule>
  </conditionalFormatting>
  <conditionalFormatting sqref="J48">
    <cfRule type="containsText" dxfId="45" priority="17" stopIfTrue="1" operator="containsText" text="超过">
      <formula>NOT(ISERROR(SEARCH("超过",J48)))</formula>
    </cfRule>
  </conditionalFormatting>
  <conditionalFormatting sqref="H48">
    <cfRule type="containsText" dxfId="44" priority="16" stopIfTrue="1" operator="containsText" text="超过">
      <formula>NOT(ISERROR(SEARCH("超过",H48)))</formula>
    </cfRule>
  </conditionalFormatting>
  <conditionalFormatting sqref="F48">
    <cfRule type="containsText" dxfId="43" priority="15" stopIfTrue="1" operator="containsText" text="超过">
      <formula>NOT(ISERROR(SEARCH("超过",F48)))</formula>
    </cfRule>
  </conditionalFormatting>
  <conditionalFormatting sqref="F47 H47 J47">
    <cfRule type="containsText" dxfId="42" priority="14" stopIfTrue="1" operator="containsText" text="超过">
      <formula>NOT(ISERROR(SEARCH("超过",F47)))</formula>
    </cfRule>
  </conditionalFormatting>
  <conditionalFormatting sqref="E46">
    <cfRule type="expression" dxfId="41" priority="13" stopIfTrue="1">
      <formula>$F$46="超过30%"</formula>
    </cfRule>
  </conditionalFormatting>
  <conditionalFormatting sqref="G48">
    <cfRule type="expression" dxfId="40" priority="12" stopIfTrue="1">
      <formula>$H$48="超过30%"</formula>
    </cfRule>
  </conditionalFormatting>
  <conditionalFormatting sqref="E48">
    <cfRule type="expression" dxfId="39" priority="10" stopIfTrue="1">
      <formula>$F$48="超过30%"</formula>
    </cfRule>
  </conditionalFormatting>
  <conditionalFormatting sqref="G46">
    <cfRule type="expression" dxfId="38" priority="9" stopIfTrue="1">
      <formula>$H$46="超过30%"</formula>
    </cfRule>
  </conditionalFormatting>
  <conditionalFormatting sqref="G47">
    <cfRule type="expression" dxfId="37" priority="8" stopIfTrue="1">
      <formula>$H$47="超过20%"</formula>
    </cfRule>
  </conditionalFormatting>
  <conditionalFormatting sqref="I46">
    <cfRule type="expression" dxfId="36" priority="7" stopIfTrue="1">
      <formula>$J$46="超过30%"</formula>
    </cfRule>
  </conditionalFormatting>
  <conditionalFormatting sqref="I47">
    <cfRule type="expression" dxfId="35" priority="6" stopIfTrue="1">
      <formula>$J$47="超过20%"</formula>
    </cfRule>
  </conditionalFormatting>
  <conditionalFormatting sqref="I48">
    <cfRule type="expression" dxfId="34" priority="5" stopIfTrue="1">
      <formula>$J$48="超过30%"</formula>
    </cfRule>
  </conditionalFormatting>
  <conditionalFormatting sqref="E47">
    <cfRule type="expression" dxfId="33" priority="53" stopIfTrue="1">
      <formula>#REF!+$F$47="超过20%"</formula>
    </cfRule>
  </conditionalFormatting>
  <conditionalFormatting sqref="F42">
    <cfRule type="expression" dxfId="32" priority="4">
      <formula>$D$42="简单平均"</formula>
    </cfRule>
  </conditionalFormatting>
  <conditionalFormatting sqref="H42">
    <cfRule type="expression" dxfId="31" priority="3">
      <formula>$D$42="简单平均"</formula>
    </cfRule>
  </conditionalFormatting>
  <conditionalFormatting sqref="J42">
    <cfRule type="expression" dxfId="30" priority="2">
      <formula>$D$42="简单平均"</formula>
    </cfRule>
  </conditionalFormatting>
  <conditionalFormatting sqref="F7:F40 H7:H40 J7:J40">
    <cfRule type="cellIs" dxfId="2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70" zoomScaleNormal="70" zoomScaleSheetLayoutView="70" workbookViewId="0">
      <selection activeCell="I39" sqref="I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t="s">
        <v>3951</v>
      </c>
      <c r="D1" s="1358" t="s">
        <v>3952</v>
      </c>
      <c r="E1" s="1359" t="s">
        <v>678</v>
      </c>
      <c r="F1" s="1059">
        <f ca="1">J53</f>
        <v>28.729999999999997</v>
      </c>
      <c r="G1" s="1374">
        <f>MATCH(C1,'数据-取费表'!A6:A16,0)+5</f>
        <v>9</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804</v>
      </c>
      <c r="B2" s="1382">
        <f ca="1">C40+J29+L46</f>
        <v>-9175</v>
      </c>
      <c r="C2" s="1383" t="s">
        <v>805</v>
      </c>
      <c r="D2" s="1383"/>
      <c r="E2" s="1384"/>
      <c r="F2" s="1385"/>
      <c r="G2" s="2702"/>
      <c r="H2" s="2691"/>
      <c r="I2" s="2691"/>
      <c r="J2" s="2691"/>
      <c r="K2" s="2692"/>
      <c r="L2" s="2691"/>
      <c r="M2" s="2691"/>
    </row>
    <row r="3" spans="1:37" ht="18" customHeight="1" thickBot="1">
      <c r="A3" s="1386" t="s">
        <v>806</v>
      </c>
      <c r="B3" s="1387">
        <f ca="1">IF(ISERROR(B2*10000/F43),0,ROUND(B2*10000/F43,0))</f>
        <v>-1993</v>
      </c>
      <c r="C3" s="1383" t="s">
        <v>807</v>
      </c>
      <c r="D3" s="1383"/>
      <c r="E3" s="1384"/>
      <c r="F3" s="1385"/>
      <c r="G3" s="2702"/>
      <c r="H3" s="683" t="s">
        <v>876</v>
      </c>
      <c r="I3" s="1378"/>
      <c r="J3" s="1378"/>
      <c r="K3" s="1379"/>
      <c r="L3" s="1378"/>
      <c r="M3" s="1378"/>
    </row>
    <row r="4" spans="1:37" ht="18" customHeight="1">
      <c r="A4" s="295" t="s">
        <v>687</v>
      </c>
      <c r="B4" s="296" t="s">
        <v>688</v>
      </c>
      <c r="C4" s="296" t="s">
        <v>689</v>
      </c>
      <c r="D4" s="296" t="s">
        <v>690</v>
      </c>
      <c r="E4" s="297" t="s">
        <v>691</v>
      </c>
      <c r="F4" s="298"/>
      <c r="G4" s="1380"/>
      <c r="H4" s="295" t="s">
        <v>687</v>
      </c>
      <c r="I4" s="296" t="s">
        <v>688</v>
      </c>
      <c r="J4" s="296" t="s">
        <v>689</v>
      </c>
      <c r="K4" s="296" t="s">
        <v>690</v>
      </c>
      <c r="L4" s="297" t="s">
        <v>691</v>
      </c>
      <c r="M4" s="298"/>
    </row>
    <row r="5" spans="1:37" ht="18" customHeight="1">
      <c r="A5" s="299">
        <v>1</v>
      </c>
      <c r="B5" s="300" t="s">
        <v>692</v>
      </c>
      <c r="C5" s="1067">
        <f ca="1">C6+C10+C12</f>
        <v>1</v>
      </c>
      <c r="D5" s="1360" t="s">
        <v>693</v>
      </c>
      <c r="E5" s="1068"/>
      <c r="F5" s="1069"/>
      <c r="G5" s="1380"/>
      <c r="H5" s="299">
        <v>1</v>
      </c>
      <c r="I5" s="300" t="s">
        <v>692</v>
      </c>
      <c r="J5" s="1067">
        <f ca="1">J6+J10+J12</f>
        <v>0</v>
      </c>
      <c r="K5" s="1360" t="s">
        <v>693</v>
      </c>
      <c r="L5" s="1068"/>
      <c r="M5" s="1069"/>
    </row>
    <row r="6" spans="1:37" ht="18" customHeight="1">
      <c r="A6" s="1066" t="s">
        <v>398</v>
      </c>
      <c r="B6" s="3743" t="s">
        <v>694</v>
      </c>
      <c r="C6" s="1071">
        <f ca="1">ROUND(F6*F8*F7*(1-F9)/10000,0)</f>
        <v>1</v>
      </c>
      <c r="D6" s="155" t="s">
        <v>2108</v>
      </c>
      <c r="E6" s="302" t="s">
        <v>696</v>
      </c>
      <c r="F6" s="303">
        <f ca="1">INDIRECT("'数据-取费表'!u"&amp;$G$1)</f>
        <v>1</v>
      </c>
      <c r="G6" s="1380"/>
      <c r="H6" s="1066" t="s">
        <v>398</v>
      </c>
      <c r="I6" s="3743" t="s">
        <v>694</v>
      </c>
      <c r="J6" s="301">
        <f ca="1">ROUND(M6*M8*M7*(1-M9)/10000,0)</f>
        <v>0</v>
      </c>
      <c r="K6" s="155" t="s">
        <v>2107</v>
      </c>
      <c r="L6" s="302" t="s">
        <v>696</v>
      </c>
      <c r="M6" s="303">
        <f ca="1">INDIRECT("'数据-取费表'!z"&amp;$G$1)</f>
        <v>0</v>
      </c>
    </row>
    <row r="7" spans="1:37" ht="18" customHeight="1">
      <c r="A7" s="1070"/>
      <c r="B7" s="3744"/>
      <c r="C7" s="1072"/>
      <c r="D7" s="307"/>
      <c r="E7" s="1073" t="s">
        <v>697</v>
      </c>
      <c r="F7" s="303">
        <f ca="1">IF(INDIRECT("'数据-取费表'!ah"&amp;$G$1)="",INDIRECT("'数据-取费表'!k"&amp;$G$1),INDIRECT("'数据-取费表'!ah"&amp;$G$1))</f>
        <v>976</v>
      </c>
      <c r="G7" s="1380"/>
      <c r="H7" s="304"/>
      <c r="I7" s="3744"/>
      <c r="J7" s="306"/>
      <c r="K7" s="307"/>
      <c r="L7" s="302" t="s">
        <v>697</v>
      </c>
      <c r="M7" s="303">
        <f ca="1">F7</f>
        <v>976</v>
      </c>
    </row>
    <row r="8" spans="1:37" ht="18" customHeight="1">
      <c r="A8" s="304"/>
      <c r="B8" s="3744"/>
      <c r="C8" s="306"/>
      <c r="D8" s="307"/>
      <c r="E8" s="302" t="s">
        <v>698</v>
      </c>
      <c r="F8" s="303">
        <f ca="1">INDIRECT("'数据-取费表'!ai"&amp;$G$1)</f>
        <v>12</v>
      </c>
      <c r="G8" s="1380"/>
      <c r="H8" s="304"/>
      <c r="I8" s="3744"/>
      <c r="J8" s="306"/>
      <c r="K8" s="307"/>
      <c r="L8" s="302" t="s">
        <v>698</v>
      </c>
      <c r="M8" s="303">
        <f ca="1">INDIRECT("'数据-取费表'!ai"&amp;$G$1)</f>
        <v>12</v>
      </c>
    </row>
    <row r="9" spans="1:37" ht="18" customHeight="1">
      <c r="A9" s="304"/>
      <c r="B9" s="3745"/>
      <c r="C9" s="306"/>
      <c r="D9" s="307"/>
      <c r="E9" s="302" t="s">
        <v>699</v>
      </c>
      <c r="F9" s="312">
        <f ca="1">INDIRECT("'数据-取费表'!w"&amp;$G$1)</f>
        <v>0.1</v>
      </c>
      <c r="G9" s="1380"/>
      <c r="H9" s="304"/>
      <c r="I9" s="3745"/>
      <c r="J9" s="306"/>
      <c r="K9" s="307"/>
      <c r="L9" s="313" t="s">
        <v>699</v>
      </c>
      <c r="M9" s="314">
        <f ca="1">INDIRECT("'数据-取费表'!ab"&amp;$G$1)</f>
        <v>0</v>
      </c>
    </row>
    <row r="10" spans="1:37" ht="18" customHeight="1">
      <c r="A10" s="1066" t="s">
        <v>402</v>
      </c>
      <c r="B10" s="1361" t="s">
        <v>700</v>
      </c>
      <c r="C10" s="316">
        <f ca="1">ROUND(IF(F10="押一",C6/12*F11,IF(F10="押二",C6/12*2*F11,IF(F10="押三",C6/12*3*F11,C11*F11))),0)</f>
        <v>0</v>
      </c>
      <c r="D10" s="1362" t="s">
        <v>2116</v>
      </c>
      <c r="E10" s="313" t="s">
        <v>701</v>
      </c>
      <c r="F10" s="1113"/>
      <c r="G10" s="1380"/>
      <c r="H10" s="1066" t="s">
        <v>402</v>
      </c>
      <c r="I10" s="1361" t="s">
        <v>700</v>
      </c>
      <c r="J10" s="301">
        <f ca="1">ROUND(IF(M10="押一",J6/12*M11,IF(M10="押二",J6/12*2*M11,IF(M10="押三",J6/12*3*M11,J11*M11))),0)</f>
        <v>0</v>
      </c>
      <c r="K10" s="1362" t="s">
        <v>2115</v>
      </c>
      <c r="L10" s="313" t="s">
        <v>701</v>
      </c>
      <c r="M10" s="1113"/>
    </row>
    <row r="11" spans="1:37" ht="18" customHeight="1">
      <c r="A11" s="308"/>
      <c r="B11" s="1363" t="s">
        <v>679</v>
      </c>
      <c r="C11" s="956"/>
      <c r="D11" s="1364"/>
      <c r="E11" s="313" t="s">
        <v>702</v>
      </c>
      <c r="F11" s="314">
        <f ca="1">'数据-取费表'!B39</f>
        <v>1.4999999999999999E-2</v>
      </c>
      <c r="G11" s="1380"/>
      <c r="H11" s="1074"/>
      <c r="I11" s="1363" t="s">
        <v>679</v>
      </c>
      <c r="J11" s="956"/>
      <c r="K11" s="684"/>
      <c r="L11" s="313" t="s">
        <v>702</v>
      </c>
      <c r="M11" s="859">
        <f ca="1">'数据-取费表'!B39</f>
        <v>1.4999999999999999E-2</v>
      </c>
    </row>
    <row r="12" spans="1:37" ht="18" customHeight="1" thickBot="1">
      <c r="A12" s="1080" t="s">
        <v>437</v>
      </c>
      <c r="B12" s="1365" t="s">
        <v>703</v>
      </c>
      <c r="C12" s="1081"/>
      <c r="D12" s="1082"/>
      <c r="E12" s="1087"/>
      <c r="F12" s="1083"/>
      <c r="G12" s="1380"/>
      <c r="H12" s="1080" t="s">
        <v>437</v>
      </c>
      <c r="I12" s="1365" t="s">
        <v>703</v>
      </c>
      <c r="J12" s="1081"/>
      <c r="K12" s="1095"/>
      <c r="L12" s="1087"/>
      <c r="M12" s="1096"/>
    </row>
    <row r="13" spans="1:37" ht="18" customHeight="1" thickTop="1">
      <c r="A13" s="1076">
        <v>2</v>
      </c>
      <c r="B13" s="1077" t="s">
        <v>704</v>
      </c>
      <c r="C13" s="310">
        <f ca="1">ROUND(C29*F13,0)</f>
        <v>44205</v>
      </c>
      <c r="D13" s="1078" t="s">
        <v>705</v>
      </c>
      <c r="E13" s="1078" t="s">
        <v>706</v>
      </c>
      <c r="F13" s="1079">
        <f ca="1">INDIRECT("'数据-取费表'!y"&amp;$G$1)</f>
        <v>1</v>
      </c>
      <c r="G13" s="1380"/>
      <c r="H13" s="1076">
        <v>2</v>
      </c>
      <c r="I13" s="1077" t="s">
        <v>704</v>
      </c>
      <c r="J13" s="1065">
        <f ca="1">ROUND(J14*J15,0)</f>
        <v>0</v>
      </c>
      <c r="K13" s="1084" t="s">
        <v>705</v>
      </c>
      <c r="L13" s="1388"/>
      <c r="M13" s="1389"/>
    </row>
    <row r="14" spans="1:37" ht="18" customHeight="1">
      <c r="A14" s="979" t="s">
        <v>397</v>
      </c>
      <c r="B14" s="302" t="s">
        <v>707</v>
      </c>
      <c r="C14" s="318">
        <f ca="1">INDIRECT("'数据-取费表'!m"&amp;$G$1)+INDIRECT("'数据-取费表'!t"&amp;$G$1)</f>
        <v>33531</v>
      </c>
      <c r="D14" s="1341" t="s">
        <v>708</v>
      </c>
      <c r="E14" s="1338"/>
      <c r="F14" s="319"/>
      <c r="G14" s="1380"/>
      <c r="H14" s="979" t="s">
        <v>398</v>
      </c>
      <c r="I14" s="302" t="s">
        <v>709</v>
      </c>
      <c r="J14" s="21">
        <f ca="1">C29</f>
        <v>44205</v>
      </c>
      <c r="K14" s="12"/>
      <c r="L14" s="804"/>
      <c r="M14" s="805"/>
    </row>
    <row r="15" spans="1:37" s="1393" customFormat="1" ht="18" customHeight="1" thickBot="1">
      <c r="A15" s="979" t="s">
        <v>399</v>
      </c>
      <c r="B15" s="302" t="s">
        <v>710</v>
      </c>
      <c r="C15" s="21">
        <f ca="1">ROUND(C14*F15,0)</f>
        <v>1006</v>
      </c>
      <c r="D15" s="320" t="s">
        <v>711</v>
      </c>
      <c r="E15" s="320" t="s">
        <v>712</v>
      </c>
      <c r="F15" s="321">
        <f>'数据-取费表'!B33</f>
        <v>0.03</v>
      </c>
      <c r="G15" s="1392"/>
      <c r="H15" s="1086" t="s">
        <v>402</v>
      </c>
      <c r="I15" s="1087" t="s">
        <v>706</v>
      </c>
      <c r="J15" s="1096">
        <f ca="1">INDIRECT("'数据-取费表'!ad"&amp;$G$1)</f>
        <v>0</v>
      </c>
      <c r="K15" s="1097"/>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9" t="s">
        <v>680</v>
      </c>
      <c r="B16" s="302" t="s">
        <v>713</v>
      </c>
      <c r="C16" s="21">
        <f ca="1">ROUND(INDIRECT("'数据-取费表'!m"&amp;$G$1)*F16,0)</f>
        <v>0</v>
      </c>
      <c r="D16" s="302" t="s">
        <v>711</v>
      </c>
      <c r="E16" s="302" t="s">
        <v>712</v>
      </c>
      <c r="F16" s="322">
        <f ca="1">IF(INDIRECT("'数据-取费表'!c"&amp;$G$1)="住宅",'数据-取费表'!B34,0)</f>
        <v>0</v>
      </c>
      <c r="G16" s="1380"/>
      <c r="H16" s="1076" t="s">
        <v>393</v>
      </c>
      <c r="I16" s="1077" t="s">
        <v>714</v>
      </c>
      <c r="J16" s="310">
        <f ca="1">ROUND(J17+J22+J23+J24,0)</f>
        <v>444</v>
      </c>
      <c r="K16" s="1084" t="s">
        <v>715</v>
      </c>
      <c r="L16" s="1085"/>
      <c r="M16" s="1069"/>
    </row>
    <row r="17" spans="1:37" s="1393" customFormat="1" ht="18" customHeight="1">
      <c r="A17" s="979" t="s">
        <v>681</v>
      </c>
      <c r="B17" s="302" t="s">
        <v>716</v>
      </c>
      <c r="C17" s="21">
        <f ca="1">ROUND(F17*(F43+INDIRECT("'数据-取费表'!S"&amp;$G$1))/10000,0)</f>
        <v>958</v>
      </c>
      <c r="D17" s="302" t="s">
        <v>717</v>
      </c>
      <c r="E17" s="302" t="s">
        <v>718</v>
      </c>
      <c r="F17" s="23">
        <f>'数据-取费表'!B35</f>
        <v>200</v>
      </c>
      <c r="G17" s="1392"/>
      <c r="H17" s="979" t="s">
        <v>398</v>
      </c>
      <c r="I17" s="302" t="s">
        <v>719</v>
      </c>
      <c r="J17" s="2312">
        <f ca="1">ROUND(IF(AND(项目基本情况!B11="自然人",项目基本情况!B10="北京市"),J6*M17/(1+'数据-取费表'!C42),J18+J19+J20),2)</f>
        <v>1.98</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9" t="s">
        <v>682</v>
      </c>
      <c r="B18" s="302" t="s">
        <v>722</v>
      </c>
      <c r="C18" s="21">
        <f ca="1">ROUND(C14*F18,0)</f>
        <v>503</v>
      </c>
      <c r="D18" s="302" t="s">
        <v>711</v>
      </c>
      <c r="E18" s="302" t="s">
        <v>712</v>
      </c>
      <c r="F18" s="322">
        <f>'数据-取费表'!B36</f>
        <v>1.4999999999999999E-2</v>
      </c>
      <c r="G18" s="1392"/>
      <c r="H18" s="979" t="s">
        <v>397</v>
      </c>
      <c r="I18" s="302" t="s">
        <v>723</v>
      </c>
      <c r="J18" s="21">
        <f ca="1">ROUND(J6*M18/(1+'数据-取费表'!C42),2)</f>
        <v>0</v>
      </c>
      <c r="K18" s="1340"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9" t="s">
        <v>398</v>
      </c>
      <c r="B19" s="302" t="s">
        <v>725</v>
      </c>
      <c r="C19" s="21">
        <f ca="1">SUM(C14:C18)</f>
        <v>35998</v>
      </c>
      <c r="D19" s="131" t="s">
        <v>726</v>
      </c>
      <c r="E19" s="1356"/>
      <c r="F19" s="23"/>
      <c r="G19" s="1380"/>
      <c r="H19" s="979" t="s">
        <v>399</v>
      </c>
      <c r="I19" s="302" t="s">
        <v>727</v>
      </c>
      <c r="J19" s="21">
        <f ca="1">IF(K19="按租金收入计税",ROUND(J6*M19/(1+'数据-取费表'!C42),2),ROUND(C29*M19*0.7,2))</f>
        <v>0</v>
      </c>
      <c r="K19" s="1366" t="s">
        <v>3342</v>
      </c>
      <c r="L19" s="302" t="s">
        <v>712</v>
      </c>
      <c r="M19" s="322">
        <f>IF(K19="按租金收入计税",'数据-取费表'!B51,'数据-取费表'!B50)</f>
        <v>0.12</v>
      </c>
    </row>
    <row r="20" spans="1:37" s="1393" customFormat="1" ht="18" customHeight="1">
      <c r="A20" s="979" t="s">
        <v>402</v>
      </c>
      <c r="B20" s="302" t="s">
        <v>728</v>
      </c>
      <c r="C20" s="21">
        <f ca="1">ROUND(C19*F20,0)</f>
        <v>720</v>
      </c>
      <c r="D20" s="323" t="s">
        <v>729</v>
      </c>
      <c r="E20" s="302" t="s">
        <v>712</v>
      </c>
      <c r="F20" s="322">
        <f>'数据-取费表'!B37</f>
        <v>0.02</v>
      </c>
      <c r="G20" s="1392"/>
      <c r="H20" s="979" t="s">
        <v>680</v>
      </c>
      <c r="I20" s="155" t="s">
        <v>730</v>
      </c>
      <c r="J20" s="22">
        <f ca="1">ROUND(M20*M21/10000,2)</f>
        <v>1.98</v>
      </c>
      <c r="K20" s="324" t="s">
        <v>731</v>
      </c>
      <c r="L20" s="302" t="s">
        <v>732</v>
      </c>
      <c r="M20" s="325">
        <f>'数据-取费表'!B52</f>
        <v>6</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9" t="s">
        <v>437</v>
      </c>
      <c r="B21" s="302" t="s">
        <v>733</v>
      </c>
      <c r="C21" s="21" t="s">
        <v>15</v>
      </c>
      <c r="D21" s="323" t="s">
        <v>734</v>
      </c>
      <c r="E21" s="302" t="s">
        <v>735</v>
      </c>
      <c r="F21" s="322">
        <f>'数据-取费表'!B38</f>
        <v>0.02</v>
      </c>
      <c r="G21" s="1392"/>
      <c r="H21" s="326"/>
      <c r="I21" s="311"/>
      <c r="J21" s="26"/>
      <c r="K21" s="327"/>
      <c r="L21" s="302" t="s">
        <v>736</v>
      </c>
      <c r="M21" s="303">
        <f ca="1">INDIRECT("'数据-取费表'!r"&amp;$G$1)</f>
        <v>3301.66</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1356"/>
      <c r="F22" s="23"/>
      <c r="G22" s="1380"/>
      <c r="H22" s="979" t="s">
        <v>402</v>
      </c>
      <c r="I22" s="302" t="s">
        <v>738</v>
      </c>
      <c r="J22" s="21">
        <f ca="1">ROUND(J14*M22,2)</f>
        <v>442.05</v>
      </c>
      <c r="K22" s="1340" t="s">
        <v>739</v>
      </c>
      <c r="L22" s="302" t="s">
        <v>712</v>
      </c>
      <c r="M22" s="328">
        <f ca="1">INDIRECT("'数据-取费表'!Ak"&amp;$G$1)</f>
        <v>0.01</v>
      </c>
    </row>
    <row r="23" spans="1:37" s="1393" customFormat="1" ht="18" customHeight="1">
      <c r="A23" s="979" t="s">
        <v>397</v>
      </c>
      <c r="B23" s="302" t="s">
        <v>740</v>
      </c>
      <c r="C23" s="21">
        <f ca="1">IF('数据-取费表'!B22&lt;=1,ROUND(C19*F24*F23/2,0)+ROUND(C20*F24*F23/2,0),ROUND(C19*(POWER((1+F24),F23/2)-1),0)+ROUND(C20*(POWER((1+F24),F23/2)-1),0))</f>
        <v>2309</v>
      </c>
      <c r="D23" s="329" t="str">
        <f>IF(F23&lt;=1,"(建造成本+管理费用)×利率×(建设周期÷2)","(建造成本+管理费用)×((1+利率)^(建设周期÷2)-1)")</f>
        <v>(建造成本+管理费用)×((1+利率)^(建设周期÷2)-1)</v>
      </c>
      <c r="E23" s="302" t="s">
        <v>741</v>
      </c>
      <c r="F23" s="325">
        <f>'数据-取费表'!B20</f>
        <v>3</v>
      </c>
      <c r="G23" s="1392"/>
      <c r="H23" s="979" t="s">
        <v>437</v>
      </c>
      <c r="I23" s="302" t="s">
        <v>742</v>
      </c>
      <c r="J23" s="21">
        <f ca="1">ROUND(J13*M23,2)</f>
        <v>0</v>
      </c>
      <c r="K23" s="1340"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9" t="s">
        <v>745</v>
      </c>
      <c r="B24" s="302" t="s">
        <v>746</v>
      </c>
      <c r="C24" s="21">
        <f ca="1">ROUND(IF('数据-取费表'!B22&lt;=1,F21*F24*F23/2,F21*(POWER((1+F24),F23/2)-1)),4)</f>
        <v>1.2999999999999999E-3</v>
      </c>
      <c r="D24" s="329" t="str">
        <f>IF(F23&lt;=1,"销售费用×利率×(建设周期÷2)","销售费用×((1+利率)^(建设周期÷2)-1)")</f>
        <v>销售费用×((1+利率)^(建设周期÷2)-1)</v>
      </c>
      <c r="E24" s="302" t="s">
        <v>747</v>
      </c>
      <c r="F24" s="331">
        <f ca="1">'数据-取费表'!B40</f>
        <v>4.1499999999999995E-2</v>
      </c>
      <c r="G24" s="1392"/>
      <c r="H24" s="1086" t="s">
        <v>684</v>
      </c>
      <c r="I24" s="1087" t="s">
        <v>728</v>
      </c>
      <c r="J24" s="1088">
        <f ca="1">ROUND(J5*M24,2)</f>
        <v>0</v>
      </c>
      <c r="K24" s="1089" t="s">
        <v>748</v>
      </c>
      <c r="L24" s="1087" t="s">
        <v>744</v>
      </c>
      <c r="M24" s="1083">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9" t="s">
        <v>749</v>
      </c>
      <c r="B25" s="302" t="s">
        <v>750</v>
      </c>
      <c r="C25" s="21"/>
      <c r="D25" s="131" t="s">
        <v>751</v>
      </c>
      <c r="E25" s="1356"/>
      <c r="F25" s="23"/>
      <c r="G25" s="1380"/>
      <c r="H25" s="1076" t="s">
        <v>394</v>
      </c>
      <c r="I25" s="1091" t="s">
        <v>752</v>
      </c>
      <c r="J25" s="310">
        <f ca="1">J5-J16</f>
        <v>-444</v>
      </c>
      <c r="K25" s="1092" t="s">
        <v>753</v>
      </c>
      <c r="L25" s="1093"/>
      <c r="M25" s="1094"/>
    </row>
    <row r="26" spans="1:37">
      <c r="A26" s="979" t="s">
        <v>397</v>
      </c>
      <c r="B26" s="302" t="s">
        <v>754</v>
      </c>
      <c r="C26" s="21">
        <f ca="1">ROUND((C19+C20)*F26,0)</f>
        <v>1836</v>
      </c>
      <c r="D26" s="323" t="s">
        <v>755</v>
      </c>
      <c r="E26" s="313" t="s">
        <v>756</v>
      </c>
      <c r="F26" s="312">
        <f ca="1">INDIRECT("'数据-取费表'!q"&amp;$G$1)</f>
        <v>0.05</v>
      </c>
      <c r="G26" s="1380"/>
      <c r="H26" s="299" t="s">
        <v>395</v>
      </c>
      <c r="I26" s="300" t="s">
        <v>757</v>
      </c>
      <c r="J26" s="301">
        <f ca="1">IF(J5&lt;&gt;0,ROUND(J25*(1-((1+M28)/(1+M26))^M27)/(M26-M28),0),0)</f>
        <v>0</v>
      </c>
      <c r="K26" s="324" t="s">
        <v>758</v>
      </c>
      <c r="L26" s="302" t="s">
        <v>759</v>
      </c>
      <c r="M26" s="312">
        <f ca="1">INDIRECT("'数据-取费表'!I"&amp;$G$1)</f>
        <v>0.05</v>
      </c>
    </row>
    <row r="27" spans="1:37" ht="18" customHeight="1">
      <c r="A27" s="979" t="s">
        <v>399</v>
      </c>
      <c r="B27" s="302" t="s">
        <v>760</v>
      </c>
      <c r="C27" s="21">
        <f ca="1">ROUND(F21*F26,4)</f>
        <v>1E-3</v>
      </c>
      <c r="D27" s="323" t="s">
        <v>761</v>
      </c>
      <c r="E27" s="320"/>
      <c r="F27" s="321"/>
      <c r="G27" s="1380"/>
      <c r="H27" s="304"/>
      <c r="I27" s="305"/>
      <c r="J27" s="306"/>
      <c r="K27" s="332" t="s">
        <v>762</v>
      </c>
      <c r="L27" s="302" t="s">
        <v>763</v>
      </c>
      <c r="M27" s="333">
        <f ca="1">INDIRECT("'数据-取费表'!ag"&amp;$G$1)</f>
        <v>0</v>
      </c>
    </row>
    <row r="28" spans="1:37" s="1393" customFormat="1" ht="18" customHeight="1">
      <c r="A28" s="979" t="s">
        <v>400</v>
      </c>
      <c r="B28" s="302" t="s">
        <v>764</v>
      </c>
      <c r="C28" s="21">
        <f>ROUND(F28/(1+'数据-取费表'!C42),4)</f>
        <v>5.33E-2</v>
      </c>
      <c r="D28" s="3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6" t="s">
        <v>401</v>
      </c>
      <c r="B29" s="1087" t="s">
        <v>767</v>
      </c>
      <c r="C29" s="1088">
        <f ca="1">ROUND((C19+C20+C23+C26)/(1-F21-C24-C27-C28),0)</f>
        <v>44205</v>
      </c>
      <c r="D29" s="1089"/>
      <c r="E29" s="1087"/>
      <c r="F29" s="1090"/>
      <c r="G29" s="1392"/>
      <c r="H29" s="334" t="s">
        <v>396</v>
      </c>
      <c r="I29" s="335" t="s">
        <v>768</v>
      </c>
      <c r="J29" s="336">
        <f ca="1">ROUND(J26/(1+F40)^F41,0)</f>
        <v>0</v>
      </c>
      <c r="K29" s="337" t="s">
        <v>769</v>
      </c>
      <c r="L29" s="338"/>
      <c r="M29" s="339">
        <f ca="1">INDIRECT("'数据-取费表'!k"&amp;$G$1)</f>
        <v>46034.520000000011</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6" t="s">
        <v>393</v>
      </c>
      <c r="B30" s="1077" t="s">
        <v>714</v>
      </c>
      <c r="C30" s="310">
        <f ca="1">ROUND(C31+C36+C37+C38,0)</f>
        <v>488</v>
      </c>
      <c r="D30" s="1084" t="s">
        <v>715</v>
      </c>
      <c r="E30" s="1085"/>
      <c r="F30" s="1069"/>
      <c r="G30" s="1380"/>
      <c r="H30" s="2693"/>
      <c r="I30" s="1394"/>
      <c r="J30" s="1395"/>
      <c r="K30" s="2471"/>
      <c r="L30" s="2694"/>
      <c r="M30" s="2695"/>
    </row>
    <row r="31" spans="1:37" ht="18" customHeight="1">
      <c r="A31" s="979" t="s">
        <v>398</v>
      </c>
      <c r="B31" s="302" t="s">
        <v>719</v>
      </c>
      <c r="C31" s="2312">
        <f ca="1">ROUND(IF(AND(项目基本情况!B11="自然人",项目基本情况!B10="北京市"),C6*F31/(1+'数据-取费表'!C42),C32+C33+C34),2)</f>
        <v>2.14</v>
      </c>
      <c r="D31" s="1341" t="s">
        <v>720</v>
      </c>
      <c r="E31" s="1340" t="s">
        <v>770</v>
      </c>
      <c r="F31" s="2311" t="str">
        <f>IF(项目基本情况!B11="企业","——",IF(M47="住宅",IF(F6*F7*F8/12/(1+'数据-取费表'!F30)&gt;100000,4%,2.5%),IF(F6*F7*F8/12/(1+'数据-取费表'!F30)&gt;100000,12%,7%)))</f>
        <v>——</v>
      </c>
      <c r="G31" s="1380"/>
      <c r="H31" s="2804" t="s">
        <v>2309</v>
      </c>
      <c r="I31" s="1394"/>
      <c r="J31" s="1395"/>
      <c r="K31" s="2471"/>
      <c r="L31" s="2694"/>
      <c r="M31" s="2695"/>
    </row>
    <row r="32" spans="1:37" ht="18" customHeight="1">
      <c r="A32" s="979" t="s">
        <v>397</v>
      </c>
      <c r="B32" s="302" t="s">
        <v>723</v>
      </c>
      <c r="C32" s="21">
        <f ca="1">IF(项目基本情况!B11="自然人","——",ROUND(C6*F32/(1+'数据-取费表'!C42),2))</f>
        <v>0.05</v>
      </c>
      <c r="D32" s="1340" t="s">
        <v>724</v>
      </c>
      <c r="E32" s="302" t="s">
        <v>712</v>
      </c>
      <c r="F32" s="331">
        <f>'数据-取费表'!B41</f>
        <v>5.6000000000000001E-2</v>
      </c>
      <c r="G32" s="1380"/>
      <c r="H32" s="2693"/>
      <c r="I32" s="1394"/>
      <c r="J32" s="1395"/>
      <c r="K32" s="2471"/>
      <c r="L32" s="2694"/>
      <c r="M32" s="2695"/>
    </row>
    <row r="33" spans="1:18" ht="18" customHeight="1">
      <c r="A33" s="979" t="s">
        <v>399</v>
      </c>
      <c r="B33" s="302" t="s">
        <v>727</v>
      </c>
      <c r="C33" s="21">
        <f ca="1">IF(项目基本情况!B11="自然人","——",IF(D33="按租金收入计税",ROUND(C6*F33/(1+'数据-取费表'!C42),2),IF(D33="按房产原值计税",ROUND(C29*F33*0.7,2),INDIRECT("'数据-取费表'!Aj"&amp;$G$1))))</f>
        <v>0.11</v>
      </c>
      <c r="D33" s="1366" t="s">
        <v>3342</v>
      </c>
      <c r="E33" s="302" t="s">
        <v>712</v>
      </c>
      <c r="F33" s="322">
        <f>IF(D33="按票据","——",IF(D33="按租金收入计税",'数据-取费表'!B51,'数据-取费表'!B50))</f>
        <v>0.12</v>
      </c>
      <c r="G33" s="1380"/>
      <c r="H33" s="2696"/>
      <c r="I33" s="1394"/>
      <c r="J33" s="1395"/>
      <c r="K33" s="2697"/>
      <c r="L33" s="2696"/>
      <c r="M33" s="2696"/>
    </row>
    <row r="34" spans="1:18" ht="18" customHeight="1">
      <c r="A34" s="1066" t="s">
        <v>680</v>
      </c>
      <c r="B34" s="155" t="s">
        <v>730</v>
      </c>
      <c r="C34" s="22">
        <f ca="1">IF(项目基本情况!B11="自然人","——",ROUND(F34*F35/10000,2))</f>
        <v>1.98</v>
      </c>
      <c r="D34" s="324" t="s">
        <v>731</v>
      </c>
      <c r="E34" s="302" t="s">
        <v>732</v>
      </c>
      <c r="F34" s="325">
        <f>'数据-取费表'!B52</f>
        <v>6</v>
      </c>
      <c r="G34" s="1380"/>
      <c r="H34" s="2693"/>
      <c r="I34" s="1394"/>
      <c r="J34" s="1395"/>
      <c r="K34" s="2698"/>
      <c r="L34" s="2699"/>
      <c r="M34" s="2699"/>
    </row>
    <row r="35" spans="1:18" ht="18" customHeight="1">
      <c r="A35" s="1100"/>
      <c r="B35" s="1098"/>
      <c r="C35" s="26"/>
      <c r="D35" s="327"/>
      <c r="E35" s="302" t="s">
        <v>736</v>
      </c>
      <c r="F35" s="303">
        <f ca="1">INDIRECT("'数据-取费表'!r"&amp;$G$1)</f>
        <v>3301.66</v>
      </c>
      <c r="G35" s="1380"/>
      <c r="H35" s="2693"/>
      <c r="I35" s="1394"/>
      <c r="J35" s="1395"/>
      <c r="K35" s="2697"/>
      <c r="L35" s="2696"/>
      <c r="M35" s="2696"/>
    </row>
    <row r="36" spans="1:18" ht="18" customHeight="1">
      <c r="A36" s="1099" t="s">
        <v>402</v>
      </c>
      <c r="B36" s="302" t="s">
        <v>738</v>
      </c>
      <c r="C36" s="21">
        <f ca="1">ROUND(C29*F36,2)</f>
        <v>442.05</v>
      </c>
      <c r="D36" s="1340" t="s">
        <v>771</v>
      </c>
      <c r="E36" s="302" t="s">
        <v>712</v>
      </c>
      <c r="F36" s="328">
        <f ca="1">INDIRECT("'数据-取费表'!Ak"&amp;$G$1)</f>
        <v>0.01</v>
      </c>
      <c r="G36" s="1380"/>
      <c r="H36" s="2696"/>
      <c r="I36" s="1394"/>
      <c r="J36" s="1395"/>
      <c r="K36" s="2540"/>
      <c r="L36" s="2696"/>
      <c r="M36" s="2696"/>
    </row>
    <row r="37" spans="1:18" ht="18" customHeight="1">
      <c r="A37" s="979" t="s">
        <v>437</v>
      </c>
      <c r="B37" s="302" t="s">
        <v>742</v>
      </c>
      <c r="C37" s="21">
        <f ca="1">ROUND(C13*F37,2)</f>
        <v>44.21</v>
      </c>
      <c r="D37" s="1340" t="s">
        <v>743</v>
      </c>
      <c r="E37" s="302" t="s">
        <v>744</v>
      </c>
      <c r="F37" s="330">
        <f ca="1">INDIRECT("'数据-取费表'!Al"&amp;$G$1)</f>
        <v>1E-3</v>
      </c>
      <c r="G37" s="1380"/>
      <c r="H37" s="2696"/>
      <c r="I37" s="1394"/>
      <c r="J37" s="1395"/>
      <c r="K37" s="2540"/>
      <c r="L37" s="2696"/>
      <c r="M37" s="2696"/>
    </row>
    <row r="38" spans="1:18" ht="18" customHeight="1" thickBot="1">
      <c r="A38" s="1086" t="s">
        <v>684</v>
      </c>
      <c r="B38" s="1087" t="s">
        <v>728</v>
      </c>
      <c r="C38" s="1088">
        <f ca="1">ROUND(C5*F38,2)</f>
        <v>0.01</v>
      </c>
      <c r="D38" s="1089" t="s">
        <v>748</v>
      </c>
      <c r="E38" s="1087" t="s">
        <v>744</v>
      </c>
      <c r="F38" s="1083">
        <f ca="1">INDIRECT("'数据-取费表'!Am"&amp;$G$1)</f>
        <v>0.01</v>
      </c>
      <c r="G38" s="1380"/>
      <c r="H38" s="2696"/>
      <c r="I38" s="1394"/>
      <c r="J38" s="1395"/>
      <c r="K38" s="2700"/>
      <c r="L38" s="2696"/>
      <c r="M38" s="2696"/>
    </row>
    <row r="39" spans="1:18" ht="24.6" customHeight="1" thickTop="1">
      <c r="A39" s="1076" t="s">
        <v>394</v>
      </c>
      <c r="B39" s="1091" t="s">
        <v>772</v>
      </c>
      <c r="C39" s="310">
        <f ca="1">C5-C30</f>
        <v>-487</v>
      </c>
      <c r="D39" s="1092" t="s">
        <v>773</v>
      </c>
      <c r="E39" s="1093"/>
      <c r="F39" s="1094"/>
      <c r="G39" s="1380"/>
      <c r="H39" s="2696"/>
      <c r="I39" s="1394"/>
      <c r="J39" s="1395"/>
      <c r="K39" s="2700"/>
      <c r="L39" s="2696"/>
      <c r="M39" s="2696"/>
    </row>
    <row r="40" spans="1:18" ht="18" customHeight="1">
      <c r="A40" s="299" t="s">
        <v>395</v>
      </c>
      <c r="B40" s="300" t="s">
        <v>774</v>
      </c>
      <c r="C40" s="301">
        <f ca="1">ROUND(C39*(1-((1+F42)/(1+F40))^F41)/(F40-F42),0)</f>
        <v>-9175</v>
      </c>
      <c r="D40" s="324" t="s">
        <v>758</v>
      </c>
      <c r="E40" s="302" t="s">
        <v>759</v>
      </c>
      <c r="F40" s="312">
        <f ca="1">INDIRECT("'数据-取费表'!I"&amp;$G$1)</f>
        <v>0.05</v>
      </c>
      <c r="G40" s="1380"/>
      <c r="H40" s="1457"/>
      <c r="I40" s="1394"/>
      <c r="J40" s="1395"/>
      <c r="K40" s="2700"/>
      <c r="L40" s="1457"/>
      <c r="M40" s="1457"/>
    </row>
    <row r="41" spans="1:18" ht="18" customHeight="1">
      <c r="A41" s="304"/>
      <c r="B41" s="305"/>
      <c r="C41" s="306"/>
      <c r="D41" s="332" t="s">
        <v>775</v>
      </c>
      <c r="E41" s="302" t="s">
        <v>763</v>
      </c>
      <c r="F41" s="333">
        <f ca="1">IF(INDIRECT("'数据-取费表'!af"&amp;$G$1)=0,INDIRECT("'数据-取费表'!ae"&amp;$G$1),INDIRECT("'数据-取费表'!af"&amp;$G$1))</f>
        <v>28.729999999999997</v>
      </c>
      <c r="G41" s="1380"/>
      <c r="H41" s="1187"/>
      <c r="I41" s="1394"/>
      <c r="J41" s="1395"/>
      <c r="K41" s="2540"/>
      <c r="L41" s="1187"/>
      <c r="M41" s="1187"/>
    </row>
    <row r="42" spans="1:18" ht="18" customHeight="1">
      <c r="A42" s="308"/>
      <c r="B42" s="309"/>
      <c r="C42" s="310"/>
      <c r="D42" s="327"/>
      <c r="E42" s="302" t="s">
        <v>766</v>
      </c>
      <c r="F42" s="312">
        <f ca="1">INDIRECT("'数据-取费表'!v"&amp;$G$1)</f>
        <v>0.02</v>
      </c>
      <c r="G42" s="1380"/>
      <c r="H42" s="1187"/>
      <c r="I42" s="1394"/>
      <c r="J42" s="1395"/>
      <c r="K42" s="2540"/>
      <c r="L42" s="1187"/>
      <c r="M42" s="1187"/>
    </row>
    <row r="43" spans="1:18" ht="18" customHeight="1" thickBot="1">
      <c r="A43" s="334" t="s">
        <v>396</v>
      </c>
      <c r="B43" s="335" t="s">
        <v>776</v>
      </c>
      <c r="C43" s="336">
        <f ca="1">ROUND(C40*10000/F43,0)</f>
        <v>-1993</v>
      </c>
      <c r="D43" s="337" t="s">
        <v>777</v>
      </c>
      <c r="E43" s="338" t="s">
        <v>778</v>
      </c>
      <c r="F43" s="339">
        <f ca="1">INDIRECT("'数据-取费表'!k"&amp;$G$1)</f>
        <v>46034.520000000011</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6"/>
      <c r="O45" s="2701" t="s">
        <v>808</v>
      </c>
      <c r="P45" s="1457"/>
      <c r="Q45" s="1457"/>
      <c r="R45" s="1457"/>
    </row>
    <row r="46" spans="1:18" s="1380" customFormat="1" ht="13.5" thickBot="1">
      <c r="A46" s="1400" t="s">
        <v>809</v>
      </c>
      <c r="C46" s="1401">
        <f ca="1">C68-C40</f>
        <v>1818</v>
      </c>
      <c r="D46" s="1402" t="str">
        <f>C2</f>
        <v>万元</v>
      </c>
      <c r="E46" s="1396"/>
      <c r="F46" s="1396"/>
      <c r="I46" s="1403" t="s">
        <v>810</v>
      </c>
      <c r="J46" s="1404"/>
      <c r="K46" s="1405"/>
      <c r="L46" s="1406" t="str">
        <f ca="1">IF(M47="住宅",0,IF(L48&gt;J51,L60,J60))</f>
        <v>0</v>
      </c>
      <c r="O46" s="1407" t="s">
        <v>811</v>
      </c>
      <c r="P46" s="1408" t="s">
        <v>812</v>
      </c>
      <c r="Q46" s="1409" t="s">
        <v>813</v>
      </c>
      <c r="R46" s="1409" t="s">
        <v>814</v>
      </c>
    </row>
    <row r="47" spans="1:18" s="1380" customFormat="1" ht="13.5" thickBot="1">
      <c r="A47" s="943" t="s">
        <v>687</v>
      </c>
      <c r="B47" s="975" t="s">
        <v>688</v>
      </c>
      <c r="C47" s="1114" t="s">
        <v>689</v>
      </c>
      <c r="D47" s="975" t="s">
        <v>690</v>
      </c>
      <c r="E47" s="1055" t="s">
        <v>691</v>
      </c>
      <c r="F47" s="1056"/>
      <c r="G47" s="722"/>
      <c r="I47" s="1410" t="s">
        <v>815</v>
      </c>
      <c r="J47" s="1411" t="s">
        <v>3954</v>
      </c>
      <c r="K47" s="1412" t="s">
        <v>816</v>
      </c>
      <c r="L47" s="1413">
        <f ca="1">INDIRECT("'数据-取费表'!d"&amp;$G$1)</f>
        <v>40</v>
      </c>
      <c r="M47" s="1376" t="str">
        <f>IF(ISNUMBER(FIND("住宅",C1)),"住宅","非住宅")</f>
        <v>非住宅</v>
      </c>
      <c r="O47" s="1414" t="s">
        <v>403</v>
      </c>
      <c r="P47" s="1415" t="s">
        <v>817</v>
      </c>
      <c r="Q47" s="1416">
        <f ca="1">C40+J29</f>
        <v>-9175</v>
      </c>
      <c r="R47" s="1416" t="s">
        <v>818</v>
      </c>
    </row>
    <row r="48" spans="1:18" s="1380" customFormat="1" ht="28.5" thickBot="1">
      <c r="A48" s="1107" t="s">
        <v>438</v>
      </c>
      <c r="B48" s="300" t="s">
        <v>692</v>
      </c>
      <c r="C48" s="1355">
        <f ca="1">C49+C53+C55</f>
        <v>0</v>
      </c>
      <c r="D48" s="1109"/>
      <c r="E48" s="1110"/>
      <c r="F48" s="959"/>
      <c r="G48" s="722"/>
      <c r="H48" s="723"/>
      <c r="I48" s="1417" t="s">
        <v>819</v>
      </c>
      <c r="J48" s="1418" t="s">
        <v>3955</v>
      </c>
      <c r="K48" s="1419" t="s">
        <v>820</v>
      </c>
      <c r="L48" s="1420">
        <f ca="1">INDIRECT("'数据-取费表'!f"&amp;$G$1)</f>
        <v>28.88</v>
      </c>
      <c r="O48" s="1414" t="s">
        <v>404</v>
      </c>
      <c r="P48" s="1415" t="s">
        <v>821</v>
      </c>
      <c r="Q48" s="1416" t="str">
        <f ca="1">J60</f>
        <v>0</v>
      </c>
      <c r="R48" s="1416" t="s">
        <v>822</v>
      </c>
    </row>
    <row r="49" spans="1:18" s="1380" customFormat="1" ht="13.5" thickBot="1">
      <c r="A49" s="972" t="s">
        <v>439</v>
      </c>
      <c r="B49" s="1367" t="s">
        <v>779</v>
      </c>
      <c r="C49" s="1111">
        <f ca="1">ROUND(F49*F51*F50*(1-F52)/10000,0)</f>
        <v>0</v>
      </c>
      <c r="D49" s="1052" t="s">
        <v>2109</v>
      </c>
      <c r="E49" s="1368" t="s">
        <v>780</v>
      </c>
      <c r="F49" s="1057"/>
      <c r="G49" s="1421"/>
      <c r="H49" s="723"/>
      <c r="I49" s="1417" t="s">
        <v>823</v>
      </c>
      <c r="J49" s="1422">
        <v>2023</v>
      </c>
      <c r="K49" s="1419" t="s">
        <v>824</v>
      </c>
      <c r="L49" s="1423"/>
      <c r="O49" s="1424" t="s">
        <v>405</v>
      </c>
      <c r="P49" s="1415" t="s">
        <v>825</v>
      </c>
      <c r="Q49" s="1416">
        <f ca="1">C29</f>
        <v>44205</v>
      </c>
      <c r="R49" s="1416" t="s">
        <v>818</v>
      </c>
    </row>
    <row r="50" spans="1:18" s="1380" customFormat="1" ht="13.5" thickBot="1">
      <c r="A50" s="973"/>
      <c r="B50" s="976"/>
      <c r="C50" s="1115"/>
      <c r="D50" s="950"/>
      <c r="E50" s="1053" t="s">
        <v>697</v>
      </c>
      <c r="F50" s="1054">
        <f ca="1">F7</f>
        <v>976</v>
      </c>
      <c r="H50" s="723"/>
      <c r="I50" s="1417" t="s">
        <v>826</v>
      </c>
      <c r="J50" s="1425">
        <f>SUMPRODUCT((I63:I65=J47)*(J62:L62=J48)*(J63:L65))</f>
        <v>60</v>
      </c>
      <c r="K50" s="1419" t="s">
        <v>827</v>
      </c>
      <c r="L50" s="1423"/>
      <c r="M50" s="1426"/>
      <c r="O50" s="1424" t="s">
        <v>406</v>
      </c>
      <c r="P50" s="1415" t="s">
        <v>828</v>
      </c>
      <c r="Q50" s="1427" t="e">
        <f ca="1">J58</f>
        <v>#VALUE!</v>
      </c>
      <c r="R50" s="1416"/>
    </row>
    <row r="51" spans="1:18" s="1380" customFormat="1" ht="13.5" thickBot="1">
      <c r="A51" s="974"/>
      <c r="B51" s="976"/>
      <c r="C51" s="977"/>
      <c r="D51" s="950"/>
      <c r="E51" s="978" t="s">
        <v>698</v>
      </c>
      <c r="F51" s="303">
        <f ca="1">F8</f>
        <v>12</v>
      </c>
      <c r="I51" s="1428" t="s">
        <v>829</v>
      </c>
      <c r="J51" s="1429">
        <f>IF(J49="",J50,J49+J50-YEAR('数据-取费表'!B2))</f>
        <v>60</v>
      </c>
      <c r="K51" s="1430" t="s">
        <v>830</v>
      </c>
      <c r="L51" s="1431">
        <f ca="1">ROUND(-PV(INDIRECT("'数据-取费表'!h"&amp;$G$1),J51,(C39-C13*C76),0),0)</f>
        <v>-69350</v>
      </c>
      <c r="M51" s="1432"/>
      <c r="O51" s="1424" t="s">
        <v>407</v>
      </c>
      <c r="P51" s="1415" t="s">
        <v>831</v>
      </c>
      <c r="Q51" s="1427">
        <f>J52</f>
        <v>7.0000000000000007E-2</v>
      </c>
      <c r="R51" s="1416"/>
    </row>
    <row r="52" spans="1:18" s="1380" customFormat="1" ht="13.5" thickBot="1">
      <c r="A52" s="974"/>
      <c r="B52" s="976"/>
      <c r="C52" s="977"/>
      <c r="D52" s="950"/>
      <c r="E52" s="978" t="s">
        <v>699</v>
      </c>
      <c r="F52" s="1051"/>
      <c r="I52" s="1433" t="s">
        <v>832</v>
      </c>
      <c r="J52" s="1434">
        <v>7.0000000000000007E-2</v>
      </c>
      <c r="K52" s="1433" t="s">
        <v>833</v>
      </c>
      <c r="L52" s="1434"/>
      <c r="O52" s="1424" t="s">
        <v>408</v>
      </c>
      <c r="P52" s="1415" t="s">
        <v>834</v>
      </c>
      <c r="Q52" s="1416">
        <f ca="1">J53</f>
        <v>28.729999999999997</v>
      </c>
      <c r="R52" s="1416" t="s">
        <v>835</v>
      </c>
    </row>
    <row r="53" spans="1:18" s="1380" customFormat="1" ht="24.75" thickBot="1">
      <c r="A53" s="1149" t="s">
        <v>440</v>
      </c>
      <c r="B53" s="1369" t="s">
        <v>700</v>
      </c>
      <c r="C53" s="316">
        <f ca="1">ROUND(IF(F53="押一",C49/12*F11,IF(F53="押二",C49/12*2*F11,IF(F53="押三",C49/12*3*F11,C54*F11))),0)</f>
        <v>0</v>
      </c>
      <c r="D53" s="1362" t="s">
        <v>2115</v>
      </c>
      <c r="E53" s="313" t="s">
        <v>701</v>
      </c>
      <c r="F53" s="1113"/>
      <c r="I53" s="1435" t="s">
        <v>836</v>
      </c>
      <c r="J53" s="2164">
        <f ca="1">IF(M47="住宅",IF(D1="——",MAX(J51,L48),MAX(J51,L48-'数据-取费表'!B24)),IF(D1="——",MIN(J51,L48),MIN(J51,L48-'数据-取费表'!B24)))</f>
        <v>28.729999999999997</v>
      </c>
      <c r="K53" s="3746" t="s">
        <v>837</v>
      </c>
      <c r="L53" s="3747"/>
      <c r="O53" s="1414" t="s">
        <v>409</v>
      </c>
      <c r="P53" s="1415" t="s">
        <v>838</v>
      </c>
      <c r="Q53" s="1416">
        <f ca="1">Q47+Q48</f>
        <v>-9175</v>
      </c>
      <c r="R53" s="1416" t="s">
        <v>410</v>
      </c>
    </row>
    <row r="54" spans="1:18" s="1380" customFormat="1" ht="13.5" thickBot="1">
      <c r="A54" s="1150"/>
      <c r="B54" s="1363" t="s">
        <v>679</v>
      </c>
      <c r="C54" s="956"/>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80" t="s">
        <v>437</v>
      </c>
      <c r="B55" s="1365" t="s">
        <v>703</v>
      </c>
      <c r="C55" s="1081"/>
      <c r="D55" s="1362"/>
      <c r="E55" s="1370"/>
      <c r="F55" s="1436"/>
      <c r="I55" s="1439" t="s">
        <v>840</v>
      </c>
      <c r="J55" s="1440" t="e">
        <f ca="1">ROUND(IF(J47="钢混",J57/J50,1-(1-2%)*(J50-J57)/J50),3)</f>
        <v>#VALUE!</v>
      </c>
      <c r="K55" s="1441" t="s">
        <v>841</v>
      </c>
      <c r="L55" s="1442"/>
      <c r="O55" s="1407" t="s">
        <v>811</v>
      </c>
      <c r="P55" s="1408" t="s">
        <v>812</v>
      </c>
      <c r="Q55" s="1409" t="s">
        <v>813</v>
      </c>
      <c r="R55" s="1409" t="s">
        <v>814</v>
      </c>
    </row>
    <row r="56" spans="1:18" s="1380" customFormat="1" ht="25.5" thickTop="1" thickBot="1">
      <c r="A56" s="954">
        <v>2</v>
      </c>
      <c r="B56" s="955" t="s">
        <v>704</v>
      </c>
      <c r="C56" s="232">
        <f ca="1">C13</f>
        <v>44205</v>
      </c>
      <c r="D56" s="1443"/>
      <c r="E56" s="1444"/>
      <c r="F56" s="1436"/>
      <c r="I56" s="1445" t="s">
        <v>842</v>
      </c>
      <c r="J56" s="1446" t="s">
        <v>3796</v>
      </c>
      <c r="K56" s="1417" t="s">
        <v>843</v>
      </c>
      <c r="L56" s="1420" t="str">
        <f ca="1">IF(L48&lt;J51,"——",L48-J53)</f>
        <v>——</v>
      </c>
      <c r="O56" s="1414" t="s">
        <v>403</v>
      </c>
      <c r="P56" s="1415" t="s">
        <v>817</v>
      </c>
      <c r="Q56" s="1416">
        <f ca="1">C40+J29</f>
        <v>-9175</v>
      </c>
      <c r="R56" s="1416" t="s">
        <v>818</v>
      </c>
    </row>
    <row r="57" spans="1:18" s="1380" customFormat="1" ht="24.75" thickBot="1">
      <c r="A57" s="1447"/>
      <c r="B57" s="947" t="s">
        <v>767</v>
      </c>
      <c r="C57" s="238">
        <f ca="1">C29</f>
        <v>44205</v>
      </c>
      <c r="D57" s="1448"/>
      <c r="E57" s="1449"/>
      <c r="F57" s="1450"/>
      <c r="I57" s="1451" t="s">
        <v>844</v>
      </c>
      <c r="J57" s="1452" t="str">
        <f ca="1">IF(OR(M47="住宅",J51&lt;L48,J56="是"),"——",J51-L48)</f>
        <v>——</v>
      </c>
      <c r="K57" s="1417" t="s">
        <v>845</v>
      </c>
      <c r="L57" s="1420" t="str">
        <f ca="1">IF(L48&lt;J51,"——",IF(L55="比较法",L49,IF(L55="基准地价",L50,L51)))</f>
        <v>——</v>
      </c>
      <c r="O57" s="1414" t="s">
        <v>404</v>
      </c>
      <c r="P57" s="1415" t="s">
        <v>846</v>
      </c>
      <c r="Q57" s="1416">
        <f ca="1">L60</f>
        <v>0</v>
      </c>
      <c r="R57" s="1416" t="s">
        <v>847</v>
      </c>
    </row>
    <row r="58" spans="1:18" s="1380" customFormat="1" ht="24.75" thickBot="1">
      <c r="A58" s="315" t="s">
        <v>393</v>
      </c>
      <c r="B58" s="955" t="s">
        <v>714</v>
      </c>
      <c r="C58" s="316">
        <f ca="1">ROUND(C59+C64+C65+C66,0)</f>
        <v>488</v>
      </c>
      <c r="D58" s="957" t="s">
        <v>715</v>
      </c>
      <c r="E58" s="958"/>
      <c r="F58" s="959"/>
      <c r="I58" s="1451" t="s">
        <v>848</v>
      </c>
      <c r="J58" s="1453" t="e">
        <f ca="1">IF(J55&lt;0.4,0.4,J55)</f>
        <v>#VALUE!</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9" t="s">
        <v>398</v>
      </c>
      <c r="B59" s="947" t="s">
        <v>719</v>
      </c>
      <c r="C59" s="2312">
        <f ca="1">ROUND(IF(AND(项目基本情况!B11="自然人",项目基本情况!B10="北京市"),C49*F59/(1+'数据-取费表'!C42),C60+C61+C62),0)</f>
        <v>2</v>
      </c>
      <c r="D59" s="960" t="s">
        <v>720</v>
      </c>
      <c r="E59" s="961" t="s">
        <v>721</v>
      </c>
      <c r="F59" s="2311" t="str">
        <f>IF(项目基本情况!B11="企业","——",IF('数据-取费表'!B10="住宅",IF(F49*F50*F51/12/(1+'数据-取费表'!F30)&gt;100000,4%,2.5%),IF(F49*F50*F51/12/(1+'数据-取费表'!F30)&gt;100000,12%,7%)))</f>
        <v>——</v>
      </c>
      <c r="I59" s="1451" t="s">
        <v>851</v>
      </c>
      <c r="J59" s="1452" t="str">
        <f ca="1">IF(OR(M47="住宅",J51&lt;L48,J56="是"),"——",ROUND(C29*J58,0))</f>
        <v>——</v>
      </c>
      <c r="K59" s="141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79" t="s">
        <v>397</v>
      </c>
      <c r="B60" s="947" t="s">
        <v>723</v>
      </c>
      <c r="C60" s="21">
        <f ca="1">IF(项目基本情况!B11="自然人","——",ROUND(C48*F60/(1+'数据-取费表'!C42),2))</f>
        <v>0</v>
      </c>
      <c r="D60" s="961" t="s">
        <v>724</v>
      </c>
      <c r="E60" s="947" t="s">
        <v>712</v>
      </c>
      <c r="F60" s="331">
        <f t="shared" ref="F60:F66" si="0">F32</f>
        <v>5.6000000000000001E-2</v>
      </c>
      <c r="I60" s="1454" t="s">
        <v>853</v>
      </c>
      <c r="J60" s="1455" t="str">
        <f ca="1">IF(OR(M47="住宅",J51&lt;L48,J56="是"),"0",ROUND(J59/(1+J52)^J53,0))</f>
        <v>0</v>
      </c>
      <c r="K60" s="1456" t="s">
        <v>854</v>
      </c>
      <c r="L60" s="1455">
        <f ca="1">IF(OR(M47="住宅",L48&lt;J51),0,ROUND(L57*(L58/L59-1),0))</f>
        <v>0</v>
      </c>
      <c r="O60" s="1424" t="s">
        <v>407</v>
      </c>
      <c r="P60" s="1415" t="s">
        <v>855</v>
      </c>
      <c r="Q60" s="1416" t="e">
        <f ca="1">L58</f>
        <v>#DIV/0!</v>
      </c>
      <c r="R60" s="1416" t="s">
        <v>856</v>
      </c>
    </row>
    <row r="61" spans="1:18" s="1380" customFormat="1" ht="13.5" thickBot="1">
      <c r="A61" s="979" t="s">
        <v>781</v>
      </c>
      <c r="B61" s="947" t="s">
        <v>782</v>
      </c>
      <c r="C61" s="21">
        <f ca="1">IF(项目基本情况!B11="自然人","——",IF(D61="按租金收入计税",ROUND(C49*F61/(1+'数据-取费表'!C42),2),IF(D61="按房产原值计税",ROUND(C57*F61*0.7,2),INDIRECT("'数据-取费表'!Aj"&amp;$G$1))))</f>
        <v>0</v>
      </c>
      <c r="D61" s="1366" t="s">
        <v>3342</v>
      </c>
      <c r="E61" s="947" t="s">
        <v>783</v>
      </c>
      <c r="F61" s="322">
        <f t="shared" si="0"/>
        <v>0.12</v>
      </c>
      <c r="I61" s="1457"/>
      <c r="J61" s="1457"/>
      <c r="K61" s="1457"/>
      <c r="L61" s="1457"/>
      <c r="O61" s="1424" t="s">
        <v>408</v>
      </c>
      <c r="P61" s="1415" t="str">
        <f>K59</f>
        <v>续建工期及建筑物耐用年限下的土地年期修正系数Kn</v>
      </c>
      <c r="Q61" s="1416" t="e">
        <f ca="1">L59</f>
        <v>#DIV/0!</v>
      </c>
      <c r="R61" s="1416" t="s">
        <v>857</v>
      </c>
    </row>
    <row r="62" spans="1:18" s="1380" customFormat="1" ht="13.5" thickBot="1">
      <c r="A62" s="979" t="s">
        <v>784</v>
      </c>
      <c r="B62" s="946" t="s">
        <v>785</v>
      </c>
      <c r="C62" s="22">
        <f ca="1">IF(项目基本情况!B11="自然人","——",ROUND(F62*F63/10000,2))</f>
        <v>1.98</v>
      </c>
      <c r="D62" s="962" t="s">
        <v>786</v>
      </c>
      <c r="E62" s="947" t="s">
        <v>787</v>
      </c>
      <c r="F62" s="325">
        <f t="shared" si="0"/>
        <v>6</v>
      </c>
      <c r="I62" s="1458" t="s">
        <v>858</v>
      </c>
      <c r="J62" s="1459" t="s">
        <v>859</v>
      </c>
      <c r="K62" s="1459" t="s">
        <v>860</v>
      </c>
      <c r="L62" s="1459" t="s">
        <v>861</v>
      </c>
      <c r="M62" s="1460" t="s">
        <v>862</v>
      </c>
      <c r="O62" s="1414" t="s">
        <v>409</v>
      </c>
      <c r="P62" s="1415" t="s">
        <v>863</v>
      </c>
      <c r="Q62" s="1416">
        <f ca="1">Q56+Q57</f>
        <v>-9175</v>
      </c>
      <c r="R62" s="1416" t="s">
        <v>410</v>
      </c>
    </row>
    <row r="63" spans="1:18" s="1380" customFormat="1" ht="13.5" thickBot="1">
      <c r="A63" s="326"/>
      <c r="B63" s="953"/>
      <c r="C63" s="26"/>
      <c r="D63" s="963"/>
      <c r="E63" s="947" t="s">
        <v>788</v>
      </c>
      <c r="F63" s="303">
        <f t="shared" ca="1" si="0"/>
        <v>3301.66</v>
      </c>
      <c r="I63" s="1458" t="s">
        <v>864</v>
      </c>
      <c r="J63" s="1459">
        <v>70</v>
      </c>
      <c r="K63" s="1459">
        <v>50</v>
      </c>
      <c r="L63" s="1459">
        <v>80</v>
      </c>
      <c r="M63" s="1461">
        <v>0.02</v>
      </c>
      <c r="O63" s="1399" t="s">
        <v>865</v>
      </c>
      <c r="P63" s="1377"/>
      <c r="Q63" s="1377"/>
      <c r="R63" s="1377"/>
    </row>
    <row r="64" spans="1:18" s="1380" customFormat="1" ht="13.5" thickBot="1">
      <c r="A64" s="979" t="s">
        <v>789</v>
      </c>
      <c r="B64" s="947" t="s">
        <v>790</v>
      </c>
      <c r="C64" s="21">
        <f ca="1">ROUND(C57*F64,2)</f>
        <v>442.05</v>
      </c>
      <c r="D64" s="961" t="s">
        <v>791</v>
      </c>
      <c r="E64" s="947" t="s">
        <v>783</v>
      </c>
      <c r="F64" s="328">
        <f t="shared" ca="1" si="0"/>
        <v>0.01</v>
      </c>
      <c r="I64" s="1458" t="s">
        <v>866</v>
      </c>
      <c r="J64" s="1459">
        <v>50</v>
      </c>
      <c r="K64" s="1459">
        <v>35</v>
      </c>
      <c r="L64" s="1459">
        <v>60</v>
      </c>
      <c r="M64" s="1460">
        <v>0</v>
      </c>
      <c r="O64" s="1407" t="s">
        <v>811</v>
      </c>
      <c r="P64" s="1408" t="s">
        <v>812</v>
      </c>
      <c r="Q64" s="1409" t="s">
        <v>813</v>
      </c>
      <c r="R64" s="1409" t="s">
        <v>814</v>
      </c>
    </row>
    <row r="65" spans="1:18" s="1380" customFormat="1" ht="13.5" thickBot="1">
      <c r="A65" s="979" t="s">
        <v>792</v>
      </c>
      <c r="B65" s="947" t="s">
        <v>742</v>
      </c>
      <c r="C65" s="21">
        <f ca="1">ROUND(C56*F65,2)</f>
        <v>44.21</v>
      </c>
      <c r="D65" s="961" t="s">
        <v>743</v>
      </c>
      <c r="E65" s="947" t="s">
        <v>744</v>
      </c>
      <c r="F65" s="330">
        <f t="shared" ca="1" si="0"/>
        <v>1E-3</v>
      </c>
      <c r="I65" s="1458" t="s">
        <v>867</v>
      </c>
      <c r="J65" s="1459">
        <v>40</v>
      </c>
      <c r="K65" s="1459">
        <v>30</v>
      </c>
      <c r="L65" s="1459">
        <v>50</v>
      </c>
      <c r="M65" s="1461">
        <v>0.02</v>
      </c>
      <c r="O65" s="1414" t="s">
        <v>403</v>
      </c>
      <c r="P65" s="1415" t="s">
        <v>868</v>
      </c>
      <c r="Q65" s="1416">
        <f ca="1">C40+J29</f>
        <v>-9175</v>
      </c>
      <c r="R65" s="1416" t="s">
        <v>818</v>
      </c>
    </row>
    <row r="66" spans="1:18" s="1380" customFormat="1" ht="16.5" thickBot="1">
      <c r="A66" s="979" t="s">
        <v>793</v>
      </c>
      <c r="B66" s="947" t="s">
        <v>728</v>
      </c>
      <c r="C66" s="21">
        <f ca="1">ROUND(C48*F66,2)</f>
        <v>0</v>
      </c>
      <c r="D66" s="961" t="s">
        <v>794</v>
      </c>
      <c r="E66" s="947" t="s">
        <v>712</v>
      </c>
      <c r="F66" s="312">
        <f t="shared" ca="1" si="0"/>
        <v>0.01</v>
      </c>
      <c r="O66" s="1414" t="s">
        <v>404</v>
      </c>
      <c r="P66" s="1415" t="s">
        <v>846</v>
      </c>
      <c r="Q66" s="1416">
        <f ca="1">L60</f>
        <v>0</v>
      </c>
      <c r="R66" s="1416" t="s">
        <v>869</v>
      </c>
    </row>
    <row r="67" spans="1:18" s="1380" customFormat="1" ht="16.5" thickBot="1">
      <c r="A67" s="954" t="s">
        <v>394</v>
      </c>
      <c r="B67" s="964" t="s">
        <v>752</v>
      </c>
      <c r="C67" s="316">
        <f ca="1">C48-C58</f>
        <v>-488</v>
      </c>
      <c r="D67" s="960" t="s">
        <v>753</v>
      </c>
      <c r="E67" s="965"/>
      <c r="F67" s="966"/>
      <c r="O67" s="1424" t="s">
        <v>405</v>
      </c>
      <c r="P67" s="1415" t="s">
        <v>850</v>
      </c>
      <c r="Q67" s="1462">
        <f ca="1">L51</f>
        <v>-69350</v>
      </c>
      <c r="R67" s="1416" t="s">
        <v>870</v>
      </c>
    </row>
    <row r="68" spans="1:18" s="1380" customFormat="1" ht="16.5" thickBot="1">
      <c r="A68" s="944" t="s">
        <v>395</v>
      </c>
      <c r="B68" s="945" t="s">
        <v>774</v>
      </c>
      <c r="C68" s="301">
        <f ca="1">ROUND(C67*(1-((1+F70)/(1+F68))^F69)/(F68-F70),0)</f>
        <v>-7357</v>
      </c>
      <c r="D68" s="962" t="s">
        <v>758</v>
      </c>
      <c r="E68" s="947" t="s">
        <v>759</v>
      </c>
      <c r="F68" s="312">
        <f ca="1">F40</f>
        <v>0.05</v>
      </c>
      <c r="O68" s="1424" t="s">
        <v>406</v>
      </c>
      <c r="P68" s="1463" t="s">
        <v>871</v>
      </c>
      <c r="Q68" s="1416">
        <f ca="1">ROUND(Q69-Q70*Q71,0)</f>
        <v>-3360</v>
      </c>
      <c r="R68" s="1416" t="s">
        <v>414</v>
      </c>
    </row>
    <row r="69" spans="1:18" s="1380" customFormat="1" ht="13.5" thickBot="1">
      <c r="A69" s="948"/>
      <c r="B69" s="949"/>
      <c r="C69" s="306"/>
      <c r="D69" s="967" t="s">
        <v>762</v>
      </c>
      <c r="E69" s="947" t="s">
        <v>763</v>
      </c>
      <c r="F69" s="333">
        <f ca="1">F41</f>
        <v>28.729999999999997</v>
      </c>
      <c r="O69" s="1424" t="s">
        <v>411</v>
      </c>
      <c r="P69" s="1463" t="s">
        <v>872</v>
      </c>
      <c r="Q69" s="1416">
        <f ca="1">C39</f>
        <v>-487</v>
      </c>
      <c r="R69" s="1416" t="s">
        <v>818</v>
      </c>
    </row>
    <row r="70" spans="1:18" s="1380" customFormat="1" ht="13.5" thickBot="1">
      <c r="A70" s="951"/>
      <c r="B70" s="952"/>
      <c r="C70" s="310"/>
      <c r="D70" s="963"/>
      <c r="E70" s="947" t="s">
        <v>766</v>
      </c>
      <c r="F70" s="1051"/>
      <c r="O70" s="1424" t="s">
        <v>412</v>
      </c>
      <c r="P70" s="1463" t="s">
        <v>873</v>
      </c>
      <c r="Q70" s="1416">
        <f ca="1">C13</f>
        <v>44205</v>
      </c>
      <c r="R70" s="1416" t="s">
        <v>818</v>
      </c>
    </row>
    <row r="71" spans="1:18" s="1380" customFormat="1" ht="13.5" thickBot="1">
      <c r="A71" s="968" t="s">
        <v>396</v>
      </c>
      <c r="B71" s="969" t="s">
        <v>776</v>
      </c>
      <c r="C71" s="336">
        <f ca="1">ROUND(C68*10000/F71,0)</f>
        <v>-1598</v>
      </c>
      <c r="D71" s="970" t="s">
        <v>777</v>
      </c>
      <c r="E71" s="971" t="s">
        <v>778</v>
      </c>
      <c r="F71" s="339">
        <f ca="1">F43</f>
        <v>46034.520000000011</v>
      </c>
      <c r="O71" s="1424" t="s">
        <v>413</v>
      </c>
      <c r="P71" s="1463" t="s">
        <v>874</v>
      </c>
      <c r="Q71" s="1427">
        <f ca="1">C76</f>
        <v>6.5000000000000002E-2</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续建工期及建筑物耐用年限下的土地年期修正系数Kn</v>
      </c>
      <c r="Q74" s="1416" t="e">
        <f ca="1">L59</f>
        <v>#DIV/0!</v>
      </c>
      <c r="R74" s="1416" t="s">
        <v>857</v>
      </c>
    </row>
    <row r="75" spans="1:18" ht="13.5" thickBot="1">
      <c r="A75" s="1380"/>
      <c r="B75" s="340" t="s">
        <v>795</v>
      </c>
      <c r="C75" s="341">
        <f ca="1">ROUND(C13*C76,0)</f>
        <v>2873</v>
      </c>
      <c r="D75" s="1380"/>
      <c r="E75" s="1380"/>
      <c r="F75" s="1380"/>
      <c r="K75" s="1398"/>
      <c r="L75" s="1380"/>
      <c r="O75" s="1414" t="s">
        <v>409</v>
      </c>
      <c r="P75" s="1415" t="s">
        <v>838</v>
      </c>
      <c r="Q75" s="1416">
        <f ca="1">Q65+Q66</f>
        <v>-9175</v>
      </c>
      <c r="R75" s="1416" t="s">
        <v>410</v>
      </c>
    </row>
    <row r="76" spans="1:18">
      <c r="B76" s="342" t="s">
        <v>796</v>
      </c>
      <c r="C76" s="343">
        <f ca="1">INDIRECT("'数据-取费表'!j"&amp;$G$1)</f>
        <v>6.5000000000000002E-2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6.899</v>
      </c>
    </row>
    <row r="80" spans="1:18">
      <c r="B80" s="340" t="s">
        <v>800</v>
      </c>
      <c r="C80" s="274">
        <f ca="1">ROUND(C75/C39,3)</f>
        <v>-5.899</v>
      </c>
    </row>
    <row r="81" spans="2:3">
      <c r="B81" s="270" t="s">
        <v>801</v>
      </c>
      <c r="C81" s="238"/>
    </row>
    <row r="82" spans="2:3">
      <c r="B82" s="273" t="s">
        <v>802</v>
      </c>
      <c r="C82" s="275">
        <f ca="1">1-C83</f>
        <v>5.8179999999999996</v>
      </c>
    </row>
    <row r="83" spans="2:3">
      <c r="B83" s="273" t="s">
        <v>803</v>
      </c>
      <c r="C83" s="274">
        <f ca="1">ROUND(C13/C40,3)</f>
        <v>-4.8179999999999996</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28" priority="56">
      <formula>$L$48&gt;$J$51</formula>
    </cfRule>
  </conditionalFormatting>
  <conditionalFormatting sqref="I55 I60">
    <cfRule type="expression" dxfId="27" priority="57">
      <formula>$J$51&gt;$L$48</formula>
    </cfRule>
  </conditionalFormatting>
  <conditionalFormatting sqref="C11">
    <cfRule type="expression" dxfId="26" priority="3">
      <formula>$F$10="自定义"</formula>
    </cfRule>
  </conditionalFormatting>
  <conditionalFormatting sqref="J11">
    <cfRule type="expression" dxfId="25" priority="2">
      <formula>$M$10="自定义"</formula>
    </cfRule>
  </conditionalFormatting>
  <conditionalFormatting sqref="C54">
    <cfRule type="expression" dxfId="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2081</v>
      </c>
      <c r="B1" s="2143"/>
      <c r="C1" s="2143"/>
      <c r="D1" s="2143"/>
      <c r="E1" s="2143"/>
      <c r="F1" s="2789"/>
      <c r="G1" s="2789"/>
      <c r="H1" s="2789"/>
      <c r="I1" s="2789"/>
      <c r="J1" s="2789"/>
      <c r="K1" s="2789"/>
      <c r="L1" s="2789"/>
      <c r="M1" s="2789"/>
      <c r="N1" s="2789"/>
      <c r="O1" s="2789"/>
      <c r="P1" s="2789"/>
    </row>
    <row r="2" spans="1:16" ht="15.75">
      <c r="A2" s="2141" t="s">
        <v>2073</v>
      </c>
      <c r="B2" s="2598" t="e">
        <f ca="1">SUMIF(B6:B13,"&lt;&gt;#ref!",B6:B13)</f>
        <v>#DIV/0!</v>
      </c>
      <c r="C2" s="2141" t="s">
        <v>2074</v>
      </c>
      <c r="D2" s="2141" t="s">
        <v>2075</v>
      </c>
      <c r="E2" s="2608">
        <f ca="1">SUMIF(E6:E13,"&lt;&gt;#ref!",E6:E13)</f>
        <v>0</v>
      </c>
      <c r="F2" s="2789"/>
      <c r="G2" s="2789"/>
      <c r="H2" s="2789"/>
      <c r="I2" s="2789"/>
      <c r="J2" s="2789"/>
      <c r="K2" s="2789"/>
      <c r="L2" s="2789"/>
      <c r="M2" s="2789"/>
      <c r="N2" s="2789"/>
      <c r="O2" s="2789"/>
      <c r="P2" s="2789"/>
    </row>
    <row r="3" spans="1:16" ht="15.75">
      <c r="A3" s="2141" t="s">
        <v>2076</v>
      </c>
      <c r="B3" s="2598" t="e">
        <f ca="1">ROUND(B2*10000/E2,0)</f>
        <v>#DIV/0!</v>
      </c>
      <c r="C3" s="2141"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2077</v>
      </c>
      <c r="B5" s="2606" t="s">
        <v>2078</v>
      </c>
      <c r="C5" s="2142"/>
      <c r="D5" s="2789"/>
      <c r="E5" s="2607" t="s">
        <v>2079</v>
      </c>
      <c r="F5" s="2789"/>
      <c r="G5" s="2789"/>
      <c r="H5" s="2789"/>
      <c r="I5" s="2789"/>
      <c r="J5" s="2789"/>
      <c r="K5" s="2789"/>
      <c r="L5" s="2789"/>
      <c r="M5" s="2789"/>
      <c r="N5" s="2789"/>
      <c r="O5" s="2789"/>
      <c r="P5" s="2789"/>
    </row>
    <row r="6" spans="1:16" ht="15.75">
      <c r="A6" s="2605" t="s">
        <v>2080</v>
      </c>
      <c r="B6" s="2598" t="e">
        <f ca="1">SUMIF(INDIRECT("'"&amp;A6&amp;"'"&amp;"!A:A"),"总价",INDIRECT("'"&amp;A6&amp;"'"&amp;"!B:B"))</f>
        <v>#DIV/0!</v>
      </c>
      <c r="C6" s="2141" t="s">
        <v>2074</v>
      </c>
      <c r="D6" s="2789"/>
      <c r="E6" s="2608">
        <f ca="1">SUMIF(INDIRECT("'"&amp;A6&amp;"'"&amp;"!C:C"),"建筑面积",INDIRECT("'"&amp;A6&amp;"'"&amp;"!D:D"))</f>
        <v>0</v>
      </c>
      <c r="F6" s="2789"/>
      <c r="G6" s="2789"/>
      <c r="H6" s="2789"/>
      <c r="I6" s="2789"/>
      <c r="J6" s="2789"/>
      <c r="K6" s="2789"/>
      <c r="L6" s="2789"/>
      <c r="M6" s="2789"/>
      <c r="N6" s="2789"/>
      <c r="O6" s="2789"/>
      <c r="P6" s="2789"/>
    </row>
    <row r="7" spans="1:16" ht="15.75">
      <c r="A7" s="2605"/>
      <c r="B7" s="2598" t="e">
        <f ca="1">SUMIF(INDIRECT("'"&amp;A7&amp;"'"&amp;"!A:A"),"总价",INDIRECT("'"&amp;A7&amp;"'"&amp;"!B:B"))</f>
        <v>#REF!</v>
      </c>
      <c r="C7" s="2141" t="s">
        <v>2074</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1" t="s">
        <v>2074</v>
      </c>
      <c r="D8" s="2789"/>
      <c r="E8" s="2608" t="e">
        <f t="shared" ca="1" si="0"/>
        <v>#REF!</v>
      </c>
      <c r="F8" s="2789"/>
      <c r="G8" s="2789"/>
      <c r="H8" s="2789"/>
      <c r="I8" s="2789"/>
      <c r="J8" s="2789"/>
      <c r="K8" s="2789"/>
      <c r="L8" s="2789"/>
      <c r="M8" s="2789"/>
      <c r="N8" s="2789"/>
      <c r="O8" s="2789"/>
      <c r="P8" s="2789"/>
    </row>
    <row r="9" spans="1:16" ht="15.75">
      <c r="A9" s="2605"/>
      <c r="B9" s="2598" t="e">
        <f t="shared" ca="1" si="1"/>
        <v>#REF!</v>
      </c>
      <c r="C9" s="2141" t="s">
        <v>2074</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1" t="s">
        <v>2074</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1" t="s">
        <v>2074</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1" t="s">
        <v>2074</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1" t="s">
        <v>2074</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8" customWidth="1"/>
    <col min="33" max="36" width="9.375" style="2049" customWidth="1"/>
    <col min="37" max="38" width="9.375" style="1994" customWidth="1"/>
    <col min="39" max="16384" width="12" style="1994"/>
  </cols>
  <sheetData>
    <row r="1" spans="1:36" ht="28.5">
      <c r="A1" s="196" t="s">
        <v>1926</v>
      </c>
      <c r="B1" s="197"/>
      <c r="C1" s="201" t="s">
        <v>1927</v>
      </c>
      <c r="D1" s="342">
        <f>SUM(D33:D34,D37:D42)</f>
        <v>0</v>
      </c>
      <c r="E1" s="1991"/>
      <c r="F1" s="1991"/>
      <c r="G1" s="1991"/>
      <c r="H1" s="1991"/>
      <c r="I1" s="1991"/>
      <c r="J1" s="1991"/>
      <c r="K1" s="1116"/>
      <c r="L1" s="1992" t="s">
        <v>1928</v>
      </c>
      <c r="M1" s="860">
        <f>SUMPRODUCT((区片价!B5:B9=I2)*(区片价!C3:G3=E2)*(区片价!C5:G9))</f>
        <v>0</v>
      </c>
      <c r="N1" s="863">
        <f>SUMPRODUCT((因素修正幅度!B5:B9=I2)*(因素修正幅度!C3:G3=E2)*(因素修正幅度!C5:G9))</f>
        <v>0</v>
      </c>
      <c r="O1" s="1993"/>
      <c r="P1" s="1993"/>
      <c r="Q1" s="1116"/>
      <c r="R1" s="1208" t="s">
        <v>1929</v>
      </c>
      <c r="S1" s="1208" t="s">
        <v>1930</v>
      </c>
      <c r="T1" s="1208" t="s">
        <v>1931</v>
      </c>
      <c r="U1" s="1208" t="s">
        <v>1932</v>
      </c>
      <c r="V1" s="1208" t="s">
        <v>1933</v>
      </c>
      <c r="W1" s="1212"/>
      <c r="X1" s="1212"/>
      <c r="Y1" s="1212"/>
      <c r="Z1" s="1212"/>
      <c r="AA1" s="1212"/>
      <c r="AB1" s="1212"/>
      <c r="AC1" s="1213"/>
      <c r="AD1" s="1214"/>
      <c r="AE1" s="1214"/>
      <c r="AF1" s="1214"/>
      <c r="AG1" s="1214"/>
      <c r="AH1" s="1214"/>
      <c r="AI1" s="1214"/>
      <c r="AJ1" s="1215"/>
    </row>
    <row r="2" spans="1:36" ht="15.75">
      <c r="A2" s="201" t="s">
        <v>1934</v>
      </c>
      <c r="B2" s="204" t="e">
        <f>C30</f>
        <v>#DIV/0!</v>
      </c>
      <c r="C2" s="1995" t="s">
        <v>1935</v>
      </c>
      <c r="D2" s="1996" t="s">
        <v>1936</v>
      </c>
      <c r="E2" s="3418"/>
      <c r="F2" s="1996" t="s">
        <v>1937</v>
      </c>
      <c r="G2" s="1997">
        <f>IF(E2="商业",项目基本情况!B37,IF(E2="办公",项目基本情况!C37,IF(E2="住宅",项目基本情况!D37,IF(E2="工业",项目基本情况!E37,项目基本情况!F37))))</f>
        <v>0</v>
      </c>
      <c r="H2" s="1996" t="s">
        <v>1938</v>
      </c>
      <c r="I2" s="1997">
        <f>IF(E2="商业",项目基本情况!B38,IF(E2="办公",项目基本情况!C38,IF(E2="住宅",项目基本情况!D38,IF(E2="工业",项目基本情况!E38,项目基本情况!F38))))</f>
        <v>0</v>
      </c>
      <c r="J2" s="1998"/>
      <c r="K2" s="1116"/>
      <c r="L2" s="1999" t="s">
        <v>1939</v>
      </c>
      <c r="M2" s="861">
        <f>SUMPRODUCT((区片价!B10:B29=I2)*(区片价!C3:G3=E2)*(区片价!C10:G29))</f>
        <v>0</v>
      </c>
      <c r="N2" s="863">
        <f>SUMPRODUCT((因素修正幅度!B10:B29=I2)*(因素修正幅度!C3:G3=E2)*(因素修正幅度!C10:G29))</f>
        <v>0</v>
      </c>
      <c r="O2" s="1116"/>
      <c r="P2" s="1116"/>
      <c r="Q2" s="1116"/>
      <c r="R2" s="1208">
        <v>1</v>
      </c>
      <c r="S2" s="3357">
        <f>ROUND(SUMPRODUCT((B106:B110=R2)*(C105:N105=G2)*(C106:N110)),4)</f>
        <v>0</v>
      </c>
      <c r="T2" s="3357" t="e">
        <f t="shared" ref="T2:T16" si="0">ROUND($C$5*$C$22*$C$23*$C$24*S2*$C$28,0)</f>
        <v>#DIV/0!</v>
      </c>
      <c r="U2" s="1209"/>
      <c r="V2" s="3357" t="e">
        <f>ROUND(T2*U2/10000,0)</f>
        <v>#DIV/0!</v>
      </c>
      <c r="W2" s="1212"/>
      <c r="X2" s="1212"/>
      <c r="Y2" s="1212"/>
      <c r="Z2" s="1212"/>
      <c r="AA2" s="1212"/>
      <c r="AB2" s="1212"/>
      <c r="AC2" s="1213"/>
      <c r="AD2" s="1214"/>
      <c r="AE2" s="1214"/>
      <c r="AF2" s="1214"/>
      <c r="AG2" s="1214"/>
      <c r="AH2" s="1214"/>
      <c r="AI2" s="1214"/>
      <c r="AJ2" s="1215"/>
    </row>
    <row r="3" spans="1:36" ht="15.75">
      <c r="A3" s="203" t="s">
        <v>1940</v>
      </c>
      <c r="B3" s="204" t="e">
        <f>ROUND(B2*10000/D1,0)</f>
        <v>#DIV/0!</v>
      </c>
      <c r="C3" s="1995" t="s">
        <v>1941</v>
      </c>
      <c r="D3" s="1996" t="s">
        <v>1942</v>
      </c>
      <c r="E3" s="3416"/>
      <c r="F3" s="2000"/>
      <c r="G3" s="749">
        <f>IF(F3="宗地容积率",'数据-汇总表'!I4,IF(F3="估价对象容积率",'数据-汇总表'!I6,'数据-汇总表'!I7))</f>
        <v>10.612133573300682</v>
      </c>
      <c r="H3" s="170" t="s">
        <v>1943</v>
      </c>
      <c r="I3" s="772"/>
      <c r="J3" s="1998" t="s">
        <v>1944</v>
      </c>
      <c r="K3" s="1116"/>
      <c r="L3" s="1999" t="s">
        <v>1945</v>
      </c>
      <c r="M3" s="861">
        <f>SUMPRODUCT((区片价!B30:B54=I2)*(区片价!C3:G3=E2)*(区片价!C30:G54))</f>
        <v>0</v>
      </c>
      <c r="N3" s="863">
        <f>SUMPRODUCT((因素修正幅度!B30:B54=I2)*(因素修正幅度!C3:G3=E2)*(因素修正幅度!C30:G54))</f>
        <v>0</v>
      </c>
      <c r="O3" s="1116"/>
      <c r="P3" s="1116"/>
      <c r="Q3" s="1116"/>
      <c r="R3" s="1208">
        <v>2</v>
      </c>
      <c r="S3" s="3357">
        <f>ROUND(SUMPRODUCT((B106:B110=R3)*(C105:N105=G2)*(C106:N110)),4)</f>
        <v>0</v>
      </c>
      <c r="T3" s="3357" t="e">
        <f t="shared" si="0"/>
        <v>#DIV/0!</v>
      </c>
      <c r="U3" s="1209"/>
      <c r="V3" s="3357" t="e">
        <f t="shared" ref="V3:V16" si="1">ROUND(T3*U3/10000,0)</f>
        <v>#DIV/0!</v>
      </c>
      <c r="W3" s="1212"/>
      <c r="X3" s="1212"/>
      <c r="Y3" s="1212"/>
      <c r="Z3" s="1212"/>
      <c r="AA3" s="1212"/>
      <c r="AB3" s="1212"/>
      <c r="AC3" s="1213"/>
      <c r="AD3" s="1214"/>
      <c r="AE3" s="1214"/>
      <c r="AF3" s="1214"/>
      <c r="AG3" s="1214"/>
      <c r="AH3" s="1214"/>
      <c r="AI3" s="1214"/>
      <c r="AJ3" s="1215"/>
    </row>
    <row r="4" spans="1:36" ht="15.75">
      <c r="A4" s="3812"/>
      <c r="B4" s="3813"/>
      <c r="C4" s="3813"/>
      <c r="D4" s="3814"/>
      <c r="E4" s="3814"/>
      <c r="F4" s="3814"/>
      <c r="G4" s="3814"/>
      <c r="H4" s="3814"/>
      <c r="I4" s="3814"/>
      <c r="J4" s="3815"/>
      <c r="K4" s="1116"/>
      <c r="L4" s="1999" t="s">
        <v>1946</v>
      </c>
      <c r="M4" s="861">
        <f>SUMPRODUCT((区片价!B55:B86=I2)*(区片价!C3:G3=E2)*(区片价!C55:G86))</f>
        <v>0</v>
      </c>
      <c r="N4" s="863">
        <f>SUMPRODUCT((因素修正幅度!B55:B86=I2)*(因素修正幅度!C3:G3=E2)*(因素修正幅度!C55:G86))</f>
        <v>0</v>
      </c>
      <c r="O4" s="1116"/>
      <c r="P4" s="1116"/>
      <c r="Q4" s="1116"/>
      <c r="R4" s="1208">
        <v>3</v>
      </c>
      <c r="S4" s="3357">
        <f>ROUND(SUMPRODUCT((B106:B110=R4)*(C105:N105=G2)*(C106:N110)),4)</f>
        <v>0</v>
      </c>
      <c r="T4" s="3357" t="e">
        <f t="shared" si="0"/>
        <v>#DIV/0!</v>
      </c>
      <c r="U4" s="1209"/>
      <c r="V4" s="3357" t="e">
        <f t="shared" si="1"/>
        <v>#DIV/0!</v>
      </c>
      <c r="W4" s="1212"/>
      <c r="X4" s="1212"/>
      <c r="Y4" s="1212"/>
      <c r="Z4" s="1212"/>
      <c r="AA4" s="1212"/>
      <c r="AB4" s="1212"/>
      <c r="AC4" s="1213"/>
      <c r="AD4" s="1214"/>
      <c r="AE4" s="1214"/>
      <c r="AF4" s="1214"/>
      <c r="AG4" s="1214"/>
      <c r="AH4" s="1214"/>
      <c r="AI4" s="1214"/>
      <c r="AJ4" s="1215"/>
    </row>
    <row r="5" spans="1:36" s="2010" customFormat="1" ht="15.75" thickBot="1">
      <c r="A5" s="2001" t="s">
        <v>362</v>
      </c>
      <c r="B5" s="2002" t="s">
        <v>1947</v>
      </c>
      <c r="C5" s="750" t="e">
        <f>ROUND(IF(E2="商业",C6*C7*C17+C20,(IF(E2="住宅",C6*C13*C17+C20,IF(E2="办公",C6*C12*C17+C20,C6+C20)))),0)</f>
        <v>#DIV/0!</v>
      </c>
      <c r="D5" s="1335" t="e">
        <f>ROUND(C6*C17+C20,0)</f>
        <v>#DIV/0!</v>
      </c>
      <c r="E5" s="1335"/>
      <c r="F5" s="2003"/>
      <c r="G5" s="2004"/>
      <c r="H5" s="2004"/>
      <c r="I5" s="2004"/>
      <c r="J5" s="2005"/>
      <c r="K5" s="2006"/>
      <c r="L5" s="1999" t="s">
        <v>1948</v>
      </c>
      <c r="M5" s="861">
        <f>SUMPRODUCT((区片价!B87:B126=I2)*(区片价!C3:G3=E2)*(区片价!C87:G126))</f>
        <v>0</v>
      </c>
      <c r="N5" s="863">
        <f>SUMPRODUCT((因素修正幅度!B87:B126=I2)*(因素修正幅度!C3:G3=E2)*(因素修正幅度!C87:G126))</f>
        <v>0</v>
      </c>
      <c r="O5" s="1116"/>
      <c r="P5" s="1116"/>
      <c r="Q5" s="1116"/>
      <c r="R5" s="1208">
        <v>4</v>
      </c>
      <c r="S5" s="3357">
        <f>ROUND(SUMPRODUCT((B106:B110=R5)*(C105:N105=G2)*(C106:N110)),4)</f>
        <v>0</v>
      </c>
      <c r="T5" s="3357" t="e">
        <f t="shared" si="0"/>
        <v>#DIV/0!</v>
      </c>
      <c r="U5" s="1209"/>
      <c r="V5" s="3357" t="e">
        <f t="shared" si="1"/>
        <v>#DIV/0!</v>
      </c>
      <c r="W5" s="1212"/>
      <c r="X5" s="1212"/>
      <c r="Y5" s="1212"/>
      <c r="Z5" s="1212"/>
      <c r="AA5" s="1212"/>
      <c r="AB5" s="1212"/>
      <c r="AC5" s="2007"/>
      <c r="AD5" s="2008"/>
      <c r="AE5" s="2008"/>
      <c r="AF5" s="2008"/>
      <c r="AG5" s="2008"/>
      <c r="AH5" s="2008"/>
      <c r="AI5" s="2008"/>
      <c r="AJ5" s="2009"/>
    </row>
    <row r="6" spans="1:36" ht="15.75" thickBot="1">
      <c r="A6" s="2011" t="s">
        <v>1949</v>
      </c>
      <c r="B6" s="2012" t="s">
        <v>1950</v>
      </c>
      <c r="C6" s="751">
        <f>SUMIF(L1:L12,G2,M1:M12)</f>
        <v>0</v>
      </c>
      <c r="D6" s="2013"/>
      <c r="E6" s="2014"/>
      <c r="F6" s="2014"/>
      <c r="G6" s="2015"/>
      <c r="H6" s="2015"/>
      <c r="I6" s="2015"/>
      <c r="J6" s="2016"/>
      <c r="K6" s="1380"/>
      <c r="L6" s="1999" t="s">
        <v>1951</v>
      </c>
      <c r="M6" s="861">
        <f>SUMPRODUCT((区片价!B127:B189=I2)*(区片价!C3:G3=E2)*(区片价!C127:G189))</f>
        <v>0</v>
      </c>
      <c r="N6" s="863">
        <f>SUMPRODUCT((因素修正幅度!B127:B189=I2)*(因素修正幅度!C3:G3=E2)*(因素修正幅度!C127:G189))</f>
        <v>0</v>
      </c>
      <c r="O6" s="1116"/>
      <c r="P6" s="1116"/>
      <c r="Q6" s="1116"/>
      <c r="R6" s="1208">
        <v>5</v>
      </c>
      <c r="S6" s="3357">
        <f>ROUND(SUMPRODUCT((B106:B110=R6)*(C105:N105=G2)*(C106:N110)),4)</f>
        <v>0</v>
      </c>
      <c r="T6" s="3357" t="e">
        <f t="shared" si="0"/>
        <v>#DIV/0!</v>
      </c>
      <c r="U6" s="1209"/>
      <c r="V6" s="3357" t="e">
        <f t="shared" si="1"/>
        <v>#DIV/0!</v>
      </c>
      <c r="W6" s="1212"/>
      <c r="X6" s="1212"/>
      <c r="Y6" s="1212"/>
      <c r="Z6" s="1212"/>
      <c r="AA6" s="1212"/>
      <c r="AB6" s="1212"/>
      <c r="AC6" s="2007"/>
      <c r="AD6" s="2008"/>
      <c r="AE6" s="2008"/>
      <c r="AF6" s="2008"/>
      <c r="AG6" s="2008"/>
      <c r="AH6" s="2008"/>
      <c r="AI6" s="2008"/>
      <c r="AJ6" s="2009"/>
    </row>
    <row r="7" spans="1:36" ht="24.75" thickBot="1">
      <c r="A7" s="3300" t="s">
        <v>3243</v>
      </c>
      <c r="B7" s="2017" t="s">
        <v>1952</v>
      </c>
      <c r="C7" s="752" t="e">
        <f>IF(C8="不临65条商业街",1,ROUND(1+(1.6*E8+1.2*E9+0.8*E10+0.4*E11)*C9,4))</f>
        <v>#DIV/0!</v>
      </c>
      <c r="D7" s="2018" t="s">
        <v>1953</v>
      </c>
      <c r="E7" s="773"/>
      <c r="F7" s="2019"/>
      <c r="G7" s="2020"/>
      <c r="H7" s="2020"/>
      <c r="I7" s="2020"/>
      <c r="J7" s="2021"/>
      <c r="K7" s="1380"/>
      <c r="L7" s="1999" t="s">
        <v>1954</v>
      </c>
      <c r="M7" s="861">
        <f>SUMPRODUCT((区片价!B190:B233=I2)*(区片价!C3:G3=E2)*(区片价!C190:G233))</f>
        <v>0</v>
      </c>
      <c r="N7" s="863">
        <f>SUMPRODUCT((因素修正幅度!B190:B233=I2)*(因素修正幅度!C3:G3=E2)*(因素修正幅度!C190:G233))</f>
        <v>0</v>
      </c>
      <c r="O7" s="1116"/>
      <c r="P7" s="1116"/>
      <c r="Q7" s="1116"/>
      <c r="R7" s="1208">
        <v>6</v>
      </c>
      <c r="S7" s="3415"/>
      <c r="T7" s="3357" t="e">
        <f t="shared" si="0"/>
        <v>#DIV/0!</v>
      </c>
      <c r="U7" s="1209"/>
      <c r="V7" s="3357" t="e">
        <f t="shared" si="1"/>
        <v>#DIV/0!</v>
      </c>
      <c r="W7" s="1354" t="s">
        <v>1955</v>
      </c>
      <c r="X7" s="1210">
        <f>G2</f>
        <v>0</v>
      </c>
      <c r="Y7" s="1210" t="s">
        <v>1956</v>
      </c>
      <c r="Z7" s="1211">
        <f>G3</f>
        <v>10.612133573300682</v>
      </c>
      <c r="AA7" s="1212"/>
      <c r="AB7" s="1212"/>
      <c r="AC7" s="1213"/>
      <c r="AD7" s="1214"/>
      <c r="AE7" s="1214"/>
      <c r="AF7" s="1214"/>
      <c r="AG7" s="1214"/>
      <c r="AH7" s="1214"/>
      <c r="AI7" s="1214"/>
      <c r="AJ7" s="1215"/>
    </row>
    <row r="8" spans="1:36" ht="15">
      <c r="A8" s="3295"/>
      <c r="B8" s="170" t="s">
        <v>1957</v>
      </c>
      <c r="C8" s="2022"/>
      <c r="D8" s="753" t="s">
        <v>112</v>
      </c>
      <c r="E8" s="754" t="e">
        <f>ROUND(C11/E7,4)</f>
        <v>#DIV/0!</v>
      </c>
      <c r="F8" s="2023" t="s">
        <v>1958</v>
      </c>
      <c r="G8" s="2024"/>
      <c r="H8" s="2024"/>
      <c r="I8" s="2024"/>
      <c r="J8" s="2025"/>
      <c r="K8" s="1116"/>
      <c r="L8" s="1999" t="s">
        <v>1959</v>
      </c>
      <c r="M8" s="861">
        <f>SUMPRODUCT((区片价!B234:B276=I2)*(区片价!C3:G3=E2)*(区片价!C234:G276))</f>
        <v>0</v>
      </c>
      <c r="N8" s="863">
        <f>SUMPRODUCT((因素修正幅度!B234:B276=I2)*(因素修正幅度!C3:G3=E2)*(因素修正幅度!C234:G276))</f>
        <v>0</v>
      </c>
      <c r="O8" s="1116"/>
      <c r="P8" s="1116"/>
      <c r="Q8" s="1116"/>
      <c r="R8" s="1208">
        <v>7</v>
      </c>
      <c r="S8" s="1209"/>
      <c r="T8" s="3357" t="e">
        <f t="shared" si="0"/>
        <v>#DIV/0!</v>
      </c>
      <c r="U8" s="1209"/>
      <c r="V8" s="3357" t="e">
        <f t="shared" si="1"/>
        <v>#DIV/0!</v>
      </c>
      <c r="W8" s="3809" t="s">
        <v>1960</v>
      </c>
      <c r="X8" s="3810"/>
      <c r="Y8" s="1216" t="s">
        <v>1961</v>
      </c>
      <c r="Z8" s="1216" t="s">
        <v>1962</v>
      </c>
      <c r="AA8" s="1216" t="s">
        <v>1963</v>
      </c>
      <c r="AB8" s="1216" t="s">
        <v>1964</v>
      </c>
      <c r="AC8" s="1216" t="s">
        <v>1965</v>
      </c>
      <c r="AD8" s="1216" t="s">
        <v>1966</v>
      </c>
      <c r="AE8" s="1216" t="s">
        <v>1967</v>
      </c>
      <c r="AF8" s="1216" t="s">
        <v>1968</v>
      </c>
      <c r="AG8" s="1216" t="s">
        <v>1969</v>
      </c>
      <c r="AH8" s="1216" t="s">
        <v>1970</v>
      </c>
      <c r="AI8" s="1216" t="s">
        <v>1971</v>
      </c>
      <c r="AJ8" s="1216" t="s">
        <v>1972</v>
      </c>
    </row>
    <row r="9" spans="1:36" ht="15">
      <c r="A9" s="3295"/>
      <c r="B9" s="170" t="s">
        <v>1973</v>
      </c>
      <c r="C9" s="755">
        <f>SUMIF(修正!C71:C138,C8,修正!E71:E138)</f>
        <v>0</v>
      </c>
      <c r="D9" s="171" t="s">
        <v>113</v>
      </c>
      <c r="E9" s="171" t="e">
        <f>ROUND(C11/E7,4)</f>
        <v>#DIV/0!</v>
      </c>
      <c r="F9" s="2023" t="s">
        <v>1974</v>
      </c>
      <c r="G9" s="2024"/>
      <c r="H9" s="2024"/>
      <c r="I9" s="2024"/>
      <c r="J9" s="2025"/>
      <c r="K9" s="1116"/>
      <c r="L9" s="1999" t="s">
        <v>1975</v>
      </c>
      <c r="M9" s="861">
        <f>SUMPRODUCT((区片价!B277:B326=I2)*(区片价!C3:G3=E2)*(区片价!C277:G326))</f>
        <v>0</v>
      </c>
      <c r="N9" s="863">
        <f>SUMPRODUCT((因素修正幅度!B277:B326=I2)*(因素修正幅度!C3:G3=E2)*(因素修正幅度!C277:G326))</f>
        <v>0</v>
      </c>
      <c r="O9" s="1116"/>
      <c r="P9" s="1116"/>
      <c r="Q9" s="1116"/>
      <c r="R9" s="1208">
        <v>8</v>
      </c>
      <c r="S9" s="1209"/>
      <c r="T9" s="3357" t="e">
        <f t="shared" si="0"/>
        <v>#DIV/0!</v>
      </c>
      <c r="U9" s="1209"/>
      <c r="V9" s="3357" t="e">
        <f t="shared" si="1"/>
        <v>#DIV/0!</v>
      </c>
      <c r="W9" s="3811"/>
      <c r="X9" s="3358" t="s">
        <v>3274</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3" t="s">
        <v>1977</v>
      </c>
      <c r="G10" s="2024"/>
      <c r="H10" s="2024"/>
      <c r="I10" s="2024"/>
      <c r="J10" s="2025"/>
      <c r="K10" s="1116"/>
      <c r="L10" s="1999" t="s">
        <v>1978</v>
      </c>
      <c r="M10" s="861">
        <f>SUMPRODUCT((区片价!B327:B357=I2)*(区片价!C3:G3=E2)*(区片价!C327:G357))</f>
        <v>0</v>
      </c>
      <c r="N10" s="863">
        <f>SUMPRODUCT((因素修正幅度!B327:B357=I2)*(因素修正幅度!C3:G3=E2)*(因素修正幅度!C327:G357))</f>
        <v>0</v>
      </c>
      <c r="O10" s="1116"/>
      <c r="P10" s="1116"/>
      <c r="Q10" s="1116"/>
      <c r="R10" s="1208">
        <v>9</v>
      </c>
      <c r="S10" s="1209"/>
      <c r="T10" s="3357" t="e">
        <f t="shared" si="0"/>
        <v>#DIV/0!</v>
      </c>
      <c r="U10" s="1209"/>
      <c r="V10" s="3357" t="e">
        <f t="shared" si="1"/>
        <v>#DIV/0!</v>
      </c>
      <c r="W10" s="3811"/>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1979</v>
      </c>
      <c r="C11" s="756">
        <f>C10/4</f>
        <v>0</v>
      </c>
      <c r="D11" s="756" t="s">
        <v>115</v>
      </c>
      <c r="E11" s="756" t="e">
        <f>ROUND(C11/E7,4)</f>
        <v>#DIV/0!</v>
      </c>
      <c r="F11" s="2027" t="s">
        <v>1980</v>
      </c>
      <c r="G11" s="2028"/>
      <c r="H11" s="2028"/>
      <c r="I11" s="2028"/>
      <c r="J11" s="2029"/>
      <c r="K11" s="1116"/>
      <c r="L11" s="1999" t="s">
        <v>1981</v>
      </c>
      <c r="M11" s="861">
        <f>SUMPRODUCT((区片价!B358:B377=I2)*(区片价!C3:G3=E2)*(区片价!C358:G377))</f>
        <v>0</v>
      </c>
      <c r="N11" s="863">
        <f>SUMPRODUCT((因素修正幅度!B358:B377=I2)*(因素修正幅度!C3:G3=E2)*(因素修正幅度!C358:G377))</f>
        <v>0</v>
      </c>
      <c r="O11" s="1116"/>
      <c r="P11" s="1116"/>
      <c r="Q11" s="1116"/>
      <c r="R11" s="1208">
        <v>10</v>
      </c>
      <c r="S11" s="1209"/>
      <c r="T11" s="3357" t="e">
        <f t="shared" si="0"/>
        <v>#DIV/0!</v>
      </c>
      <c r="U11" s="1209"/>
      <c r="V11" s="3357" t="e">
        <f t="shared" si="1"/>
        <v>#DIV/0!</v>
      </c>
      <c r="W11" s="1212"/>
      <c r="X11" s="1212"/>
      <c r="Y11" s="1212"/>
      <c r="Z11" s="1212"/>
      <c r="AA11" s="1212"/>
      <c r="AB11" s="1212"/>
      <c r="AC11" s="1213"/>
      <c r="AD11" s="2785"/>
      <c r="AE11" s="2785"/>
      <c r="AF11" s="2785"/>
      <c r="AG11" s="2785"/>
      <c r="AH11" s="2785"/>
      <c r="AI11" s="2785"/>
      <c r="AJ11" s="2786"/>
    </row>
    <row r="12" spans="1:36" ht="25.5" thickBot="1">
      <c r="A12" s="3300" t="s">
        <v>3244</v>
      </c>
      <c r="B12" s="3301" t="s">
        <v>3245</v>
      </c>
      <c r="C12" s="3302"/>
      <c r="D12" s="3303" t="s">
        <v>3246</v>
      </c>
      <c r="E12" s="3304" t="s">
        <v>3247</v>
      </c>
      <c r="F12" s="3305"/>
      <c r="G12" s="3306"/>
      <c r="H12" s="3306"/>
      <c r="I12" s="3306"/>
      <c r="J12" s="3307"/>
      <c r="K12" s="1116"/>
      <c r="L12" s="2035" t="s">
        <v>1984</v>
      </c>
      <c r="M12" s="862">
        <f>SUMPRODUCT((区片价!B378:B384=I2)*(区片价!C3:G3=E2)*(区片价!C378:G384))</f>
        <v>0</v>
      </c>
      <c r="N12" s="863">
        <f>SUMPRODUCT((因素修正幅度!B378:B384=I2)*(因素修正幅度!C3:G3=E2)*(因素修正幅度!C378:G384))</f>
        <v>0</v>
      </c>
      <c r="O12" s="1116"/>
      <c r="P12" s="1116"/>
      <c r="Q12" s="1116"/>
      <c r="R12" s="1208">
        <v>11</v>
      </c>
      <c r="S12" s="1209"/>
      <c r="T12" s="3357" t="e">
        <f t="shared" si="0"/>
        <v>#DIV/0!</v>
      </c>
      <c r="U12" s="1209"/>
      <c r="V12" s="3357" t="e">
        <f t="shared" si="1"/>
        <v>#DIV/0!</v>
      </c>
      <c r="W12" s="1212"/>
      <c r="X12" s="1212"/>
      <c r="Y12" s="1212"/>
      <c r="Z12" s="1212"/>
      <c r="AA12" s="1212"/>
      <c r="AB12" s="1212"/>
      <c r="AC12" s="1213"/>
      <c r="AD12" s="2785"/>
      <c r="AE12" s="2785"/>
      <c r="AF12" s="2785"/>
      <c r="AG12" s="2785"/>
      <c r="AH12" s="2785"/>
      <c r="AI12" s="2785"/>
      <c r="AJ12" s="2786"/>
    </row>
    <row r="13" spans="1:36" ht="15.75" thickBot="1">
      <c r="A13" s="3300" t="s">
        <v>3248</v>
      </c>
      <c r="B13" s="2030" t="s">
        <v>1982</v>
      </c>
      <c r="C13" s="752">
        <f>ROUND(C16*D16*E16*F16*G16*H16*I16*J16,4)</f>
        <v>0</v>
      </c>
      <c r="D13" s="2031" t="s">
        <v>1983</v>
      </c>
      <c r="E13" s="2032"/>
      <c r="F13" s="2032"/>
      <c r="G13" s="2033"/>
      <c r="H13" s="2033"/>
      <c r="I13" s="2033"/>
      <c r="J13" s="2034"/>
      <c r="K13" s="1116"/>
      <c r="L13" s="3296"/>
      <c r="M13" s="3297"/>
      <c r="N13" s="3298"/>
      <c r="O13" s="1116"/>
      <c r="P13" s="1116"/>
      <c r="Q13" s="1116"/>
      <c r="R13" s="1208">
        <v>12</v>
      </c>
      <c r="S13" s="1209"/>
      <c r="T13" s="3357" t="e">
        <f t="shared" si="0"/>
        <v>#DIV/0!</v>
      </c>
      <c r="U13" s="1209"/>
      <c r="V13" s="3357" t="e">
        <f t="shared" si="1"/>
        <v>#DIV/0!</v>
      </c>
      <c r="W13" s="1212"/>
      <c r="X13" s="1212"/>
      <c r="Y13" s="1212"/>
      <c r="Z13" s="1212"/>
      <c r="AA13" s="1212"/>
      <c r="AB13" s="1212"/>
      <c r="AC13" s="1213"/>
      <c r="AD13" s="2785"/>
      <c r="AE13" s="2785"/>
      <c r="AF13" s="2785"/>
      <c r="AG13" s="2785"/>
      <c r="AH13" s="2785"/>
      <c r="AI13" s="2785"/>
      <c r="AJ13" s="2786"/>
    </row>
    <row r="14" spans="1:36" ht="15">
      <c r="A14" s="3294"/>
      <c r="B14" s="2036" t="s">
        <v>1985</v>
      </c>
      <c r="C14" s="2037" t="s">
        <v>1986</v>
      </c>
      <c r="D14" s="1346" t="s">
        <v>1987</v>
      </c>
      <c r="E14" s="27" t="s">
        <v>1988</v>
      </c>
      <c r="F14" s="3308" t="s">
        <v>3249</v>
      </c>
      <c r="G14" s="3308" t="s">
        <v>3249</v>
      </c>
      <c r="H14" s="3308" t="s">
        <v>3249</v>
      </c>
      <c r="I14" s="3308" t="s">
        <v>3249</v>
      </c>
      <c r="J14" s="3308" t="s">
        <v>3249</v>
      </c>
      <c r="K14" s="1116"/>
      <c r="L14" s="1116"/>
      <c r="M14" s="1116"/>
      <c r="N14" s="1116"/>
      <c r="O14" s="1116"/>
      <c r="P14" s="1116"/>
      <c r="Q14" s="1116"/>
      <c r="R14" s="1208">
        <v>13</v>
      </c>
      <c r="S14" s="1209"/>
      <c r="T14" s="3357" t="e">
        <f t="shared" si="0"/>
        <v>#DIV/0!</v>
      </c>
      <c r="U14" s="1209"/>
      <c r="V14" s="3357" t="e">
        <f t="shared" si="1"/>
        <v>#DIV/0!</v>
      </c>
      <c r="W14" s="1212"/>
      <c r="X14" s="1212"/>
      <c r="Y14" s="1212"/>
      <c r="Z14" s="1212"/>
      <c r="AA14" s="1212"/>
      <c r="AB14" s="1212"/>
      <c r="AC14" s="1213"/>
      <c r="AD14" s="2785"/>
      <c r="AE14" s="2785"/>
      <c r="AF14" s="2785"/>
      <c r="AG14" s="2785"/>
      <c r="AH14" s="2785"/>
      <c r="AI14" s="2785"/>
      <c r="AJ14" s="2786"/>
    </row>
    <row r="15" spans="1:36" ht="15">
      <c r="A15" s="3294"/>
      <c r="B15" s="2038"/>
      <c r="C15" s="2039"/>
      <c r="D15" s="2040"/>
      <c r="E15" s="2041"/>
      <c r="F15" s="3309" t="s">
        <v>3250</v>
      </c>
      <c r="G15" s="3310"/>
      <c r="H15" s="3311"/>
      <c r="I15" s="3312"/>
      <c r="J15" s="3313"/>
      <c r="K15" s="1116"/>
      <c r="L15" s="1116"/>
      <c r="M15" s="1116"/>
      <c r="N15" s="1116"/>
      <c r="O15" s="1116"/>
      <c r="P15" s="1116"/>
      <c r="Q15" s="1116"/>
      <c r="R15" s="1208">
        <v>14</v>
      </c>
      <c r="S15" s="1209"/>
      <c r="T15" s="3357" t="e">
        <f t="shared" si="0"/>
        <v>#DIV/0!</v>
      </c>
      <c r="U15" s="1209"/>
      <c r="V15" s="3357" t="e">
        <f t="shared" si="1"/>
        <v>#DIV/0!</v>
      </c>
      <c r="W15" s="1212"/>
      <c r="X15" s="1212"/>
      <c r="Y15" s="1212"/>
      <c r="Z15" s="1212"/>
      <c r="AA15" s="1212"/>
      <c r="AB15" s="1212"/>
      <c r="AC15" s="1213"/>
      <c r="AD15" s="2785"/>
      <c r="AE15" s="2785"/>
      <c r="AF15" s="2785"/>
      <c r="AG15" s="2785"/>
      <c r="AH15" s="2785"/>
      <c r="AI15" s="2785"/>
      <c r="AJ15" s="2786"/>
    </row>
    <row r="16" spans="1:36" ht="15.75" thickBot="1">
      <c r="A16" s="3294"/>
      <c r="B16" s="3316" t="s">
        <v>1989</v>
      </c>
      <c r="C16" s="3314"/>
      <c r="D16" s="3314"/>
      <c r="E16" s="3314"/>
      <c r="F16" s="3314">
        <v>1</v>
      </c>
      <c r="G16" s="3314">
        <v>1</v>
      </c>
      <c r="H16" s="3314">
        <v>1</v>
      </c>
      <c r="I16" s="3314">
        <v>1</v>
      </c>
      <c r="J16" s="3315">
        <v>1</v>
      </c>
      <c r="K16" s="1116"/>
      <c r="L16" s="1993"/>
      <c r="M16" s="1993"/>
      <c r="N16" s="1993"/>
      <c r="O16" s="1993"/>
      <c r="P16" s="1993"/>
      <c r="Q16" s="1116"/>
      <c r="R16" s="1208">
        <v>15</v>
      </c>
      <c r="S16" s="1209"/>
      <c r="T16" s="3357" t="e">
        <f t="shared" si="0"/>
        <v>#DIV/0!</v>
      </c>
      <c r="U16" s="1209"/>
      <c r="V16" s="3357" t="e">
        <f t="shared" si="1"/>
        <v>#DIV/0!</v>
      </c>
      <c r="W16" s="1212"/>
      <c r="X16" s="1212"/>
      <c r="Y16" s="1212"/>
      <c r="Z16" s="1212"/>
      <c r="AA16" s="1212"/>
      <c r="AB16" s="1212"/>
      <c r="AC16" s="1213"/>
      <c r="AD16" s="2785"/>
      <c r="AE16" s="2785"/>
      <c r="AF16" s="2785"/>
      <c r="AG16" s="2785"/>
      <c r="AH16" s="2785"/>
      <c r="AI16" s="2785"/>
      <c r="AJ16" s="2786"/>
    </row>
    <row r="17" spans="1:37">
      <c r="A17" s="3326" t="s">
        <v>3251</v>
      </c>
      <c r="B17" s="3317" t="s">
        <v>3252</v>
      </c>
      <c r="C17" s="3327">
        <f>ROUND(IF(OR(E2="工业",E2="公共服务"),1,IF(AND(E18=0,E19=0),1,IF(AND(E18=J24,E19=G19),0.8,IF(E19=0,1+E17*(-0.2),1+E17*G17*(-0.2))))),4)</f>
        <v>1</v>
      </c>
      <c r="D17" s="3318" t="s">
        <v>3253</v>
      </c>
      <c r="E17" s="3327" t="e">
        <f>ROUND(G18/I18,2)</f>
        <v>#DIV/0!</v>
      </c>
      <c r="F17" s="3318" t="s">
        <v>3256</v>
      </c>
      <c r="G17" s="3327" t="e">
        <f>ROUND(E19/G19,2)</f>
        <v>#DIV/0!</v>
      </c>
      <c r="H17" s="3327"/>
      <c r="I17" s="3327"/>
      <c r="J17" s="3328"/>
      <c r="K17" s="1116"/>
      <c r="L17" s="1993"/>
      <c r="M17" s="1993"/>
      <c r="N17" s="1993"/>
      <c r="O17" s="1993"/>
      <c r="P17" s="1993"/>
      <c r="Q17" s="1116"/>
      <c r="R17" s="1116"/>
      <c r="S17" s="1116"/>
      <c r="T17" s="1116"/>
      <c r="U17" s="1116"/>
      <c r="V17" s="1116"/>
      <c r="W17" s="1116"/>
      <c r="X17" s="1116"/>
      <c r="Y17" s="1116"/>
      <c r="Z17" s="1117"/>
      <c r="AA17" s="1117"/>
      <c r="AB17" s="1117"/>
      <c r="AC17" s="1117"/>
      <c r="AD17" s="1117"/>
      <c r="AE17" s="1116"/>
      <c r="AF17" s="1116"/>
      <c r="AG17" s="1993"/>
      <c r="AH17" s="1993"/>
      <c r="AI17" s="1993"/>
      <c r="AJ17" s="1993"/>
    </row>
    <row r="18" spans="1:37" s="2010" customFormat="1" ht="14.25">
      <c r="A18" s="3329"/>
      <c r="B18" s="3006"/>
      <c r="C18" s="3324"/>
      <c r="D18" s="3319" t="s">
        <v>3254</v>
      </c>
      <c r="E18" s="3325"/>
      <c r="F18" s="3320" t="s">
        <v>3257</v>
      </c>
      <c r="G18" s="3324">
        <f>ROUND(1-(1/(POWER(1+G24,E18))),4)</f>
        <v>0</v>
      </c>
      <c r="H18" s="3320" t="s">
        <v>3259</v>
      </c>
      <c r="I18" s="3324">
        <f>ROUND(1-(1/(POWER(1+G24,J24))),4)</f>
        <v>0</v>
      </c>
      <c r="J18" s="3330"/>
      <c r="K18" s="1116"/>
      <c r="L18" s="1993"/>
      <c r="M18" s="1993"/>
      <c r="N18" s="1993"/>
      <c r="O18" s="1993"/>
      <c r="P18" s="1993"/>
      <c r="Q18" s="1116"/>
      <c r="R18" s="1121"/>
      <c r="S18" s="1121"/>
      <c r="T18" s="1117"/>
      <c r="U18" s="1117"/>
      <c r="V18" s="1117"/>
      <c r="W18" s="1116"/>
      <c r="X18" s="1116"/>
      <c r="Y18" s="1116"/>
      <c r="Z18" s="1122"/>
      <c r="AA18" s="1122"/>
      <c r="AB18" s="1122"/>
      <c r="AC18" s="1122"/>
      <c r="AD18" s="1122"/>
      <c r="AE18" s="1117"/>
      <c r="AF18" s="1117"/>
      <c r="AG18" s="2137"/>
      <c r="AH18" s="2137"/>
      <c r="AI18" s="2137"/>
      <c r="AJ18" s="2784"/>
    </row>
    <row r="19" spans="1:37" s="2010" customFormat="1" ht="15" thickBot="1">
      <c r="A19" s="3331"/>
      <c r="B19" s="3332"/>
      <c r="C19" s="3333"/>
      <c r="D19" s="3333" t="s">
        <v>3255</v>
      </c>
      <c r="E19" s="3334"/>
      <c r="F19" s="3335" t="s">
        <v>3258</v>
      </c>
      <c r="G19" s="3334"/>
      <c r="H19" s="3333"/>
      <c r="I19" s="3333"/>
      <c r="J19" s="3336"/>
      <c r="K19" s="1116"/>
      <c r="L19" s="1993"/>
      <c r="M19" s="1993"/>
      <c r="N19" s="1993"/>
      <c r="O19" s="1993"/>
      <c r="P19" s="1993"/>
      <c r="Q19" s="1121"/>
      <c r="R19" s="1121"/>
      <c r="S19" s="1121"/>
      <c r="T19" s="1117"/>
      <c r="U19" s="1117"/>
      <c r="V19" s="1117"/>
      <c r="W19" s="1116"/>
      <c r="X19" s="1116"/>
      <c r="Y19" s="1116"/>
      <c r="Z19" s="1122"/>
      <c r="AA19" s="1122"/>
      <c r="AB19" s="1122"/>
      <c r="AC19" s="1122"/>
      <c r="AD19" s="1122"/>
      <c r="AE19" s="1122"/>
      <c r="AF19" s="1121"/>
      <c r="AG19" s="2787"/>
      <c r="AH19" s="2137"/>
      <c r="AI19" s="2788"/>
      <c r="AJ19" s="2788"/>
      <c r="AK19" s="2053"/>
    </row>
    <row r="20" spans="1:37" s="2010" customFormat="1" ht="14.25">
      <c r="A20" s="3816" t="s">
        <v>3260</v>
      </c>
      <c r="B20" s="167" t="s">
        <v>1994</v>
      </c>
      <c r="C20" s="3321" t="e">
        <f>ROUND(IF(F21="与级别开发程度一致",0,(G21-E21)/C21),0)</f>
        <v>#DIV/0!</v>
      </c>
      <c r="D20" s="3337" t="s">
        <v>1998</v>
      </c>
      <c r="E20" s="3338"/>
      <c r="F20" s="3822" t="s">
        <v>1995</v>
      </c>
      <c r="G20" s="3823"/>
      <c r="H20" s="3322"/>
      <c r="I20" s="3322"/>
      <c r="J20" s="3323"/>
      <c r="K20" s="2043"/>
      <c r="L20" s="2043"/>
      <c r="M20" s="2043"/>
      <c r="N20" s="2043"/>
      <c r="O20" s="2044"/>
      <c r="P20" s="1993"/>
      <c r="Q20" s="1121"/>
      <c r="R20" s="1121"/>
      <c r="S20" s="1121"/>
      <c r="T20" s="1117"/>
      <c r="U20" s="1117"/>
      <c r="V20" s="1117"/>
      <c r="W20" s="1116"/>
      <c r="X20" s="1116"/>
      <c r="Y20" s="1116"/>
      <c r="Z20" s="1122"/>
      <c r="AA20" s="1122"/>
      <c r="AB20" s="1122"/>
      <c r="AC20" s="1122"/>
      <c r="AD20" s="1122"/>
      <c r="AE20" s="1122"/>
      <c r="AF20" s="1122"/>
      <c r="AG20" s="2784"/>
      <c r="AH20" s="2784"/>
      <c r="AI20" s="2784"/>
      <c r="AJ20" s="2784"/>
    </row>
    <row r="21" spans="1:37" s="2010" customFormat="1" ht="15" thickBot="1">
      <c r="A21" s="3817"/>
      <c r="B21" s="2160" t="s">
        <v>1997</v>
      </c>
      <c r="C21" s="2161">
        <f>IF(E3="M4科研用地",SUMPRODUCT((修正!A2:A7=E3)*(修正!B1:M1=G2)*(修正!B2:M7)),SUMPRODUCT((修正!A2:A7=E2)*(修正!B1:M1=G2)*(修正!B2:M7)))</f>
        <v>0</v>
      </c>
      <c r="D21" s="187" t="str">
        <f>IF(OR(G2="八级",G2="九级",G2="十级",G2="十一级",G2="十二级"),"五通一平","七通一平")</f>
        <v>七通一平</v>
      </c>
      <c r="E21" s="2151">
        <f>SUMPRODUCT((修正!B1:M1=G2)*(修正!B17:M17))</f>
        <v>0</v>
      </c>
      <c r="F21" s="2152"/>
      <c r="G21" s="2153">
        <f>SUM(H21:O21)</f>
        <v>0</v>
      </c>
      <c r="H21" s="2161">
        <f>SUMPRODUCT((七通一平=H20)*(修正!B1:M1=G2)*(修正!B8:M16))</f>
        <v>0</v>
      </c>
      <c r="I21" s="2161">
        <f>SUMPRODUCT((七通一平=I20)*(修正!B1:M1=G2)*(修正!B8:M16))</f>
        <v>0</v>
      </c>
      <c r="J21" s="2162">
        <f>SUMPRODUCT((七通一平=J20)*(修正!B1:M1=G2)*(修正!B8:M16))</f>
        <v>0</v>
      </c>
      <c r="K21" s="2161">
        <f>SUMPRODUCT((七通一平=K20)*(修正!B1:M1=G2)*(修正!B8:M16))</f>
        <v>0</v>
      </c>
      <c r="L21" s="2161">
        <f>SUMPRODUCT((七通一平=L20)*(修正!B1:M1=G2)*(修正!B8:M16))</f>
        <v>0</v>
      </c>
      <c r="M21" s="2161">
        <f>SUMPRODUCT((七通一平=M20)*(修正!B1:M1=G2)*(修正!B8:M16))</f>
        <v>0</v>
      </c>
      <c r="N21" s="2161">
        <f>SUMPRODUCT((七通一平=N20)*(修正!B1:M1=G2)*(修正!B8:M16))</f>
        <v>0</v>
      </c>
      <c r="O21" s="2163">
        <f>SUMPRODUCT((七通一平=O20)*(修正!B1:M1=G2)*(修正!B8:M16))</f>
        <v>0</v>
      </c>
      <c r="P21" s="1993"/>
      <c r="Q21" s="2784"/>
      <c r="R21" s="1121"/>
      <c r="S21" s="1121"/>
      <c r="T21" s="1117"/>
      <c r="U21" s="1117"/>
      <c r="V21" s="1117"/>
      <c r="W21" s="1116"/>
      <c r="X21" s="1116"/>
      <c r="Y21" s="1116"/>
      <c r="Z21" s="1122"/>
      <c r="AA21" s="1122"/>
      <c r="AB21" s="1122"/>
      <c r="AC21" s="1122"/>
      <c r="AD21" s="1122"/>
      <c r="AE21" s="1122"/>
      <c r="AF21" s="1122"/>
      <c r="AG21" s="2784"/>
      <c r="AH21" s="2784"/>
      <c r="AI21" s="2784"/>
      <c r="AJ21" s="2784"/>
    </row>
    <row r="22" spans="1:37" s="2010" customFormat="1" ht="15.75" thickBot="1">
      <c r="A22" s="2154" t="s">
        <v>363</v>
      </c>
      <c r="B22" s="2155" t="s">
        <v>2000</v>
      </c>
      <c r="C22" s="2156">
        <f>SUMIF(修正!C20:C51,E3,修正!E20:E51)</f>
        <v>0</v>
      </c>
      <c r="D22" s="2157"/>
      <c r="E22" s="2158"/>
      <c r="F22" s="2158"/>
      <c r="G22" s="2158"/>
      <c r="H22" s="2158"/>
      <c r="I22" s="2158"/>
      <c r="J22" s="2159"/>
      <c r="K22" s="1122"/>
      <c r="L22" s="2784"/>
      <c r="M22" s="2784"/>
      <c r="N22" s="2784"/>
      <c r="O22" s="1120"/>
      <c r="P22" s="1120"/>
      <c r="Q22" s="2784"/>
      <c r="R22" s="1121"/>
      <c r="S22" s="1121"/>
      <c r="T22" s="1117"/>
      <c r="U22" s="1117"/>
      <c r="V22" s="1117"/>
      <c r="W22" s="1116"/>
      <c r="X22" s="1116"/>
      <c r="Y22" s="1116"/>
      <c r="Z22" s="1122"/>
      <c r="AA22" s="1122"/>
      <c r="AB22" s="1122"/>
      <c r="AC22" s="1122"/>
      <c r="AD22" s="1122"/>
      <c r="AE22" s="1122"/>
      <c r="AF22" s="1122"/>
      <c r="AG22" s="2784"/>
      <c r="AH22" s="2784"/>
      <c r="AI22" s="2784"/>
      <c r="AJ22" s="2784"/>
    </row>
    <row r="23" spans="1:37" ht="26.25" thickBot="1">
      <c r="A23" s="2046" t="s">
        <v>364</v>
      </c>
      <c r="B23" s="2047" t="s">
        <v>2001</v>
      </c>
      <c r="C23" s="75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0" t="s">
        <v>2002</v>
      </c>
      <c r="E23" s="758">
        <v>44197</v>
      </c>
      <c r="F23" s="2050" t="s">
        <v>2003</v>
      </c>
      <c r="G23" s="759">
        <f>'数据-取费表'!B2</f>
        <v>45005</v>
      </c>
      <c r="H23" s="3339" t="s">
        <v>3262</v>
      </c>
      <c r="I23" s="3340" t="str">
        <f>IF(H23="季度增幅（自定义）",SUMIF(N25:N28,E2,O25:O28),"")</f>
        <v/>
      </c>
      <c r="J23" s="3442" t="s">
        <v>3261</v>
      </c>
      <c r="K23" s="1122"/>
      <c r="L23" s="2051" t="s">
        <v>2004</v>
      </c>
      <c r="M23" s="1324">
        <f>ROUND(SUMIF(地价!B2:G2,E2,地价!B16:G16),0)</f>
        <v>0</v>
      </c>
      <c r="N23" s="2052" t="s">
        <v>2005</v>
      </c>
      <c r="O23" s="760">
        <f>ROUNDDOWN(DATEDIF(E23,G23,"M")/3,0)</f>
        <v>8</v>
      </c>
      <c r="P23" s="1119"/>
      <c r="Q23" s="2784"/>
      <c r="R23" s="1121"/>
      <c r="S23" s="1121"/>
      <c r="T23" s="1117"/>
      <c r="U23" s="1117"/>
      <c r="V23" s="1117"/>
      <c r="W23" s="1116"/>
      <c r="X23" s="1116"/>
      <c r="Y23" s="1116"/>
      <c r="Z23" s="1122"/>
      <c r="AA23" s="1122"/>
      <c r="AB23" s="1122"/>
      <c r="AC23" s="1122"/>
      <c r="AD23" s="1122"/>
      <c r="AE23" s="1117"/>
      <c r="AF23" s="1117"/>
      <c r="AG23" s="2137"/>
      <c r="AH23" s="2137"/>
      <c r="AI23" s="2137"/>
      <c r="AJ23" s="2137"/>
      <c r="AK23" s="2049"/>
    </row>
    <row r="24" spans="1:37" s="2010" customFormat="1" ht="24.75" thickBot="1">
      <c r="A24" s="2054" t="s">
        <v>365</v>
      </c>
      <c r="B24" s="2055" t="s">
        <v>2006</v>
      </c>
      <c r="C24" s="761" t="e">
        <f>ROUND(POWER(1+G24,J24-I24)*(POWER(1+G24,I24)-1)/(POWER(1+G24,J24)-1),4)</f>
        <v>#DIV/0!</v>
      </c>
      <c r="D24" s="2056" t="s">
        <v>2007</v>
      </c>
      <c r="E24" s="1331">
        <f>存贷款利率!E22/100</f>
        <v>4.3499999999999997E-2</v>
      </c>
      <c r="F24" s="2056" t="s">
        <v>1999</v>
      </c>
      <c r="G24" s="765">
        <f>SUMIF(M30:Q30,E2,M33:Q33)</f>
        <v>0</v>
      </c>
      <c r="H24" s="2056" t="s">
        <v>2008</v>
      </c>
      <c r="I24" s="766" t="e">
        <f>SUMIF('数据-取费表'!C6:C15,E2,'数据-取费表'!F6:F15)/COUNTIF('数据-取费表'!C6:C15,E2)</f>
        <v>#DIV/0!</v>
      </c>
      <c r="J24" s="767">
        <f>IF(E2="住宅",70,IF(E2="商业",40,50))</f>
        <v>50</v>
      </c>
      <c r="K24" s="1122"/>
      <c r="L24" s="2057" t="s">
        <v>2009</v>
      </c>
      <c r="M24" s="1325">
        <f>ROUND(SUMPRODUCT((地价!A4:A16=YEAR(G23)&amp;"-"&amp;ROUNDUP(MONTH(G23)/3,0))*(地价!B2:G2=E2)*(地价!B4:G16)),0)</f>
        <v>0</v>
      </c>
      <c r="N24" s="2058" t="s">
        <v>2010</v>
      </c>
      <c r="O24" s="2059" t="s">
        <v>2011</v>
      </c>
      <c r="P24" s="2060" t="s">
        <v>2012</v>
      </c>
      <c r="Q24" s="1993"/>
      <c r="R24" s="1121"/>
      <c r="S24" s="1121"/>
      <c r="T24" s="1117"/>
      <c r="U24" s="1117"/>
      <c r="V24" s="1117"/>
      <c r="W24" s="1116"/>
      <c r="X24" s="1116"/>
      <c r="Y24" s="1116"/>
      <c r="Z24" s="1122"/>
      <c r="AA24" s="1122"/>
      <c r="AB24" s="1122"/>
      <c r="AC24" s="1122"/>
      <c r="AD24" s="1122"/>
      <c r="AE24" s="1122"/>
      <c r="AF24" s="1122"/>
      <c r="AG24" s="2784"/>
      <c r="AH24" s="2784"/>
      <c r="AI24" s="2784"/>
      <c r="AJ24" s="2784"/>
    </row>
    <row r="25" spans="1:37" ht="15">
      <c r="A25" s="2061" t="s">
        <v>366</v>
      </c>
      <c r="B25" s="2062" t="s">
        <v>3341</v>
      </c>
      <c r="C25" s="768">
        <f>IF(B25="容积率修正",IF(G3&lt;10,D26,J26),C27)</f>
        <v>0</v>
      </c>
      <c r="D25" s="2063"/>
      <c r="E25" s="2063"/>
      <c r="F25" s="2063"/>
      <c r="G25" s="2063"/>
      <c r="H25" s="2063"/>
      <c r="I25" s="2063"/>
      <c r="J25" s="2064"/>
      <c r="K25" s="1122"/>
      <c r="L25" s="2784"/>
      <c r="M25" s="2784"/>
      <c r="N25" s="2065" t="s">
        <v>2013</v>
      </c>
      <c r="O25" s="1170"/>
      <c r="P25" s="1171">
        <f>SUMPRODUCT((地价!A3:A40=YEAR(G23)&amp;"-"&amp;ROUNDUP(MONTH(G23)/3,0))*(地价!AD2:AH2=N25)*(地价!AD3:AH40))</f>
        <v>0</v>
      </c>
      <c r="Q25" s="2784"/>
      <c r="R25" s="1121"/>
      <c r="S25" s="1121"/>
      <c r="T25" s="1117"/>
      <c r="U25" s="1117"/>
      <c r="V25" s="1117"/>
      <c r="W25" s="1116"/>
      <c r="X25" s="1116"/>
      <c r="Y25" s="1116"/>
      <c r="Z25" s="1122"/>
      <c r="AA25" s="1122"/>
      <c r="AB25" s="1122"/>
      <c r="AC25" s="1122"/>
      <c r="AD25" s="1122"/>
      <c r="AE25" s="1117"/>
      <c r="AF25" s="1117"/>
      <c r="AG25" s="2137"/>
      <c r="AH25" s="2137"/>
      <c r="AI25" s="2137"/>
      <c r="AJ25" s="2137"/>
    </row>
    <row r="26" spans="1:37" ht="14.25">
      <c r="A26" s="1951" t="s">
        <v>2014</v>
      </c>
      <c r="B26" s="2066" t="s">
        <v>2015</v>
      </c>
      <c r="C26" s="3341" t="s">
        <v>3263</v>
      </c>
      <c r="D26" s="1348" t="str">
        <f>IF(E26=G26,F26,IF(G3&lt;10,ROUND(F26+(H26-F26)*(G3-E26)/(G26-E26),4),"——"))</f>
        <v>——</v>
      </c>
      <c r="E26" s="749">
        <f>ROUNDDOWN(G3,1)</f>
        <v>10.6</v>
      </c>
      <c r="F26" s="1348" t="str">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v>
      </c>
      <c r="G26" s="749">
        <f>ROUNDUP(G3,1)</f>
        <v>10.7</v>
      </c>
      <c r="H26" s="1348" t="str">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v>
      </c>
      <c r="I26" s="3341" t="s">
        <v>3264</v>
      </c>
      <c r="J26" s="769">
        <f>IF(G3&gt;=10,D115,"——")</f>
        <v>0</v>
      </c>
      <c r="K26" s="1122"/>
      <c r="L26" s="2784"/>
      <c r="M26" s="2784"/>
      <c r="N26" s="2065" t="s">
        <v>2016</v>
      </c>
      <c r="O26" s="1170"/>
      <c r="P26" s="1171">
        <f>SUMPRODUCT((地价!A3:A40=YEAR(G23)&amp;"-"&amp;ROUNDUP(MONTH(G23)/3,0))*(地价!AD2:AH2=N26)*(地价!AD3:AH40))</f>
        <v>0</v>
      </c>
      <c r="Q26" s="1993"/>
      <c r="R26" s="1121"/>
      <c r="S26" s="1121"/>
      <c r="T26" s="1117"/>
      <c r="U26" s="1117"/>
      <c r="V26" s="1117"/>
      <c r="W26" s="1116"/>
      <c r="X26" s="1116"/>
      <c r="Y26" s="1116"/>
      <c r="Z26" s="1122"/>
      <c r="AA26" s="1122"/>
      <c r="AB26" s="1122"/>
      <c r="AC26" s="1122"/>
      <c r="AD26" s="1122"/>
      <c r="AE26" s="1117"/>
      <c r="AF26" s="1117"/>
      <c r="AG26" s="2137"/>
      <c r="AH26" s="2137"/>
      <c r="AI26" s="2137"/>
      <c r="AJ26" s="2137"/>
    </row>
    <row r="27" spans="1:37" ht="15.75" thickBot="1">
      <c r="A27" s="1951" t="s">
        <v>2017</v>
      </c>
      <c r="B27" s="2067" t="s">
        <v>2018</v>
      </c>
      <c r="C27" s="838">
        <f>ROUND(IF(I3&lt;6,SUMPRODUCT((B106:B110=I3)*(C105:N105=G2)*(C106:N110)),SUMIF(C105:N105,G2,C112:N112)),4)</f>
        <v>0</v>
      </c>
      <c r="D27" s="2042"/>
      <c r="E27" s="2042"/>
      <c r="F27" s="2068"/>
      <c r="G27" s="2069"/>
      <c r="H27" s="2070"/>
      <c r="I27" s="2071"/>
      <c r="J27" s="2072"/>
      <c r="K27" s="1116"/>
      <c r="L27" s="1993"/>
      <c r="M27" s="1993"/>
      <c r="N27" s="2065" t="s">
        <v>2019</v>
      </c>
      <c r="O27" s="1170"/>
      <c r="P27" s="1171">
        <f>SUMPRODUCT((地价!A3:A40=YEAR(G23)&amp;"-"&amp;ROUNDUP(MONTH(G23)/3,0))*(地价!AD2:AH2=N27)*(地价!AD3:AH40))</f>
        <v>0</v>
      </c>
      <c r="Q27" s="1993"/>
      <c r="R27" s="1121"/>
      <c r="S27" s="1121"/>
      <c r="T27" s="1117"/>
      <c r="U27" s="1117"/>
      <c r="V27" s="1117"/>
      <c r="W27" s="1116"/>
      <c r="X27" s="1116"/>
      <c r="Y27" s="1116"/>
      <c r="Z27" s="1122"/>
      <c r="AA27" s="1122"/>
      <c r="AB27" s="1122"/>
      <c r="AC27" s="1122"/>
      <c r="AD27" s="1122"/>
      <c r="AE27" s="1117"/>
      <c r="AF27" s="1117"/>
      <c r="AG27" s="2137"/>
      <c r="AH27" s="2137"/>
      <c r="AI27" s="2137"/>
      <c r="AJ27" s="2137"/>
    </row>
    <row r="28" spans="1:37" ht="15.75" thickBot="1">
      <c r="A28" s="2054" t="s">
        <v>367</v>
      </c>
      <c r="B28" s="2047" t="s">
        <v>2020</v>
      </c>
      <c r="C28" s="757">
        <f>SUMIF(A47:A101,E2,B47:B101)</f>
        <v>0</v>
      </c>
      <c r="D28" s="2048"/>
      <c r="E28" s="2073"/>
      <c r="F28" s="2073"/>
      <c r="G28" s="2073"/>
      <c r="H28" s="2073"/>
      <c r="I28" s="2073"/>
      <c r="J28" s="2074"/>
      <c r="K28" s="1122"/>
      <c r="L28" s="2784"/>
      <c r="M28" s="2784"/>
      <c r="N28" s="2075" t="s">
        <v>2021</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7"/>
      <c r="AH28" s="2137"/>
      <c r="AI28" s="2137"/>
      <c r="AJ28" s="2137"/>
    </row>
    <row r="29" spans="1:37" ht="15.75" thickBot="1">
      <c r="A29" s="2054" t="s">
        <v>368</v>
      </c>
      <c r="B29" s="2076" t="s">
        <v>2022</v>
      </c>
      <c r="C29" s="762"/>
      <c r="D29" s="2020"/>
      <c r="E29" s="2020"/>
      <c r="F29" s="2077"/>
      <c r="G29" s="2020"/>
      <c r="H29" s="2020"/>
      <c r="I29" s="2020"/>
      <c r="J29" s="2021"/>
      <c r="K29" s="1116"/>
      <c r="L29" s="1993"/>
      <c r="M29" s="1993"/>
      <c r="N29" s="2781" t="s">
        <v>2023</v>
      </c>
      <c r="O29" s="2782"/>
      <c r="P29" s="2783">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3"/>
      <c r="AH29" s="1993"/>
      <c r="AI29" s="1993"/>
      <c r="AJ29" s="1993"/>
    </row>
    <row r="30" spans="1:37" ht="15">
      <c r="A30" s="2078"/>
      <c r="B30" s="2066" t="s">
        <v>2024</v>
      </c>
      <c r="C30" s="2317" t="e">
        <f>IF(B25="容积率修正",E33+SUM(E37:E42),SUM(V2:V16)+SUM(E37:E42))</f>
        <v>#DIV/0!</v>
      </c>
      <c r="D30" s="2079"/>
      <c r="E30" s="2042"/>
      <c r="F30" s="2080"/>
      <c r="G30" s="2042"/>
      <c r="H30" s="2042"/>
      <c r="I30" s="2042"/>
      <c r="J30" s="2081"/>
      <c r="K30" s="1116"/>
      <c r="L30" s="3347" t="s">
        <v>1936</v>
      </c>
      <c r="M30" s="3348" t="s">
        <v>1990</v>
      </c>
      <c r="N30" s="3348" t="s">
        <v>1991</v>
      </c>
      <c r="O30" s="3348" t="s">
        <v>1992</v>
      </c>
      <c r="P30" s="3348" t="s">
        <v>1993</v>
      </c>
      <c r="Q30" s="3351" t="s">
        <v>3268</v>
      </c>
      <c r="R30" s="1121"/>
      <c r="S30" s="1121"/>
      <c r="T30" s="1117"/>
      <c r="U30" s="1117"/>
      <c r="V30" s="1117"/>
      <c r="W30" s="1116"/>
      <c r="X30" s="1116"/>
      <c r="Y30" s="1116"/>
      <c r="Z30" s="1122"/>
      <c r="AA30" s="1122"/>
      <c r="AB30" s="1122"/>
      <c r="AC30" s="1122"/>
      <c r="AD30" s="1122"/>
      <c r="AE30" s="1116"/>
      <c r="AF30" s="1116"/>
      <c r="AG30" s="1993"/>
      <c r="AH30" s="1993"/>
      <c r="AI30" s="1993"/>
      <c r="AJ30" s="1993"/>
    </row>
    <row r="31" spans="1:37" ht="15.75" thickBot="1">
      <c r="A31" s="2078"/>
      <c r="B31" s="2082" t="s">
        <v>2025</v>
      </c>
      <c r="C31" s="763" t="e">
        <f>E34+SUM(I37:I42)</f>
        <v>#DIV/0!</v>
      </c>
      <c r="D31" s="2083"/>
      <c r="E31" s="2084"/>
      <c r="F31" s="2085"/>
      <c r="G31" s="2084"/>
      <c r="H31" s="2084"/>
      <c r="I31" s="2084"/>
      <c r="J31" s="2086"/>
      <c r="K31" s="1116"/>
      <c r="L31" s="3349" t="s">
        <v>1996</v>
      </c>
      <c r="M31" s="1996">
        <v>0.25</v>
      </c>
      <c r="N31" s="1996">
        <v>0.2</v>
      </c>
      <c r="O31" s="1996">
        <v>0.15</v>
      </c>
      <c r="P31" s="1996">
        <v>0.1</v>
      </c>
      <c r="Q31" s="3344">
        <v>0.15</v>
      </c>
      <c r="R31" s="1121"/>
      <c r="S31" s="1121"/>
      <c r="T31" s="1117"/>
      <c r="U31" s="1117"/>
      <c r="V31" s="1117"/>
      <c r="W31" s="1116"/>
      <c r="X31" s="1116"/>
      <c r="Y31" s="1116"/>
      <c r="Z31" s="1122"/>
      <c r="AA31" s="1122"/>
      <c r="AB31" s="1122"/>
      <c r="AC31" s="1122"/>
      <c r="AD31" s="1122"/>
      <c r="AE31" s="1116"/>
      <c r="AF31" s="1116"/>
      <c r="AG31" s="1993"/>
      <c r="AH31" s="1993"/>
      <c r="AI31" s="1993"/>
      <c r="AJ31" s="1993"/>
    </row>
    <row r="32" spans="1:37" ht="15.75" thickBot="1">
      <c r="A32" s="2087"/>
      <c r="B32" s="2088" t="s">
        <v>2026</v>
      </c>
      <c r="C32" s="2089" t="s">
        <v>2027</v>
      </c>
      <c r="D32" s="2089" t="s">
        <v>2028</v>
      </c>
      <c r="E32" s="2090" t="s">
        <v>2029</v>
      </c>
      <c r="F32" s="2091"/>
      <c r="G32" s="2033"/>
      <c r="H32" s="2033"/>
      <c r="I32" s="2033"/>
      <c r="J32" s="2034"/>
      <c r="K32" s="1116"/>
      <c r="L32" s="3350" t="s">
        <v>1999</v>
      </c>
      <c r="M32" s="2566">
        <f>ROUND($E$24*(1+M31),3)</f>
        <v>5.3999999999999999E-2</v>
      </c>
      <c r="N32" s="2566">
        <f>ROUND($E$24*(1+N31),3)</f>
        <v>5.1999999999999998E-2</v>
      </c>
      <c r="O32" s="2566">
        <f>ROUND($E$24*(1+O31),3)</f>
        <v>0.05</v>
      </c>
      <c r="P32" s="2566">
        <f>ROUND($E$24*(1+P31),3)</f>
        <v>4.8000000000000001E-2</v>
      </c>
      <c r="Q32" s="3352">
        <f>ROUND($E$24*(1+Q31),3)</f>
        <v>0.05</v>
      </c>
      <c r="R32" s="1121"/>
      <c r="S32" s="1121"/>
      <c r="T32" s="1117"/>
      <c r="U32" s="1117"/>
      <c r="V32" s="1117"/>
      <c r="W32" s="1116"/>
      <c r="X32" s="1116"/>
      <c r="Y32" s="1116"/>
      <c r="Z32" s="1122"/>
      <c r="AA32" s="1122"/>
      <c r="AB32" s="1122"/>
      <c r="AC32" s="1122"/>
      <c r="AD32" s="1122"/>
      <c r="AE32" s="1116"/>
      <c r="AF32" s="1116"/>
      <c r="AG32" s="1993"/>
      <c r="AH32" s="1993"/>
      <c r="AI32" s="1993"/>
      <c r="AJ32" s="1993"/>
    </row>
    <row r="33" spans="1:37" ht="14.25">
      <c r="A33" s="2092"/>
      <c r="B33" s="2093" t="s">
        <v>2030</v>
      </c>
      <c r="C33" s="175" t="e">
        <f>ROUND(C5*C22*C23*C24*C25*C28,0)</f>
        <v>#DIV/0!</v>
      </c>
      <c r="D33" s="2094"/>
      <c r="E33" s="770" t="e">
        <f>ROUND(C33*D33/10000,0)</f>
        <v>#DIV/0!</v>
      </c>
      <c r="F33" s="3342" t="s">
        <v>3266</v>
      </c>
      <c r="G33" s="2095"/>
      <c r="H33" s="2095"/>
      <c r="I33" s="2095"/>
      <c r="J33" s="2096"/>
      <c r="K33" s="1116"/>
      <c r="L33" s="3345" t="s">
        <v>3269</v>
      </c>
      <c r="M33" s="3346">
        <v>5.5E-2</v>
      </c>
      <c r="N33" s="3346">
        <v>5.5E-2</v>
      </c>
      <c r="O33" s="3346">
        <v>0.05</v>
      </c>
      <c r="P33" s="3346">
        <v>0.05</v>
      </c>
      <c r="Q33" s="3346">
        <v>0.05</v>
      </c>
      <c r="R33" s="1121"/>
      <c r="S33" s="1121"/>
      <c r="T33" s="1117"/>
      <c r="U33" s="1117"/>
      <c r="V33" s="1117"/>
      <c r="W33" s="1116"/>
      <c r="X33" s="1116"/>
      <c r="Y33" s="1116"/>
      <c r="Z33" s="1122"/>
      <c r="AA33" s="1122"/>
      <c r="AB33" s="1122"/>
      <c r="AC33" s="1122"/>
      <c r="AD33" s="1122"/>
      <c r="AE33" s="1117"/>
      <c r="AF33" s="1117"/>
      <c r="AG33" s="2137"/>
      <c r="AH33" s="2137"/>
      <c r="AI33" s="2137"/>
      <c r="AJ33" s="2137"/>
    </row>
    <row r="34" spans="1:37" ht="25.5" thickBot="1">
      <c r="A34" s="2097"/>
      <c r="B34" s="2098" t="s">
        <v>2031</v>
      </c>
      <c r="C34" s="187" t="e">
        <f>ROUND(IF(E2="工业",C33*M42,IF(B25="楼层修正",SUM(V2:V16)*M41*10000/D34,C33*M41)),0)</f>
        <v>#DIV/0!</v>
      </c>
      <c r="D34" s="2099"/>
      <c r="E34" s="770" t="e">
        <f>ROUND(IF(B25="楼层修正",SUM(V2:V16)*M40,C34*D34/10000),0)</f>
        <v>#DIV/0!</v>
      </c>
      <c r="F34" s="2100" t="s">
        <v>2032</v>
      </c>
      <c r="G34" s="2101"/>
      <c r="H34" s="2101"/>
      <c r="I34" s="2101"/>
      <c r="J34" s="2102"/>
      <c r="K34" s="1116"/>
      <c r="L34" s="3345" t="s">
        <v>3270</v>
      </c>
      <c r="M34" s="3346">
        <v>6.5000000000000002E-2</v>
      </c>
      <c r="N34" s="3346">
        <v>6.5000000000000002E-2</v>
      </c>
      <c r="O34" s="3346">
        <v>0.06</v>
      </c>
      <c r="P34" s="3346">
        <v>0.06</v>
      </c>
      <c r="Q34" s="3346">
        <v>0.06</v>
      </c>
      <c r="R34" s="1121"/>
      <c r="S34" s="1121"/>
      <c r="T34" s="1117"/>
      <c r="U34" s="1117"/>
      <c r="V34" s="1117"/>
      <c r="W34" s="1116"/>
      <c r="X34" s="1116"/>
      <c r="Y34" s="1116"/>
      <c r="Z34" s="1122"/>
      <c r="AA34" s="1122"/>
      <c r="AB34" s="1122"/>
      <c r="AC34" s="1122"/>
      <c r="AD34" s="1122"/>
      <c r="AE34" s="1117"/>
      <c r="AF34" s="1117"/>
      <c r="AG34" s="2137"/>
      <c r="AH34" s="2137"/>
      <c r="AI34" s="2137"/>
      <c r="AJ34" s="2137"/>
    </row>
    <row r="35" spans="1:37">
      <c r="A35" s="2103"/>
      <c r="B35" s="2104" t="s">
        <v>2033</v>
      </c>
      <c r="C35" s="3343" t="s">
        <v>3267</v>
      </c>
      <c r="D35" s="2033"/>
      <c r="E35" s="2105"/>
      <c r="F35" s="2105"/>
      <c r="G35" s="2031" t="s">
        <v>2034</v>
      </c>
      <c r="H35" s="2033"/>
      <c r="I35" s="2106"/>
      <c r="J35" s="2034"/>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7"/>
      <c r="AH35" s="2137"/>
      <c r="AI35" s="2137"/>
      <c r="AJ35" s="2137"/>
    </row>
    <row r="36" spans="1:37" ht="24.75" thickBot="1">
      <c r="A36" s="2092"/>
      <c r="B36" s="2107"/>
      <c r="C36" s="450" t="s">
        <v>2027</v>
      </c>
      <c r="D36" s="447" t="s">
        <v>2028</v>
      </c>
      <c r="E36" s="447" t="s">
        <v>2029</v>
      </c>
      <c r="F36" s="342" t="s">
        <v>2035</v>
      </c>
      <c r="G36" s="2108" t="s">
        <v>2027</v>
      </c>
      <c r="H36" s="2108" t="s">
        <v>2028</v>
      </c>
      <c r="I36" s="2108" t="s">
        <v>2029</v>
      </c>
      <c r="J36" s="243"/>
      <c r="K36" s="3353" t="s">
        <v>3271</v>
      </c>
      <c r="L36" s="3443">
        <f ca="1">'数据-取费表'!B40</f>
        <v>4.1499999999999995E-2</v>
      </c>
      <c r="M36" s="3354">
        <f ca="1">ROUND($L$36*(1+M31),3)</f>
        <v>5.1999999999999998E-2</v>
      </c>
      <c r="N36" s="3354">
        <f ca="1">ROUND($L$36*(1+N31),3)</f>
        <v>0.05</v>
      </c>
      <c r="O36" s="3354">
        <f ca="1">ROUND($L$36*(1+O31),3)</f>
        <v>4.8000000000000001E-2</v>
      </c>
      <c r="P36" s="3354">
        <f ca="1">ROUND($L$36*(1+P31),3)</f>
        <v>4.5999999999999999E-2</v>
      </c>
      <c r="Q36" s="3354">
        <f ca="1">ROUND($L$36*(1+Q31),3)</f>
        <v>4.8000000000000001E-2</v>
      </c>
      <c r="R36" s="1116"/>
      <c r="S36" s="1116"/>
      <c r="T36" s="1116"/>
      <c r="U36" s="1116"/>
      <c r="V36" s="1116"/>
      <c r="W36" s="1116"/>
      <c r="X36" s="1116"/>
      <c r="Y36" s="1116"/>
      <c r="Z36" s="1117"/>
      <c r="AA36" s="1117"/>
      <c r="AB36" s="1117"/>
      <c r="AC36" s="1117"/>
      <c r="AD36" s="1117"/>
      <c r="AE36" s="1117"/>
      <c r="AF36" s="1117"/>
      <c r="AG36" s="2137"/>
      <c r="AH36" s="2137"/>
      <c r="AI36" s="2137"/>
      <c r="AJ36" s="2137"/>
    </row>
    <row r="37" spans="1:37" ht="24.75" thickBot="1">
      <c r="A37" s="3820"/>
      <c r="B37" s="2109" t="s">
        <v>2036</v>
      </c>
      <c r="C37" s="175" t="e">
        <f>ROUND(D5*C22*C23*C24*C28*F37,0)</f>
        <v>#DIV/0!</v>
      </c>
      <c r="D37" s="2094"/>
      <c r="E37" s="171" t="e">
        <f>ROUND(C37*D37/10000,0)</f>
        <v>#DIV/0!</v>
      </c>
      <c r="F37" s="171">
        <f>SUMIF(修正!A57:A68,G2,修正!B57:B68)</f>
        <v>0</v>
      </c>
      <c r="G37" s="171" t="e">
        <f>ROUND(IF(E2="工业",C37*$M$42,C37*$M$41),0)</f>
        <v>#DIV/0!</v>
      </c>
      <c r="H37" s="171">
        <f>D37</f>
        <v>0</v>
      </c>
      <c r="I37" s="171" t="e">
        <f>ROUND(G37*H37/10000,0)</f>
        <v>#DIV/0!</v>
      </c>
      <c r="J37" s="3008"/>
      <c r="K37" s="3355" t="s">
        <v>3272</v>
      </c>
      <c r="L37" s="3353">
        <f ca="1">L36+K38</f>
        <v>4.6499999999999993E-2</v>
      </c>
      <c r="M37" s="3354">
        <f ca="1">ROUND($L$37*(1+M31),3)</f>
        <v>5.8000000000000003E-2</v>
      </c>
      <c r="N37" s="3354">
        <f t="shared" ref="N37:Q37" ca="1" si="3">ROUND($L$37*(1+N31),3)</f>
        <v>5.6000000000000001E-2</v>
      </c>
      <c r="O37" s="3354">
        <f t="shared" ca="1" si="3"/>
        <v>5.2999999999999999E-2</v>
      </c>
      <c r="P37" s="3354">
        <f t="shared" ca="1" si="3"/>
        <v>5.0999999999999997E-2</v>
      </c>
      <c r="Q37" s="3354">
        <f t="shared" ca="1" si="3"/>
        <v>5.2999999999999999E-2</v>
      </c>
      <c r="R37" s="1116"/>
      <c r="S37" s="1116"/>
      <c r="T37" s="1116"/>
      <c r="U37" s="1116"/>
      <c r="V37" s="1116"/>
      <c r="W37" s="1116"/>
      <c r="X37" s="1116"/>
      <c r="Y37" s="1116"/>
      <c r="Z37" s="1117"/>
      <c r="AA37" s="1117"/>
      <c r="AB37" s="1117"/>
      <c r="AC37" s="1117"/>
      <c r="AD37" s="1117"/>
      <c r="AE37" s="1117"/>
      <c r="AF37" s="1117"/>
      <c r="AG37" s="2137"/>
      <c r="AH37" s="2137"/>
      <c r="AI37" s="2137"/>
      <c r="AJ37" s="2137"/>
    </row>
    <row r="38" spans="1:37">
      <c r="A38" s="3821"/>
      <c r="B38" s="2037" t="s">
        <v>2037</v>
      </c>
      <c r="C38" s="175" t="e">
        <f>ROUND(D5*C22*C23*C24*C28*F38,0)</f>
        <v>#DIV/0!</v>
      </c>
      <c r="D38" s="2094"/>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7"/>
      <c r="K38" s="3353">
        <v>5.0000000000000001E-3</v>
      </c>
      <c r="L38" s="3353"/>
      <c r="M38" s="3353"/>
      <c r="N38" s="3353"/>
      <c r="O38" s="3353"/>
      <c r="P38" s="3353"/>
      <c r="Q38" s="3353"/>
      <c r="R38" s="1116"/>
      <c r="S38" s="1116"/>
      <c r="T38" s="1116"/>
      <c r="U38" s="1116"/>
      <c r="V38" s="1116"/>
      <c r="W38" s="1116"/>
      <c r="X38" s="1116"/>
      <c r="Y38" s="1116"/>
      <c r="Z38" s="1117"/>
      <c r="AA38" s="1117"/>
      <c r="AB38" s="1117"/>
      <c r="AC38" s="1117"/>
      <c r="AD38" s="1117"/>
    </row>
    <row r="39" spans="1:37" ht="13.5" thickBot="1">
      <c r="A39" s="3821"/>
      <c r="B39" s="2037" t="s">
        <v>3265</v>
      </c>
      <c r="C39" s="175" t="e">
        <f>ROUND(D5*C22*C23*C24*C28*F39,0)</f>
        <v>#DIV/0!</v>
      </c>
      <c r="D39" s="2094"/>
      <c r="E39" s="171" t="e">
        <f t="shared" si="4"/>
        <v>#DIV/0!</v>
      </c>
      <c r="F39" s="171">
        <f>SUMIF(修正!A57:A68,G2,修正!D57:D68)</f>
        <v>0</v>
      </c>
      <c r="G39" s="171" t="e">
        <f>ROUND(IF(E2="工业",C39*$M$42,C39*$M$41),0)</f>
        <v>#DIV/0!</v>
      </c>
      <c r="H39" s="171">
        <f t="shared" si="5"/>
        <v>0</v>
      </c>
      <c r="I39" s="171" t="e">
        <f t="shared" si="6"/>
        <v>#DIV/0!</v>
      </c>
      <c r="J39" s="3007"/>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1"/>
      <c r="B40" s="2037" t="s">
        <v>2038</v>
      </c>
      <c r="C40" s="171" t="e">
        <f>ROUND(D5*C22*C23*C24*C28*F40,0)</f>
        <v>#DIV/0!</v>
      </c>
      <c r="D40" s="2094"/>
      <c r="E40" s="171" t="e">
        <f t="shared" si="4"/>
        <v>#DIV/0!</v>
      </c>
      <c r="F40" s="175">
        <f>SUMIF(修正!A57:A68,G2,修正!E57:E68)</f>
        <v>0</v>
      </c>
      <c r="G40" s="171" t="e">
        <f>ROUND(IF(E2="工业",C40*$M$42,C40*$M$41),0)</f>
        <v>#DIV/0!</v>
      </c>
      <c r="H40" s="171">
        <f t="shared" si="5"/>
        <v>0</v>
      </c>
      <c r="I40" s="171" t="e">
        <f t="shared" si="6"/>
        <v>#DIV/0!</v>
      </c>
      <c r="J40" s="2110"/>
      <c r="L40" s="2112" t="s">
        <v>2039</v>
      </c>
      <c r="M40" s="2113"/>
      <c r="Z40" s="1117"/>
      <c r="AA40" s="1117"/>
      <c r="AB40" s="1117"/>
      <c r="AC40" s="1117"/>
      <c r="AD40" s="1117"/>
      <c r="AE40" s="1117"/>
      <c r="AF40" s="1117"/>
      <c r="AG40" s="1117"/>
      <c r="AH40" s="1117"/>
      <c r="AI40" s="1117"/>
      <c r="AJ40" s="1117"/>
    </row>
    <row r="41" spans="1:37" s="1116" customFormat="1">
      <c r="A41" s="2111"/>
      <c r="B41" s="2037" t="s">
        <v>2040</v>
      </c>
      <c r="C41" s="171" t="e">
        <f>ROUND(D5*C22*C23*C44*C28*F41,0)</f>
        <v>#DIV/0!</v>
      </c>
      <c r="D41" s="2094"/>
      <c r="E41" s="171" t="e">
        <f t="shared" si="4"/>
        <v>#DIV/0!</v>
      </c>
      <c r="F41" s="175">
        <f>SUMIF(修正!A57:A68,G2,修正!F57:F68)</f>
        <v>0</v>
      </c>
      <c r="G41" s="171" t="e">
        <f>ROUND(IF(E2="工业",C41*$M$42,C41*$M$41),0)</f>
        <v>#DIV/0!</v>
      </c>
      <c r="H41" s="171">
        <f t="shared" si="5"/>
        <v>0</v>
      </c>
      <c r="I41" s="171" t="e">
        <f t="shared" si="6"/>
        <v>#DIV/0!</v>
      </c>
      <c r="J41" s="2110"/>
      <c r="L41" s="3356" t="s">
        <v>3273</v>
      </c>
      <c r="M41" s="2114">
        <v>0.25</v>
      </c>
      <c r="Z41" s="1117"/>
      <c r="AA41" s="1117"/>
      <c r="AB41" s="1117"/>
      <c r="AC41" s="1117"/>
      <c r="AD41" s="1117"/>
      <c r="AE41" s="1117"/>
      <c r="AF41" s="1117"/>
      <c r="AG41" s="1117"/>
      <c r="AH41" s="1117"/>
      <c r="AI41" s="1117"/>
      <c r="AJ41" s="1117"/>
    </row>
    <row r="42" spans="1:37" s="1116" customFormat="1" ht="13.5" thickBot="1">
      <c r="A42" s="2097"/>
      <c r="B42" s="2115" t="s">
        <v>2041</v>
      </c>
      <c r="C42" s="187" t="e">
        <f>ROUND(D5*C22*C23*C44*C28*F42,0)</f>
        <v>#DIV/0!</v>
      </c>
      <c r="D42" s="2099"/>
      <c r="E42" s="187" t="e">
        <f t="shared" si="4"/>
        <v>#DIV/0!</v>
      </c>
      <c r="F42" s="764">
        <f>SUMIF(修正!A57:A68,G2,修正!G57:G68)</f>
        <v>0</v>
      </c>
      <c r="G42" s="187" t="e">
        <f>ROUND(IF(E2="工业",C42*$M$42,C42*$M$41),0)</f>
        <v>#DIV/0!</v>
      </c>
      <c r="H42" s="187">
        <f t="shared" si="5"/>
        <v>0</v>
      </c>
      <c r="I42" s="187" t="e">
        <f t="shared" si="6"/>
        <v>#DIV/0!</v>
      </c>
      <c r="J42" s="2116"/>
      <c r="L42" s="2117" t="s">
        <v>1993</v>
      </c>
      <c r="M42" s="2118">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0" t="s">
        <v>2121</v>
      </c>
      <c r="C44" s="342" t="e">
        <f>ROUND(POWER(1+E44,H44-G44)*(POWER(1+E44,G44)-1)/(POWER(1+E44,H44)-1),4)</f>
        <v>#DIV/0!</v>
      </c>
      <c r="D44" s="171" t="s">
        <v>1999</v>
      </c>
      <c r="E44" s="2149">
        <f>G24</f>
        <v>0</v>
      </c>
      <c r="F44" s="171" t="s">
        <v>2008</v>
      </c>
      <c r="G44" s="183"/>
      <c r="H44" s="171">
        <v>50</v>
      </c>
      <c r="Z44" s="1117"/>
      <c r="AA44" s="1117"/>
      <c r="AB44" s="1117"/>
      <c r="AC44" s="1117"/>
      <c r="AD44" s="1117"/>
      <c r="AE44" s="1117"/>
      <c r="AF44" s="1117"/>
      <c r="AG44" s="1117"/>
      <c r="AH44" s="1117"/>
      <c r="AI44" s="1117"/>
      <c r="AJ44" s="1117"/>
    </row>
    <row r="45" spans="1:37" s="1116" customFormat="1">
      <c r="A45" s="1117"/>
      <c r="B45" s="2119"/>
      <c r="Z45" s="1117"/>
      <c r="AA45" s="1117"/>
      <c r="AB45" s="1117"/>
      <c r="AC45" s="1117"/>
      <c r="AD45" s="1117"/>
      <c r="AE45" s="1117"/>
      <c r="AF45" s="1117"/>
      <c r="AG45" s="1117"/>
      <c r="AH45" s="1117"/>
      <c r="AI45" s="1117"/>
      <c r="AJ45" s="1117"/>
    </row>
    <row r="46" spans="1:37" s="1116" customFormat="1">
      <c r="A46" s="1117"/>
      <c r="B46" s="2119"/>
      <c r="AA46" s="1117"/>
      <c r="AB46" s="1117"/>
      <c r="AC46" s="1117"/>
      <c r="AD46" s="1117"/>
      <c r="AE46" s="1117"/>
      <c r="AF46" s="1117"/>
      <c r="AG46" s="1117"/>
      <c r="AH46" s="1117"/>
      <c r="AI46" s="1117"/>
      <c r="AJ46" s="1117"/>
      <c r="AK46" s="1117"/>
    </row>
    <row r="47" spans="1:37" s="1116" customFormat="1" ht="15.75" thickBot="1">
      <c r="A47" s="2120" t="s">
        <v>2042</v>
      </c>
      <c r="B47" s="2121"/>
      <c r="C47" s="4"/>
      <c r="D47" s="4"/>
      <c r="E47" s="4"/>
      <c r="F47" s="3"/>
      <c r="G47" s="3"/>
      <c r="H47" s="3"/>
      <c r="I47" s="1817"/>
      <c r="J47" s="1817"/>
      <c r="K47" s="1817"/>
      <c r="L47" s="1817"/>
      <c r="M47" s="1817"/>
      <c r="AA47" s="1117"/>
      <c r="AB47" s="1117"/>
      <c r="AC47" s="1117"/>
      <c r="AD47" s="1117"/>
      <c r="AE47" s="1117"/>
      <c r="AF47" s="1117"/>
      <c r="AG47" s="1117"/>
      <c r="AH47" s="1117"/>
      <c r="AI47" s="1117"/>
      <c r="AJ47" s="1117"/>
      <c r="AK47" s="1117"/>
    </row>
    <row r="48" spans="1:37" s="1116" customFormat="1" ht="15">
      <c r="A48" s="2122" t="s">
        <v>2043</v>
      </c>
      <c r="B48" s="2123">
        <f>1+E50</f>
        <v>1</v>
      </c>
      <c r="C48" s="2124"/>
      <c r="D48" s="738"/>
      <c r="E48" s="739"/>
      <c r="F48" s="2125"/>
      <c r="G48" s="3"/>
      <c r="H48" s="4"/>
      <c r="I48" s="1817"/>
      <c r="J48" s="1817"/>
      <c r="K48" s="1817"/>
      <c r="L48" s="1817"/>
      <c r="M48" s="1817"/>
      <c r="AA48" s="1117"/>
      <c r="AB48" s="1117"/>
      <c r="AC48" s="1117"/>
      <c r="AD48" s="1117"/>
      <c r="AE48" s="1117"/>
      <c r="AF48" s="1117"/>
      <c r="AG48" s="1117"/>
      <c r="AH48" s="1117"/>
      <c r="AI48" s="1117"/>
      <c r="AJ48" s="1117"/>
      <c r="AK48" s="1117"/>
    </row>
    <row r="49" spans="1:37" s="1116" customFormat="1" ht="24.75">
      <c r="A49" s="2126" t="s">
        <v>2044</v>
      </c>
      <c r="B49" s="1347" t="s">
        <v>2045</v>
      </c>
      <c r="C49" s="1347" t="s">
        <v>2046</v>
      </c>
      <c r="D49" s="1347" t="s">
        <v>2047</v>
      </c>
      <c r="E49" s="740" t="s">
        <v>2048</v>
      </c>
      <c r="F49" s="2127" t="s">
        <v>2049</v>
      </c>
      <c r="G49" s="1347" t="s">
        <v>310</v>
      </c>
      <c r="H49" s="2128" t="s">
        <v>2050</v>
      </c>
      <c r="I49" s="1347" t="s">
        <v>2051</v>
      </c>
      <c r="J49" s="552" t="s">
        <v>1721</v>
      </c>
      <c r="K49" s="552" t="s">
        <v>1722</v>
      </c>
      <c r="L49" s="552" t="s">
        <v>1723</v>
      </c>
      <c r="M49" s="552" t="s">
        <v>1724</v>
      </c>
      <c r="N49" s="552" t="s">
        <v>1725</v>
      </c>
      <c r="AA49" s="1117"/>
      <c r="AB49" s="1117"/>
      <c r="AC49" s="1117"/>
      <c r="AD49" s="1117"/>
      <c r="AE49" s="1117"/>
      <c r="AF49" s="1117"/>
      <c r="AG49" s="1117"/>
      <c r="AH49" s="1117"/>
      <c r="AI49" s="1117"/>
      <c r="AJ49" s="1117"/>
      <c r="AK49" s="1117"/>
    </row>
    <row r="50" spans="1:37" s="1116" customFormat="1" ht="38.25">
      <c r="A50" s="2126" t="s">
        <v>2052</v>
      </c>
      <c r="B50" s="2129" t="str">
        <f>估价对象房地状况!C4</f>
        <v>估价对象位于XX商圈，周边商业氛围成熟，人流量大，商业繁华度好</v>
      </c>
      <c r="C50" s="2040"/>
      <c r="D50" s="1062">
        <f t="shared" ref="D50:D58" si="7">SUMIF($J$49:$N$49,C50,J50:N50)</f>
        <v>0</v>
      </c>
      <c r="E50" s="741">
        <f>ROUND(SUM(D50:D58),4)</f>
        <v>0</v>
      </c>
      <c r="F50" s="1810" t="str">
        <f>IF(E2="商业",SUMIF(L1:L12,G2,N1:N12),"——")</f>
        <v>——</v>
      </c>
      <c r="G50" s="1060"/>
      <c r="H50" s="1063" t="str">
        <f t="shared" ref="H50:H58" si="8">IFERROR(ROUNDDOWN($F$50*I50/2,4),"——")</f>
        <v>——</v>
      </c>
      <c r="I50" s="3363">
        <v>0.3</v>
      </c>
      <c r="J50" s="1061">
        <f t="shared" ref="J50:J58" si="9">K50+$G50</f>
        <v>0</v>
      </c>
      <c r="K50" s="1061">
        <f t="shared" ref="K50:K58" si="10">$L50+$G50</f>
        <v>0</v>
      </c>
      <c r="L50" s="1061">
        <v>0</v>
      </c>
      <c r="M50" s="1061">
        <f t="shared" ref="M50:N58" si="11">L50-$G50</f>
        <v>0</v>
      </c>
      <c r="N50" s="1061">
        <f t="shared" si="11"/>
        <v>0</v>
      </c>
      <c r="AA50" s="1117"/>
      <c r="AB50" s="1117"/>
      <c r="AC50" s="1117"/>
      <c r="AD50" s="1117"/>
      <c r="AE50" s="1117"/>
      <c r="AF50" s="1117"/>
      <c r="AG50" s="1117"/>
      <c r="AH50" s="1117"/>
      <c r="AI50" s="1117"/>
      <c r="AJ50" s="1117"/>
      <c r="AK50" s="1117"/>
    </row>
    <row r="51" spans="1:37" s="1116" customFormat="1" ht="38.25">
      <c r="A51" s="2126" t="s">
        <v>2053</v>
      </c>
      <c r="B51" s="2130" t="str">
        <f>估价对象房地状况!C18</f>
        <v>估价对象周边道路状况、公共交通通达情况、停车便捷程度，综合评价交通便捷度较好</v>
      </c>
      <c r="C51" s="2040"/>
      <c r="D51" s="1062">
        <f t="shared" si="7"/>
        <v>0</v>
      </c>
      <c r="E51" s="742"/>
      <c r="F51" s="1810"/>
      <c r="G51" s="1060"/>
      <c r="H51" s="1063" t="str">
        <f t="shared" si="8"/>
        <v>——</v>
      </c>
      <c r="I51" s="3363">
        <v>0.22</v>
      </c>
      <c r="J51" s="1061">
        <f t="shared" si="9"/>
        <v>0</v>
      </c>
      <c r="K51" s="1061">
        <f t="shared" si="10"/>
        <v>0</v>
      </c>
      <c r="L51" s="1061">
        <v>0</v>
      </c>
      <c r="M51" s="1061">
        <f t="shared" si="11"/>
        <v>0</v>
      </c>
      <c r="N51" s="1061">
        <f t="shared" si="11"/>
        <v>0</v>
      </c>
      <c r="AA51" s="1117"/>
      <c r="AB51" s="1117"/>
      <c r="AC51" s="1117"/>
      <c r="AD51" s="1117"/>
      <c r="AE51" s="1117"/>
      <c r="AF51" s="1117"/>
      <c r="AG51" s="1117"/>
      <c r="AH51" s="1117"/>
      <c r="AI51" s="1117"/>
      <c r="AJ51" s="1117"/>
      <c r="AK51" s="1117"/>
    </row>
    <row r="52" spans="1:37" s="1116" customFormat="1" ht="36">
      <c r="A52" s="3365" t="s">
        <v>3275</v>
      </c>
      <c r="B52" s="2130">
        <f>估价对象房地状况!C19</f>
        <v>0</v>
      </c>
      <c r="C52" s="2040"/>
      <c r="D52" s="1062">
        <f t="shared" si="7"/>
        <v>0</v>
      </c>
      <c r="E52" s="742"/>
      <c r="F52" s="1810"/>
      <c r="G52" s="1060"/>
      <c r="H52" s="1063" t="str">
        <f t="shared" si="8"/>
        <v>——</v>
      </c>
      <c r="I52" s="3363">
        <v>0.12</v>
      </c>
      <c r="J52" s="1061">
        <f t="shared" si="9"/>
        <v>0</v>
      </c>
      <c r="K52" s="1061">
        <f t="shared" si="10"/>
        <v>0</v>
      </c>
      <c r="L52" s="1061">
        <v>0</v>
      </c>
      <c r="M52" s="1061">
        <f t="shared" si="11"/>
        <v>0</v>
      </c>
      <c r="N52" s="1061">
        <f t="shared" si="11"/>
        <v>0</v>
      </c>
      <c r="AA52" s="1117"/>
      <c r="AB52" s="1117"/>
      <c r="AC52" s="1117"/>
      <c r="AD52" s="1117"/>
      <c r="AE52" s="1117"/>
      <c r="AF52" s="1117"/>
      <c r="AG52" s="1117"/>
      <c r="AH52" s="1117"/>
      <c r="AI52" s="1117"/>
      <c r="AJ52" s="1117"/>
      <c r="AK52" s="1117"/>
    </row>
    <row r="53" spans="1:37" s="1116" customFormat="1" ht="36.75">
      <c r="A53" s="2126" t="s">
        <v>2054</v>
      </c>
      <c r="B53" s="2131" t="s">
        <v>2055</v>
      </c>
      <c r="C53" s="2040"/>
      <c r="D53" s="1062">
        <f t="shared" si="7"/>
        <v>0</v>
      </c>
      <c r="E53" s="742"/>
      <c r="F53" s="1810"/>
      <c r="G53" s="1060"/>
      <c r="H53" s="1063" t="str">
        <f t="shared" si="8"/>
        <v>——</v>
      </c>
      <c r="I53" s="3363">
        <v>0.05</v>
      </c>
      <c r="J53" s="1061">
        <f t="shared" si="9"/>
        <v>0</v>
      </c>
      <c r="K53" s="1061">
        <f t="shared" si="10"/>
        <v>0</v>
      </c>
      <c r="L53" s="1061">
        <v>0</v>
      </c>
      <c r="M53" s="1061">
        <f t="shared" si="11"/>
        <v>0</v>
      </c>
      <c r="N53" s="1061">
        <f t="shared" si="11"/>
        <v>0</v>
      </c>
      <c r="AA53" s="1117"/>
      <c r="AB53" s="1117"/>
      <c r="AC53" s="1117"/>
      <c r="AD53" s="1117"/>
      <c r="AE53" s="1117"/>
      <c r="AF53" s="1117"/>
      <c r="AG53" s="1117"/>
      <c r="AH53" s="1117"/>
      <c r="AI53" s="1117"/>
      <c r="AJ53" s="1117"/>
      <c r="AK53" s="1117"/>
    </row>
    <row r="54" spans="1:37" s="1116" customFormat="1" ht="24">
      <c r="A54" s="2126" t="s">
        <v>2056</v>
      </c>
      <c r="B54" s="2130">
        <f>估价对象房地状况!C24</f>
        <v>0</v>
      </c>
      <c r="C54" s="2040"/>
      <c r="D54" s="1062">
        <f t="shared" si="7"/>
        <v>0</v>
      </c>
      <c r="E54" s="742"/>
      <c r="F54" s="1810"/>
      <c r="G54" s="1060"/>
      <c r="H54" s="1063" t="str">
        <f t="shared" si="8"/>
        <v>——</v>
      </c>
      <c r="I54" s="3363">
        <v>0.08</v>
      </c>
      <c r="J54" s="1061">
        <f t="shared" si="9"/>
        <v>0</v>
      </c>
      <c r="K54" s="1061">
        <f t="shared" si="10"/>
        <v>0</v>
      </c>
      <c r="L54" s="1061">
        <v>0</v>
      </c>
      <c r="M54" s="1061">
        <f t="shared" si="11"/>
        <v>0</v>
      </c>
      <c r="N54" s="1061">
        <f t="shared" si="11"/>
        <v>0</v>
      </c>
      <c r="AA54" s="1117"/>
      <c r="AB54" s="1117"/>
      <c r="AC54" s="1117"/>
      <c r="AD54" s="1117"/>
      <c r="AE54" s="1117"/>
      <c r="AF54" s="1117"/>
      <c r="AG54" s="1117"/>
      <c r="AH54" s="1117"/>
      <c r="AI54" s="1117"/>
      <c r="AJ54" s="1117"/>
      <c r="AK54" s="1117"/>
    </row>
    <row r="55" spans="1:37" s="1116" customFormat="1" ht="24">
      <c r="A55" s="2126" t="s">
        <v>2057</v>
      </c>
      <c r="B55" s="2132" t="s">
        <v>2058</v>
      </c>
      <c r="C55" s="2040"/>
      <c r="D55" s="1062">
        <f t="shared" si="7"/>
        <v>0</v>
      </c>
      <c r="E55" s="742"/>
      <c r="F55" s="1810"/>
      <c r="G55" s="1060"/>
      <c r="H55" s="1063" t="str">
        <f t="shared" si="8"/>
        <v>——</v>
      </c>
      <c r="I55" s="3363">
        <v>0.05</v>
      </c>
      <c r="J55" s="1061">
        <f t="shared" si="9"/>
        <v>0</v>
      </c>
      <c r="K55" s="1061">
        <f t="shared" si="10"/>
        <v>0</v>
      </c>
      <c r="L55" s="1061">
        <v>0</v>
      </c>
      <c r="M55" s="1061">
        <f t="shared" si="11"/>
        <v>0</v>
      </c>
      <c r="N55" s="1061">
        <f t="shared" si="11"/>
        <v>0</v>
      </c>
      <c r="AA55" s="1117"/>
      <c r="AB55" s="1117"/>
      <c r="AC55" s="1117"/>
      <c r="AD55" s="1117"/>
      <c r="AE55" s="1117"/>
      <c r="AF55" s="1117"/>
      <c r="AG55" s="1117"/>
      <c r="AH55" s="1117"/>
      <c r="AI55" s="1117"/>
      <c r="AJ55" s="1117"/>
      <c r="AK55" s="1117"/>
    </row>
    <row r="56" spans="1:37" s="1116" customFormat="1" ht="25.5">
      <c r="A56" s="2133" t="s">
        <v>2059</v>
      </c>
      <c r="B56" s="1322" t="str">
        <f>估价对象房地状况!C21</f>
        <v>估价对象所在区域公共配套设施齐备情况</v>
      </c>
      <c r="C56" s="2040"/>
      <c r="D56" s="1062">
        <f t="shared" si="7"/>
        <v>0</v>
      </c>
      <c r="E56" s="742"/>
      <c r="F56" s="1810"/>
      <c r="G56" s="1060"/>
      <c r="H56" s="1063" t="str">
        <f t="shared" si="8"/>
        <v>——</v>
      </c>
      <c r="I56" s="3363">
        <v>0.05</v>
      </c>
      <c r="J56" s="1061">
        <f t="shared" si="9"/>
        <v>0</v>
      </c>
      <c r="K56" s="1061">
        <f t="shared" si="10"/>
        <v>0</v>
      </c>
      <c r="L56" s="1061">
        <v>0</v>
      </c>
      <c r="M56" s="1061">
        <f t="shared" si="11"/>
        <v>0</v>
      </c>
      <c r="N56" s="1061">
        <f t="shared" si="11"/>
        <v>0</v>
      </c>
      <c r="AA56" s="1117"/>
      <c r="AB56" s="1117"/>
      <c r="AC56" s="1117"/>
      <c r="AD56" s="1117"/>
      <c r="AE56" s="1117"/>
      <c r="AF56" s="1117"/>
      <c r="AG56" s="1117"/>
      <c r="AH56" s="1117"/>
      <c r="AI56" s="1117"/>
      <c r="AJ56" s="1117"/>
      <c r="AK56" s="1117"/>
    </row>
    <row r="57" spans="1:37" s="1116" customFormat="1" ht="25.5">
      <c r="A57" s="2133" t="s">
        <v>2060</v>
      </c>
      <c r="B57" s="2130" t="str">
        <f>估价对象房地状况!C22</f>
        <v>估价对象所在区域基础设施水平</v>
      </c>
      <c r="C57" s="2040"/>
      <c r="D57" s="1062">
        <f t="shared" si="7"/>
        <v>0</v>
      </c>
      <c r="E57" s="742"/>
      <c r="F57" s="1810"/>
      <c r="G57" s="1060"/>
      <c r="H57" s="1063" t="str">
        <f t="shared" si="8"/>
        <v>——</v>
      </c>
      <c r="I57" s="3363">
        <v>0.08</v>
      </c>
      <c r="J57" s="1061">
        <f t="shared" si="9"/>
        <v>0</v>
      </c>
      <c r="K57" s="1061">
        <f t="shared" si="10"/>
        <v>0</v>
      </c>
      <c r="L57" s="1061">
        <v>0</v>
      </c>
      <c r="M57" s="1061">
        <f t="shared" si="11"/>
        <v>0</v>
      </c>
      <c r="N57" s="1061">
        <f t="shared" si="11"/>
        <v>0</v>
      </c>
      <c r="AA57" s="1117"/>
      <c r="AB57" s="1117"/>
      <c r="AC57" s="1117"/>
      <c r="AD57" s="1117"/>
      <c r="AE57" s="1117"/>
      <c r="AF57" s="1117"/>
      <c r="AG57" s="1117"/>
      <c r="AH57" s="1117"/>
      <c r="AI57" s="1117"/>
      <c r="AJ57" s="1117"/>
      <c r="AK57" s="1117"/>
    </row>
    <row r="58" spans="1:37" s="1116" customFormat="1" ht="26.25" thickBot="1">
      <c r="A58" s="2134" t="s">
        <v>2061</v>
      </c>
      <c r="B58" s="2135" t="str">
        <f>估价对象房地状况!C20</f>
        <v>区域自然环境：；人文环境；综合评价环境状况一般</v>
      </c>
      <c r="C58" s="2040"/>
      <c r="D58" s="1062">
        <f t="shared" si="7"/>
        <v>0</v>
      </c>
      <c r="E58" s="743"/>
      <c r="F58" s="1810"/>
      <c r="G58" s="1060"/>
      <c r="H58" s="1063" t="str">
        <f t="shared" si="8"/>
        <v>——</v>
      </c>
      <c r="I58" s="3364">
        <v>0.05</v>
      </c>
      <c r="J58" s="1061">
        <f t="shared" si="9"/>
        <v>0</v>
      </c>
      <c r="K58" s="1061">
        <f t="shared" si="10"/>
        <v>0</v>
      </c>
      <c r="L58" s="1061">
        <v>0</v>
      </c>
      <c r="M58" s="1061">
        <f t="shared" si="11"/>
        <v>0</v>
      </c>
      <c r="N58" s="1061">
        <f t="shared" si="11"/>
        <v>0</v>
      </c>
      <c r="AA58" s="1117"/>
      <c r="AB58" s="1117"/>
      <c r="AC58" s="1117"/>
      <c r="AD58" s="1117"/>
      <c r="AE58" s="1117"/>
      <c r="AF58" s="1117"/>
      <c r="AG58" s="1117"/>
      <c r="AH58" s="1117"/>
      <c r="AI58" s="1117"/>
      <c r="AJ58" s="1117"/>
      <c r="AK58" s="1117"/>
    </row>
    <row r="59" spans="1:37" s="1116" customFormat="1" ht="15">
      <c r="A59" s="2122" t="s">
        <v>2062</v>
      </c>
      <c r="B59" s="2123">
        <f>1+E61</f>
        <v>1</v>
      </c>
      <c r="C59" s="738"/>
      <c r="D59" s="738"/>
      <c r="E59" s="739"/>
      <c r="F59" s="2125"/>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6" t="s">
        <v>2044</v>
      </c>
      <c r="B60" s="1347"/>
      <c r="C60" s="1347" t="s">
        <v>2046</v>
      </c>
      <c r="D60" s="1347" t="s">
        <v>2047</v>
      </c>
      <c r="E60" s="740" t="s">
        <v>2048</v>
      </c>
      <c r="F60" s="2127" t="s">
        <v>2063</v>
      </c>
      <c r="G60" s="1347" t="s">
        <v>310</v>
      </c>
      <c r="H60" s="2128" t="s">
        <v>2050</v>
      </c>
      <c r="I60" s="1347" t="s">
        <v>2051</v>
      </c>
      <c r="J60" s="552" t="s">
        <v>1721</v>
      </c>
      <c r="K60" s="552" t="s">
        <v>1722</v>
      </c>
      <c r="L60" s="552" t="s">
        <v>1723</v>
      </c>
      <c r="M60" s="552" t="s">
        <v>1724</v>
      </c>
      <c r="N60" s="552" t="s">
        <v>1725</v>
      </c>
      <c r="AA60" s="1117"/>
      <c r="AB60" s="1117"/>
      <c r="AC60" s="1117"/>
      <c r="AD60" s="1117"/>
      <c r="AE60" s="1117"/>
      <c r="AF60" s="1117"/>
      <c r="AG60" s="1117"/>
      <c r="AH60" s="1117"/>
      <c r="AI60" s="1117"/>
      <c r="AJ60" s="1117"/>
      <c r="AK60" s="1117"/>
    </row>
    <row r="61" spans="1:37" s="1116" customFormat="1" ht="38.25">
      <c r="A61" s="2126" t="s">
        <v>2064</v>
      </c>
      <c r="B61" s="2129" t="str">
        <f>估价对象房地状况!C17</f>
        <v>估价对象位于XX商圈，周边办公楼项目较多，入驻率高，办公集聚程度较好</v>
      </c>
      <c r="C61" s="2040"/>
      <c r="D61" s="1062">
        <f t="shared" ref="D61:D69" si="12">SUMIF($J$60:$N$60,C61,J61:N61)</f>
        <v>0</v>
      </c>
      <c r="E61" s="741">
        <f>ROUND(SUM(D61:D69),4)</f>
        <v>0</v>
      </c>
      <c r="F61" s="1810" t="str">
        <f>IF(E2="办公",SUMIF(L1:L12,G2,N1:N12),"——")</f>
        <v>——</v>
      </c>
      <c r="G61" s="1060"/>
      <c r="H61" s="1063" t="str">
        <f t="shared" ref="H61:H69" si="13">IFERROR(ROUNDDOWN($F$61*I61/2,4),"——")</f>
        <v>——</v>
      </c>
      <c r="I61" s="3363">
        <v>0.25</v>
      </c>
      <c r="J61" s="1061">
        <f t="shared" ref="J61:J69" si="14">K61+$G61</f>
        <v>0</v>
      </c>
      <c r="K61" s="1061">
        <f t="shared" ref="K61:K69" si="15">$L61+$G61</f>
        <v>0</v>
      </c>
      <c r="L61" s="1061">
        <v>0</v>
      </c>
      <c r="M61" s="1061">
        <f t="shared" ref="M61:N69" si="16">L61-$G61</f>
        <v>0</v>
      </c>
      <c r="N61" s="1061">
        <f t="shared" si="16"/>
        <v>0</v>
      </c>
      <c r="AA61" s="1117"/>
      <c r="AB61" s="1117"/>
      <c r="AC61" s="1117"/>
      <c r="AD61" s="1117"/>
      <c r="AE61" s="1117"/>
      <c r="AF61" s="1117"/>
      <c r="AG61" s="1117"/>
      <c r="AH61" s="1117"/>
      <c r="AI61" s="1117"/>
      <c r="AJ61" s="1117"/>
      <c r="AK61" s="1117"/>
    </row>
    <row r="62" spans="1:37" s="1116" customFormat="1" ht="38.25">
      <c r="A62" s="2126" t="s">
        <v>2053</v>
      </c>
      <c r="B62" s="2130" t="str">
        <f>估价对象房地状况!C18</f>
        <v>估价对象周边道路状况、公共交通通达情况、停车便捷程度，综合评价交通便捷度较好</v>
      </c>
      <c r="C62" s="2040"/>
      <c r="D62" s="1062">
        <f t="shared" si="12"/>
        <v>0</v>
      </c>
      <c r="E62" s="742"/>
      <c r="F62" s="1810"/>
      <c r="G62" s="1060"/>
      <c r="H62" s="1063" t="str">
        <f t="shared" si="13"/>
        <v>——</v>
      </c>
      <c r="I62" s="3363">
        <v>0.26</v>
      </c>
      <c r="J62" s="1061">
        <f t="shared" si="14"/>
        <v>0</v>
      </c>
      <c r="K62" s="1061">
        <f t="shared" si="15"/>
        <v>0</v>
      </c>
      <c r="L62" s="1061">
        <v>0</v>
      </c>
      <c r="M62" s="1061">
        <f t="shared" si="16"/>
        <v>0</v>
      </c>
      <c r="N62" s="1061">
        <f t="shared" si="16"/>
        <v>0</v>
      </c>
      <c r="AA62" s="1117"/>
      <c r="AB62" s="1117"/>
      <c r="AC62" s="1117"/>
      <c r="AD62" s="1117"/>
      <c r="AE62" s="1117"/>
      <c r="AF62" s="1117"/>
      <c r="AG62" s="1117"/>
      <c r="AH62" s="1117"/>
      <c r="AI62" s="1117"/>
      <c r="AJ62" s="1117"/>
      <c r="AK62" s="1117"/>
    </row>
    <row r="63" spans="1:37" s="1116" customFormat="1" ht="36">
      <c r="A63" s="3365" t="s">
        <v>3275</v>
      </c>
      <c r="B63" s="2130">
        <f>估价对象房地状况!C19</f>
        <v>0</v>
      </c>
      <c r="C63" s="2040"/>
      <c r="D63" s="1062">
        <f t="shared" si="12"/>
        <v>0</v>
      </c>
      <c r="E63" s="742"/>
      <c r="F63" s="1810"/>
      <c r="G63" s="1060"/>
      <c r="H63" s="1063" t="str">
        <f t="shared" si="13"/>
        <v>——</v>
      </c>
      <c r="I63" s="3363">
        <v>0.11</v>
      </c>
      <c r="J63" s="1061">
        <f t="shared" si="14"/>
        <v>0</v>
      </c>
      <c r="K63" s="1061">
        <f t="shared" si="15"/>
        <v>0</v>
      </c>
      <c r="L63" s="1061">
        <v>0</v>
      </c>
      <c r="M63" s="1061">
        <f t="shared" si="16"/>
        <v>0</v>
      </c>
      <c r="N63" s="1061">
        <f t="shared" si="16"/>
        <v>0</v>
      </c>
      <c r="AA63" s="1117"/>
      <c r="AB63" s="1117"/>
      <c r="AC63" s="1117"/>
      <c r="AD63" s="1117"/>
      <c r="AE63" s="1117"/>
      <c r="AF63" s="1117"/>
      <c r="AG63" s="1117"/>
      <c r="AH63" s="1117"/>
      <c r="AI63" s="1117"/>
      <c r="AJ63" s="1117"/>
      <c r="AK63" s="1117"/>
    </row>
    <row r="64" spans="1:37" s="1116" customFormat="1" ht="36.75">
      <c r="A64" s="2126" t="s">
        <v>2054</v>
      </c>
      <c r="B64" s="2131" t="s">
        <v>2055</v>
      </c>
      <c r="C64" s="2040"/>
      <c r="D64" s="1062">
        <f t="shared" si="12"/>
        <v>0</v>
      </c>
      <c r="E64" s="742"/>
      <c r="F64" s="1810"/>
      <c r="G64" s="1060"/>
      <c r="H64" s="1063" t="str">
        <f t="shared" si="13"/>
        <v>——</v>
      </c>
      <c r="I64" s="3363">
        <v>0.05</v>
      </c>
      <c r="J64" s="1061">
        <f t="shared" si="14"/>
        <v>0</v>
      </c>
      <c r="K64" s="1061">
        <f t="shared" si="15"/>
        <v>0</v>
      </c>
      <c r="L64" s="1061">
        <v>0</v>
      </c>
      <c r="M64" s="1061">
        <f t="shared" si="16"/>
        <v>0</v>
      </c>
      <c r="N64" s="1061">
        <f t="shared" si="16"/>
        <v>0</v>
      </c>
      <c r="AA64" s="1117"/>
      <c r="AB64" s="1117"/>
      <c r="AC64" s="1117"/>
      <c r="AD64" s="1117"/>
      <c r="AE64" s="1117"/>
      <c r="AF64" s="1117"/>
      <c r="AG64" s="1117"/>
      <c r="AH64" s="1117"/>
      <c r="AI64" s="1117"/>
      <c r="AJ64" s="1117"/>
      <c r="AK64" s="1117"/>
    </row>
    <row r="65" spans="1:37" s="1116" customFormat="1" ht="24">
      <c r="A65" s="2126" t="s">
        <v>2056</v>
      </c>
      <c r="B65" s="2130">
        <f>估价对象房地状况!C24</f>
        <v>0</v>
      </c>
      <c r="C65" s="2040"/>
      <c r="D65" s="1062">
        <f t="shared" si="12"/>
        <v>0</v>
      </c>
      <c r="E65" s="742"/>
      <c r="F65" s="1810"/>
      <c r="G65" s="1060"/>
      <c r="H65" s="1063" t="str">
        <f t="shared" si="13"/>
        <v>——</v>
      </c>
      <c r="I65" s="3363">
        <v>0.05</v>
      </c>
      <c r="J65" s="1061">
        <f t="shared" si="14"/>
        <v>0</v>
      </c>
      <c r="K65" s="1061">
        <f t="shared" si="15"/>
        <v>0</v>
      </c>
      <c r="L65" s="1061">
        <v>0</v>
      </c>
      <c r="M65" s="1061">
        <f t="shared" si="16"/>
        <v>0</v>
      </c>
      <c r="N65" s="1061">
        <f t="shared" si="16"/>
        <v>0</v>
      </c>
      <c r="AA65" s="1117"/>
      <c r="AB65" s="1117"/>
      <c r="AC65" s="1117"/>
      <c r="AD65" s="1117"/>
      <c r="AE65" s="1117"/>
      <c r="AF65" s="1117"/>
      <c r="AG65" s="1117"/>
      <c r="AH65" s="1117"/>
      <c r="AI65" s="1117"/>
      <c r="AJ65" s="1117"/>
      <c r="AK65" s="1117"/>
    </row>
    <row r="66" spans="1:37" s="1116" customFormat="1" ht="24">
      <c r="A66" s="2126" t="s">
        <v>2057</v>
      </c>
      <c r="B66" s="2132" t="s">
        <v>2058</v>
      </c>
      <c r="C66" s="2040"/>
      <c r="D66" s="1062">
        <f t="shared" si="12"/>
        <v>0</v>
      </c>
      <c r="E66" s="742"/>
      <c r="F66" s="1810"/>
      <c r="G66" s="1060"/>
      <c r="H66" s="1063" t="str">
        <f t="shared" si="13"/>
        <v>——</v>
      </c>
      <c r="I66" s="3363">
        <v>0.06</v>
      </c>
      <c r="J66" s="1061">
        <f t="shared" si="14"/>
        <v>0</v>
      </c>
      <c r="K66" s="1061">
        <f t="shared" si="15"/>
        <v>0</v>
      </c>
      <c r="L66" s="1061">
        <v>0</v>
      </c>
      <c r="M66" s="1061">
        <f t="shared" si="16"/>
        <v>0</v>
      </c>
      <c r="N66" s="1061">
        <f t="shared" si="16"/>
        <v>0</v>
      </c>
      <c r="AA66" s="1117"/>
      <c r="AB66" s="1117"/>
      <c r="AC66" s="1117"/>
      <c r="AD66" s="1117"/>
      <c r="AE66" s="1117"/>
      <c r="AF66" s="1117"/>
      <c r="AG66" s="1117"/>
      <c r="AH66" s="1117"/>
      <c r="AI66" s="1117"/>
      <c r="AJ66" s="1117"/>
      <c r="AK66" s="1117"/>
    </row>
    <row r="67" spans="1:37" s="1116" customFormat="1" ht="25.5">
      <c r="A67" s="2126" t="s">
        <v>2059</v>
      </c>
      <c r="B67" s="1322" t="str">
        <f>估价对象房地状况!C21</f>
        <v>估价对象所在区域公共配套设施齐备情况</v>
      </c>
      <c r="C67" s="2040"/>
      <c r="D67" s="1062">
        <f t="shared" si="12"/>
        <v>0</v>
      </c>
      <c r="E67" s="742"/>
      <c r="F67" s="1810"/>
      <c r="G67" s="1060"/>
      <c r="H67" s="1063" t="str">
        <f t="shared" si="13"/>
        <v>——</v>
      </c>
      <c r="I67" s="3363">
        <v>0.06</v>
      </c>
      <c r="J67" s="1061">
        <f t="shared" si="14"/>
        <v>0</v>
      </c>
      <c r="K67" s="1061">
        <f t="shared" si="15"/>
        <v>0</v>
      </c>
      <c r="L67" s="1061">
        <v>0</v>
      </c>
      <c r="M67" s="1061">
        <f t="shared" si="16"/>
        <v>0</v>
      </c>
      <c r="N67" s="1061">
        <f t="shared" si="16"/>
        <v>0</v>
      </c>
      <c r="AA67" s="1117"/>
      <c r="AB67" s="1117"/>
      <c r="AC67" s="1117"/>
      <c r="AD67" s="1117"/>
      <c r="AE67" s="1117"/>
      <c r="AF67" s="1117"/>
      <c r="AG67" s="1117"/>
      <c r="AH67" s="1117"/>
      <c r="AI67" s="1117"/>
      <c r="AJ67" s="1117"/>
      <c r="AK67" s="1117"/>
    </row>
    <row r="68" spans="1:37" s="1116" customFormat="1" ht="25.5">
      <c r="A68" s="2126" t="s">
        <v>2060</v>
      </c>
      <c r="B68" s="1322" t="str">
        <f>估价对象房地状况!C22</f>
        <v>估价对象所在区域基础设施水平</v>
      </c>
      <c r="C68" s="2040"/>
      <c r="D68" s="1062">
        <f t="shared" si="12"/>
        <v>0</v>
      </c>
      <c r="E68" s="742"/>
      <c r="F68" s="1810"/>
      <c r="G68" s="1060"/>
      <c r="H68" s="1063" t="str">
        <f t="shared" si="13"/>
        <v>——</v>
      </c>
      <c r="I68" s="3363">
        <v>0.09</v>
      </c>
      <c r="J68" s="1061">
        <f t="shared" si="14"/>
        <v>0</v>
      </c>
      <c r="K68" s="1061">
        <f t="shared" si="15"/>
        <v>0</v>
      </c>
      <c r="L68" s="1061">
        <v>0</v>
      </c>
      <c r="M68" s="1061">
        <f t="shared" si="16"/>
        <v>0</v>
      </c>
      <c r="N68" s="1061">
        <f t="shared" si="16"/>
        <v>0</v>
      </c>
      <c r="AA68" s="1117"/>
      <c r="AB68" s="1117"/>
      <c r="AC68" s="1117"/>
      <c r="AD68" s="1117"/>
      <c r="AE68" s="1117"/>
      <c r="AF68" s="1117"/>
      <c r="AG68" s="1117"/>
      <c r="AH68" s="1117"/>
      <c r="AI68" s="1117"/>
      <c r="AJ68" s="1117"/>
      <c r="AK68" s="1117"/>
    </row>
    <row r="69" spans="1:37" s="1116" customFormat="1" ht="26.25" thickBot="1">
      <c r="A69" s="2134" t="s">
        <v>2061</v>
      </c>
      <c r="B69" s="2136" t="str">
        <f>估价对象房地状况!C20</f>
        <v>区域自然环境：；人文环境；综合评价环境状况一般</v>
      </c>
      <c r="C69" s="2040"/>
      <c r="D69" s="1062">
        <f t="shared" si="12"/>
        <v>0</v>
      </c>
      <c r="E69" s="743"/>
      <c r="F69" s="1810"/>
      <c r="G69" s="1060"/>
      <c r="H69" s="1063" t="str">
        <f t="shared" si="13"/>
        <v>——</v>
      </c>
      <c r="I69" s="3364">
        <v>7.0000000000000007E-2</v>
      </c>
      <c r="J69" s="1061">
        <f t="shared" si="14"/>
        <v>0</v>
      </c>
      <c r="K69" s="1061">
        <f t="shared" si="15"/>
        <v>0</v>
      </c>
      <c r="L69" s="1061">
        <v>0</v>
      </c>
      <c r="M69" s="1061">
        <f t="shared" si="16"/>
        <v>0</v>
      </c>
      <c r="N69" s="1061">
        <f t="shared" si="16"/>
        <v>0</v>
      </c>
      <c r="AA69" s="1117"/>
      <c r="AB69" s="1117"/>
      <c r="AC69" s="1117"/>
      <c r="AD69" s="1117"/>
      <c r="AE69" s="1117"/>
      <c r="AF69" s="1117"/>
      <c r="AG69" s="1117"/>
      <c r="AH69" s="1117"/>
      <c r="AI69" s="1117"/>
      <c r="AJ69" s="1117"/>
      <c r="AK69" s="1117"/>
    </row>
    <row r="70" spans="1:37" s="1116" customFormat="1" ht="15">
      <c r="A70" s="2122" t="s">
        <v>2065</v>
      </c>
      <c r="B70" s="2123">
        <f>1+E72</f>
        <v>1</v>
      </c>
      <c r="C70" s="738"/>
      <c r="D70" s="738"/>
      <c r="E70" s="739"/>
      <c r="F70" s="2125"/>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6" t="s">
        <v>2044</v>
      </c>
      <c r="B71" s="1347"/>
      <c r="C71" s="1347" t="s">
        <v>2046</v>
      </c>
      <c r="D71" s="1347" t="s">
        <v>2047</v>
      </c>
      <c r="E71" s="740" t="s">
        <v>2048</v>
      </c>
      <c r="F71" s="2127" t="s">
        <v>2063</v>
      </c>
      <c r="G71" s="1347" t="s">
        <v>310</v>
      </c>
      <c r="H71" s="2128" t="s">
        <v>2050</v>
      </c>
      <c r="I71" s="1347" t="s">
        <v>2051</v>
      </c>
      <c r="J71" s="552" t="s">
        <v>1721</v>
      </c>
      <c r="K71" s="552" t="s">
        <v>1722</v>
      </c>
      <c r="L71" s="552" t="s">
        <v>1723</v>
      </c>
      <c r="M71" s="552" t="s">
        <v>1724</v>
      </c>
      <c r="N71" s="552" t="s">
        <v>1725</v>
      </c>
      <c r="AA71" s="1117"/>
      <c r="AB71" s="1117"/>
      <c r="AC71" s="1117"/>
      <c r="AD71" s="1117"/>
      <c r="AE71" s="1117"/>
      <c r="AF71" s="1117"/>
      <c r="AG71" s="1117"/>
      <c r="AH71" s="1117"/>
      <c r="AI71" s="1117"/>
      <c r="AJ71" s="1117"/>
      <c r="AK71" s="1117"/>
    </row>
    <row r="72" spans="1:37" s="1116" customFormat="1" ht="51">
      <c r="A72" s="2126" t="s">
        <v>2066</v>
      </c>
      <c r="B72" s="2129" t="str">
        <f>估价对象房地状况!C15</f>
        <v>估价对象周边居住用地比例、居住小区规模和社区发展完善程度，综合评价居住社区成熟度一般</v>
      </c>
      <c r="C72" s="2040"/>
      <c r="D72" s="1062">
        <f t="shared" ref="D72:D80" si="17">SUMIF($J$71:$N$71,C72,J72:N72)</f>
        <v>0</v>
      </c>
      <c r="E72" s="741">
        <f>ROUND(SUM(D72:D80),4)</f>
        <v>0</v>
      </c>
      <c r="F72" s="1810" t="str">
        <f>IF(E2="住宅",SUMIF(L1:L12,G2,N1:N12),"——")</f>
        <v>——</v>
      </c>
      <c r="G72" s="1060"/>
      <c r="H72" s="1063" t="str">
        <f t="shared" ref="H72:H80" si="18">IFERROR(ROUNDDOWN($F$72*I72/2,4),"——")</f>
        <v>——</v>
      </c>
      <c r="I72" s="3363">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38.25">
      <c r="A73" s="2126" t="s">
        <v>2053</v>
      </c>
      <c r="B73" s="2130" t="str">
        <f>估价对象房地状况!C18</f>
        <v>估价对象周边道路状况、公共交通通达情况、停车便捷程度，综合评价交通便捷度较好</v>
      </c>
      <c r="C73" s="2040"/>
      <c r="D73" s="1062">
        <f t="shared" si="17"/>
        <v>0</v>
      </c>
      <c r="E73" s="744"/>
      <c r="F73" s="1810"/>
      <c r="G73" s="1060"/>
      <c r="H73" s="1063" t="str">
        <f t="shared" si="18"/>
        <v>——</v>
      </c>
      <c r="I73" s="3363">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3" customFormat="1" ht="36">
      <c r="A74" s="3365" t="s">
        <v>3275</v>
      </c>
      <c r="B74" s="2130">
        <f>估价对象房地状况!C19</f>
        <v>0</v>
      </c>
      <c r="C74" s="2040"/>
      <c r="D74" s="1062">
        <f t="shared" si="17"/>
        <v>0</v>
      </c>
      <c r="E74" s="744"/>
      <c r="F74" s="1810"/>
      <c r="G74" s="1060"/>
      <c r="H74" s="1063" t="str">
        <f t="shared" si="18"/>
        <v>——</v>
      </c>
      <c r="I74" s="3363">
        <v>0.1</v>
      </c>
      <c r="J74" s="1061">
        <f t="shared" si="19"/>
        <v>0</v>
      </c>
      <c r="K74" s="1061">
        <f t="shared" si="20"/>
        <v>0</v>
      </c>
      <c r="L74" s="1061">
        <v>0</v>
      </c>
      <c r="M74" s="1061">
        <f t="shared" si="21"/>
        <v>0</v>
      </c>
      <c r="N74" s="1061">
        <f t="shared" si="21"/>
        <v>0</v>
      </c>
      <c r="O74" s="1116"/>
      <c r="P74" s="1116"/>
      <c r="Q74" s="1116"/>
      <c r="AA74" s="2137"/>
      <c r="AB74" s="1117"/>
      <c r="AC74" s="1117"/>
      <c r="AD74" s="1117"/>
      <c r="AE74" s="1117"/>
      <c r="AF74" s="1117"/>
      <c r="AG74" s="1117"/>
      <c r="AH74" s="2137"/>
      <c r="AI74" s="2137"/>
      <c r="AJ74" s="2137"/>
      <c r="AK74" s="2137"/>
    </row>
    <row r="75" spans="1:37" ht="14.25">
      <c r="A75" s="2126" t="s">
        <v>2067</v>
      </c>
      <c r="B75" s="2130">
        <f>估价对象房地状况!C24</f>
        <v>0</v>
      </c>
      <c r="C75" s="2040"/>
      <c r="D75" s="1062">
        <f t="shared" si="17"/>
        <v>0</v>
      </c>
      <c r="E75" s="744"/>
      <c r="F75" s="1810"/>
      <c r="G75" s="1060"/>
      <c r="H75" s="1063" t="str">
        <f t="shared" si="18"/>
        <v>——</v>
      </c>
      <c r="I75" s="3363">
        <v>0.05</v>
      </c>
      <c r="J75" s="1061">
        <f t="shared" si="19"/>
        <v>0</v>
      </c>
      <c r="K75" s="1061">
        <f t="shared" si="20"/>
        <v>0</v>
      </c>
      <c r="L75" s="1061">
        <v>0</v>
      </c>
      <c r="M75" s="1061">
        <f t="shared" si="21"/>
        <v>0</v>
      </c>
      <c r="N75" s="1061">
        <f t="shared" si="21"/>
        <v>0</v>
      </c>
      <c r="O75" s="1116"/>
      <c r="P75" s="1116"/>
      <c r="Q75" s="1993"/>
      <c r="Z75" s="1994"/>
      <c r="AA75" s="2049"/>
      <c r="AG75" s="1118"/>
      <c r="AK75" s="2049"/>
    </row>
    <row r="76" spans="1:37" ht="25.5">
      <c r="A76" s="2126" t="s">
        <v>2059</v>
      </c>
      <c r="B76" s="1322" t="str">
        <f>估价对象房地状况!C21</f>
        <v>估价对象所在区域公共配套设施齐备情况</v>
      </c>
      <c r="C76" s="2040"/>
      <c r="D76" s="1062">
        <f t="shared" si="17"/>
        <v>0</v>
      </c>
      <c r="E76" s="744"/>
      <c r="F76" s="1810"/>
      <c r="G76" s="1060"/>
      <c r="H76" s="1063" t="str">
        <f t="shared" si="18"/>
        <v>——</v>
      </c>
      <c r="I76" s="3363">
        <v>0.08</v>
      </c>
      <c r="J76" s="1061">
        <f t="shared" si="19"/>
        <v>0</v>
      </c>
      <c r="K76" s="1061">
        <f t="shared" si="20"/>
        <v>0</v>
      </c>
      <c r="L76" s="1061">
        <v>0</v>
      </c>
      <c r="M76" s="1061">
        <f t="shared" si="21"/>
        <v>0</v>
      </c>
      <c r="N76" s="1061">
        <f t="shared" si="21"/>
        <v>0</v>
      </c>
      <c r="O76" s="1116"/>
      <c r="P76" s="1116"/>
      <c r="Z76" s="1994"/>
      <c r="AA76" s="2049"/>
      <c r="AG76" s="1118"/>
      <c r="AK76" s="2049"/>
    </row>
    <row r="77" spans="1:37" ht="25.5">
      <c r="A77" s="2126" t="s">
        <v>2060</v>
      </c>
      <c r="B77" s="1322" t="str">
        <f>估价对象房地状况!C22</f>
        <v>估价对象所在区域基础设施水平</v>
      </c>
      <c r="C77" s="2040"/>
      <c r="D77" s="1062">
        <f t="shared" si="17"/>
        <v>0</v>
      </c>
      <c r="E77" s="744"/>
      <c r="F77" s="1810"/>
      <c r="G77" s="1060"/>
      <c r="H77" s="1063" t="str">
        <f t="shared" si="18"/>
        <v>——</v>
      </c>
      <c r="I77" s="3363">
        <v>0.09</v>
      </c>
      <c r="J77" s="1061">
        <f t="shared" si="19"/>
        <v>0</v>
      </c>
      <c r="K77" s="1061">
        <f t="shared" si="20"/>
        <v>0</v>
      </c>
      <c r="L77" s="1061">
        <v>0</v>
      </c>
      <c r="M77" s="1061">
        <f t="shared" si="21"/>
        <v>0</v>
      </c>
      <c r="N77" s="1061">
        <f t="shared" si="21"/>
        <v>0</v>
      </c>
      <c r="O77" s="1116"/>
      <c r="P77" s="1116"/>
      <c r="Z77" s="1994"/>
      <c r="AA77" s="2049"/>
      <c r="AG77" s="1118"/>
      <c r="AK77" s="2049"/>
    </row>
    <row r="78" spans="1:37" ht="24">
      <c r="A78" s="2126" t="s">
        <v>2057</v>
      </c>
      <c r="B78" s="2132" t="s">
        <v>2058</v>
      </c>
      <c r="C78" s="2040"/>
      <c r="D78" s="1062">
        <f t="shared" si="17"/>
        <v>0</v>
      </c>
      <c r="E78" s="744"/>
      <c r="F78" s="1810"/>
      <c r="G78" s="1060"/>
      <c r="H78" s="1063" t="str">
        <f t="shared" si="18"/>
        <v>——</v>
      </c>
      <c r="I78" s="3363">
        <v>0.05</v>
      </c>
      <c r="J78" s="1061">
        <f t="shared" si="19"/>
        <v>0</v>
      </c>
      <c r="K78" s="1061">
        <f t="shared" si="20"/>
        <v>0</v>
      </c>
      <c r="L78" s="1061">
        <v>0</v>
      </c>
      <c r="M78" s="1061">
        <f t="shared" si="21"/>
        <v>0</v>
      </c>
      <c r="N78" s="1061">
        <f t="shared" si="21"/>
        <v>0</v>
      </c>
      <c r="O78" s="1993"/>
      <c r="P78" s="1993"/>
      <c r="Z78" s="1994"/>
      <c r="AA78" s="2049"/>
      <c r="AG78" s="1118"/>
      <c r="AK78" s="2049"/>
    </row>
    <row r="79" spans="1:37" ht="25.5">
      <c r="A79" s="2126" t="s">
        <v>2061</v>
      </c>
      <c r="B79" s="2129" t="str">
        <f>估价对象房地状况!C20</f>
        <v>区域自然环境：；人文环境；综合评价环境状况一般</v>
      </c>
      <c r="C79" s="2040"/>
      <c r="D79" s="1062">
        <f t="shared" si="17"/>
        <v>0</v>
      </c>
      <c r="E79" s="744"/>
      <c r="F79" s="1810"/>
      <c r="G79" s="1060"/>
      <c r="H79" s="1063" t="str">
        <f t="shared" si="18"/>
        <v>——</v>
      </c>
      <c r="I79" s="3363">
        <v>0.12</v>
      </c>
      <c r="J79" s="1061">
        <f t="shared" si="19"/>
        <v>0</v>
      </c>
      <c r="K79" s="1061">
        <f t="shared" si="20"/>
        <v>0</v>
      </c>
      <c r="L79" s="1061">
        <v>0</v>
      </c>
      <c r="M79" s="1061">
        <f t="shared" si="21"/>
        <v>0</v>
      </c>
      <c r="N79" s="1061">
        <f t="shared" si="21"/>
        <v>0</v>
      </c>
      <c r="Z79" s="1994"/>
      <c r="AA79" s="2049"/>
      <c r="AG79" s="1118"/>
      <c r="AK79" s="2049"/>
    </row>
    <row r="80" spans="1:37" ht="24.75" thickBot="1">
      <c r="A80" s="2134" t="s">
        <v>2068</v>
      </c>
      <c r="B80" s="2138"/>
      <c r="C80" s="2040"/>
      <c r="D80" s="1062">
        <f t="shared" si="17"/>
        <v>0</v>
      </c>
      <c r="E80" s="745"/>
      <c r="F80" s="1810"/>
      <c r="G80" s="1060"/>
      <c r="H80" s="1063" t="str">
        <f t="shared" si="18"/>
        <v>——</v>
      </c>
      <c r="I80" s="3364">
        <v>0.05</v>
      </c>
      <c r="J80" s="1061">
        <f t="shared" si="19"/>
        <v>0</v>
      </c>
      <c r="K80" s="1061">
        <f t="shared" si="20"/>
        <v>0</v>
      </c>
      <c r="L80" s="1061">
        <v>0</v>
      </c>
      <c r="M80" s="1061">
        <f t="shared" si="21"/>
        <v>0</v>
      </c>
      <c r="N80" s="1061">
        <f t="shared" si="21"/>
        <v>0</v>
      </c>
      <c r="Z80" s="1994"/>
      <c r="AA80" s="2049"/>
      <c r="AG80" s="1118"/>
      <c r="AK80" s="2049"/>
    </row>
    <row r="81" spans="1:37" ht="15">
      <c r="A81" s="2122" t="s">
        <v>2069</v>
      </c>
      <c r="B81" s="2123">
        <f>1+E83</f>
        <v>1</v>
      </c>
      <c r="C81" s="738"/>
      <c r="D81" s="738"/>
      <c r="E81" s="739"/>
      <c r="F81" s="2125"/>
      <c r="G81" s="3"/>
      <c r="H81" s="3"/>
      <c r="I81" s="3"/>
      <c r="J81" s="4"/>
      <c r="K81" s="4"/>
      <c r="L81" s="4"/>
      <c r="M81" s="4"/>
      <c r="N81" s="4"/>
      <c r="Z81" s="1994"/>
      <c r="AA81" s="2049"/>
      <c r="AG81" s="1118"/>
      <c r="AK81" s="2049"/>
    </row>
    <row r="82" spans="1:37" ht="24.75">
      <c r="A82" s="2126" t="s">
        <v>2044</v>
      </c>
      <c r="B82" s="1347"/>
      <c r="C82" s="1347" t="s">
        <v>2046</v>
      </c>
      <c r="D82" s="1347" t="s">
        <v>2047</v>
      </c>
      <c r="E82" s="740" t="s">
        <v>2048</v>
      </c>
      <c r="F82" s="2127" t="s">
        <v>2063</v>
      </c>
      <c r="G82" s="1347" t="s">
        <v>310</v>
      </c>
      <c r="H82" s="2128" t="s">
        <v>2050</v>
      </c>
      <c r="I82" s="1347" t="s">
        <v>2051</v>
      </c>
      <c r="J82" s="552" t="s">
        <v>1721</v>
      </c>
      <c r="K82" s="552" t="s">
        <v>1722</v>
      </c>
      <c r="L82" s="552" t="s">
        <v>1723</v>
      </c>
      <c r="M82" s="552" t="s">
        <v>1724</v>
      </c>
      <c r="N82" s="552" t="s">
        <v>1725</v>
      </c>
      <c r="Z82" s="1994"/>
      <c r="AA82" s="2049"/>
      <c r="AG82" s="1118"/>
      <c r="AK82" s="2049"/>
    </row>
    <row r="83" spans="1:37" ht="38.25">
      <c r="A83" s="2126" t="s">
        <v>2070</v>
      </c>
      <c r="B83" s="2130" t="str">
        <f>估价对象房地状况!G15</f>
        <v>估价对象位于XX开发区，园区建设成熟度XX，产业集聚程度XX</v>
      </c>
      <c r="C83" s="2040"/>
      <c r="D83" s="1062">
        <f t="shared" ref="D83:D90" si="22">SUMIF($J$82:$N$82,C83,J83:N83)</f>
        <v>0</v>
      </c>
      <c r="E83" s="741">
        <f>ROUND(SUM(D83:D90),4)</f>
        <v>0</v>
      </c>
      <c r="F83" s="1810" t="str">
        <f>IF(E2="工业",SUMIF(L1:L12,G2,N1:N12),"——")</f>
        <v>——</v>
      </c>
      <c r="G83" s="1060"/>
      <c r="H83" s="1063" t="str">
        <f t="shared" ref="H83:H90" si="23">IFERROR(ROUNDDOWN($F$83*I83/2,4),"——")</f>
        <v>——</v>
      </c>
      <c r="I83" s="3363">
        <v>0.26</v>
      </c>
      <c r="J83" s="1061">
        <f t="shared" ref="J83:J90" si="24">K83+$G83</f>
        <v>0</v>
      </c>
      <c r="K83" s="1061">
        <f t="shared" ref="K83:K90" si="25">$L83+$G83</f>
        <v>0</v>
      </c>
      <c r="L83" s="1061">
        <v>0</v>
      </c>
      <c r="M83" s="1061">
        <f t="shared" ref="M83:N90" si="26">L83-$G83</f>
        <v>0</v>
      </c>
      <c r="N83" s="1061">
        <f t="shared" si="26"/>
        <v>0</v>
      </c>
      <c r="Z83" s="1994"/>
      <c r="AA83" s="2049"/>
      <c r="AG83" s="1118"/>
      <c r="AK83" s="2049"/>
    </row>
    <row r="84" spans="1:37" ht="38.25">
      <c r="A84" s="2126" t="s">
        <v>2053</v>
      </c>
      <c r="B84" s="2130" t="str">
        <f>估价对象房地状况!G16</f>
        <v>估价对象周边道路状况、公共交通通达情况、停车便捷程度，综合评价交通便捷度较好</v>
      </c>
      <c r="C84" s="2040"/>
      <c r="D84" s="1062">
        <f t="shared" si="22"/>
        <v>0</v>
      </c>
      <c r="E84" s="744"/>
      <c r="F84" s="1810"/>
      <c r="G84" s="1060"/>
      <c r="H84" s="1063" t="str">
        <f t="shared" si="23"/>
        <v>——</v>
      </c>
      <c r="I84" s="3363">
        <v>0.3</v>
      </c>
      <c r="J84" s="1061">
        <f t="shared" si="24"/>
        <v>0</v>
      </c>
      <c r="K84" s="1061">
        <f t="shared" si="25"/>
        <v>0</v>
      </c>
      <c r="L84" s="1061">
        <v>0</v>
      </c>
      <c r="M84" s="1061">
        <f t="shared" si="26"/>
        <v>0</v>
      </c>
      <c r="N84" s="1061">
        <f t="shared" si="26"/>
        <v>0</v>
      </c>
      <c r="Z84" s="1994"/>
      <c r="AA84" s="2049"/>
      <c r="AG84" s="1118"/>
      <c r="AK84" s="2049"/>
    </row>
    <row r="85" spans="1:37" ht="36">
      <c r="A85" s="3365" t="s">
        <v>3276</v>
      </c>
      <c r="B85" s="2130">
        <f>估价对象房地状况!G17</f>
        <v>0</v>
      </c>
      <c r="C85" s="2040"/>
      <c r="D85" s="1062">
        <f t="shared" si="22"/>
        <v>0</v>
      </c>
      <c r="E85" s="744"/>
      <c r="F85" s="1810"/>
      <c r="G85" s="1060"/>
      <c r="H85" s="1063" t="str">
        <f t="shared" si="23"/>
        <v>——</v>
      </c>
      <c r="I85" s="3363">
        <v>0.1</v>
      </c>
      <c r="J85" s="1061">
        <f t="shared" si="24"/>
        <v>0</v>
      </c>
      <c r="K85" s="1061">
        <f t="shared" si="25"/>
        <v>0</v>
      </c>
      <c r="L85" s="1061">
        <v>0</v>
      </c>
      <c r="M85" s="1061">
        <f t="shared" si="26"/>
        <v>0</v>
      </c>
      <c r="N85" s="1061">
        <f t="shared" si="26"/>
        <v>0</v>
      </c>
      <c r="Z85" s="1994"/>
      <c r="AA85" s="2049"/>
      <c r="AG85" s="1118"/>
      <c r="AK85" s="2049"/>
    </row>
    <row r="86" spans="1:37" ht="14.25">
      <c r="A86" s="2126" t="s">
        <v>2067</v>
      </c>
      <c r="B86" s="2130">
        <f>估价对象房地状况!G22</f>
        <v>0</v>
      </c>
      <c r="C86" s="2040"/>
      <c r="D86" s="1062">
        <f t="shared" si="22"/>
        <v>0</v>
      </c>
      <c r="E86" s="744"/>
      <c r="F86" s="1810"/>
      <c r="G86" s="1060"/>
      <c r="H86" s="1063" t="str">
        <f t="shared" si="23"/>
        <v>——</v>
      </c>
      <c r="I86" s="3363">
        <v>0.05</v>
      </c>
      <c r="J86" s="1061">
        <f t="shared" si="24"/>
        <v>0</v>
      </c>
      <c r="K86" s="1061">
        <f t="shared" si="25"/>
        <v>0</v>
      </c>
      <c r="L86" s="1061">
        <v>0</v>
      </c>
      <c r="M86" s="1061">
        <f t="shared" si="26"/>
        <v>0</v>
      </c>
      <c r="N86" s="1061">
        <f t="shared" si="26"/>
        <v>0</v>
      </c>
      <c r="Z86" s="1994"/>
      <c r="AA86" s="2049"/>
      <c r="AG86" s="1118"/>
      <c r="AK86" s="2049"/>
    </row>
    <row r="87" spans="1:37" ht="25.5">
      <c r="A87" s="2126" t="s">
        <v>2059</v>
      </c>
      <c r="B87" s="1322" t="str">
        <f>估价对象房地状况!G19</f>
        <v>估价对象所在区域公共配套设施齐备情况</v>
      </c>
      <c r="C87" s="2040"/>
      <c r="D87" s="1062">
        <f t="shared" si="22"/>
        <v>0</v>
      </c>
      <c r="E87" s="744"/>
      <c r="F87" s="1810"/>
      <c r="G87" s="1060"/>
      <c r="H87" s="1063" t="str">
        <f t="shared" si="23"/>
        <v>——</v>
      </c>
      <c r="I87" s="3363">
        <v>0.06</v>
      </c>
      <c r="J87" s="1061">
        <f t="shared" si="24"/>
        <v>0</v>
      </c>
      <c r="K87" s="1061">
        <f t="shared" si="25"/>
        <v>0</v>
      </c>
      <c r="L87" s="1061">
        <v>0</v>
      </c>
      <c r="M87" s="1061">
        <f t="shared" si="26"/>
        <v>0</v>
      </c>
      <c r="N87" s="1061">
        <f t="shared" si="26"/>
        <v>0</v>
      </c>
    </row>
    <row r="88" spans="1:37" ht="25.5">
      <c r="A88" s="2126" t="s">
        <v>2060</v>
      </c>
      <c r="B88" s="1322" t="str">
        <f>估价对象房地状况!G20</f>
        <v>估价对象所在区域基础设施水平</v>
      </c>
      <c r="C88" s="2040"/>
      <c r="D88" s="1062">
        <f t="shared" si="22"/>
        <v>0</v>
      </c>
      <c r="E88" s="744"/>
      <c r="F88" s="1810"/>
      <c r="G88" s="1060"/>
      <c r="H88" s="1063" t="str">
        <f t="shared" si="23"/>
        <v>——</v>
      </c>
      <c r="I88" s="3363">
        <v>0.12</v>
      </c>
      <c r="J88" s="1061">
        <f t="shared" si="24"/>
        <v>0</v>
      </c>
      <c r="K88" s="1061">
        <f t="shared" si="25"/>
        <v>0</v>
      </c>
      <c r="L88" s="1061">
        <v>0</v>
      </c>
      <c r="M88" s="1061">
        <f t="shared" si="26"/>
        <v>0</v>
      </c>
      <c r="N88" s="1061">
        <f t="shared" si="26"/>
        <v>0</v>
      </c>
    </row>
    <row r="89" spans="1:37" ht="24">
      <c r="A89" s="2126" t="s">
        <v>2057</v>
      </c>
      <c r="B89" s="2132" t="s">
        <v>2071</v>
      </c>
      <c r="C89" s="2040"/>
      <c r="D89" s="1062">
        <f t="shared" si="22"/>
        <v>0</v>
      </c>
      <c r="E89" s="744"/>
      <c r="F89" s="1810"/>
      <c r="G89" s="1060"/>
      <c r="H89" s="1063" t="str">
        <f t="shared" si="23"/>
        <v>——</v>
      </c>
      <c r="I89" s="3363">
        <v>0.06</v>
      </c>
      <c r="J89" s="1061">
        <f t="shared" si="24"/>
        <v>0</v>
      </c>
      <c r="K89" s="1061">
        <f t="shared" si="25"/>
        <v>0</v>
      </c>
      <c r="L89" s="1061">
        <v>0</v>
      </c>
      <c r="M89" s="1061">
        <f t="shared" si="26"/>
        <v>0</v>
      </c>
      <c r="N89" s="1061">
        <f t="shared" si="26"/>
        <v>0</v>
      </c>
    </row>
    <row r="90" spans="1:37" ht="39" thickBot="1">
      <c r="A90" s="2134" t="s">
        <v>2072</v>
      </c>
      <c r="B90" s="2139" t="str">
        <f>估价对象房地状况!G18</f>
        <v>该园区内是否有污染型企业，绿化情况，卫生条件，整体环境状况判断</v>
      </c>
      <c r="C90" s="2040"/>
      <c r="D90" s="1062">
        <f t="shared" si="22"/>
        <v>0</v>
      </c>
      <c r="E90" s="745"/>
      <c r="F90" s="1810"/>
      <c r="G90" s="1060"/>
      <c r="H90" s="1063" t="str">
        <f t="shared" si="23"/>
        <v>——</v>
      </c>
      <c r="I90" s="3364">
        <v>0.05</v>
      </c>
      <c r="J90" s="1061">
        <f t="shared" si="24"/>
        <v>0</v>
      </c>
      <c r="K90" s="1061">
        <f t="shared" si="25"/>
        <v>0</v>
      </c>
      <c r="L90" s="1061">
        <v>0</v>
      </c>
      <c r="M90" s="1061">
        <f t="shared" si="26"/>
        <v>0</v>
      </c>
      <c r="N90" s="1061">
        <f t="shared" si="26"/>
        <v>0</v>
      </c>
    </row>
    <row r="91" spans="1:37" ht="15">
      <c r="A91" s="3373" t="s">
        <v>2614</v>
      </c>
      <c r="B91" s="3374">
        <f>1+E93</f>
        <v>1</v>
      </c>
      <c r="C91" s="3367"/>
      <c r="D91" s="3368"/>
      <c r="E91" s="1810"/>
      <c r="F91" s="1810"/>
      <c r="G91" s="3369"/>
      <c r="H91" s="3370"/>
      <c r="I91" s="3371"/>
      <c r="J91" s="3372"/>
      <c r="K91" s="3372"/>
      <c r="L91" s="3372"/>
      <c r="M91" s="3372"/>
      <c r="N91" s="3372"/>
    </row>
    <row r="92" spans="1:37" ht="24.75">
      <c r="A92" s="3375" t="s">
        <v>3277</v>
      </c>
      <c r="B92" s="3362"/>
      <c r="C92" s="3362" t="s">
        <v>3286</v>
      </c>
      <c r="D92" s="3362" t="s">
        <v>3287</v>
      </c>
      <c r="E92" s="3344" t="s">
        <v>3288</v>
      </c>
      <c r="F92" s="3377" t="s">
        <v>3289</v>
      </c>
      <c r="G92" s="3362" t="s">
        <v>3290</v>
      </c>
      <c r="H92" s="3384" t="s">
        <v>3293</v>
      </c>
      <c r="I92" s="3362" t="s">
        <v>3294</v>
      </c>
      <c r="J92" s="3385" t="s">
        <v>3295</v>
      </c>
      <c r="K92" s="3385" t="s">
        <v>3296</v>
      </c>
      <c r="L92" s="3385" t="s">
        <v>3297</v>
      </c>
      <c r="M92" s="3385" t="s">
        <v>3298</v>
      </c>
      <c r="N92" s="3385" t="s">
        <v>3299</v>
      </c>
    </row>
    <row r="93" spans="1:37" ht="24">
      <c r="A93" s="3365" t="s">
        <v>3278</v>
      </c>
      <c r="B93" s="1302"/>
      <c r="C93" s="2040"/>
      <c r="D93" s="3362">
        <f>SUMIF($J$92:$N$92,C93,J93:N93)</f>
        <v>0</v>
      </c>
      <c r="E93" s="3378">
        <f>ROUND(SUM(D93:D101),4)</f>
        <v>0</v>
      </c>
      <c r="F93" s="1810"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38.25">
      <c r="A94" s="3375" t="s">
        <v>3279</v>
      </c>
      <c r="B94" s="3366" t="str">
        <f>估价对象房地状况!C18</f>
        <v>估价对象周边道路状况、公共交通通达情况、停车便捷程度，综合评价交通便捷度较好</v>
      </c>
      <c r="C94" s="2040"/>
      <c r="D94" s="3362">
        <f t="shared" ref="D94:D101" si="30">SUMIF($J$60:$N$60,C94,J94:N94)</f>
        <v>0</v>
      </c>
      <c r="E94" s="3379"/>
      <c r="F94" s="1810"/>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3275</v>
      </c>
      <c r="B95" s="3366">
        <f>估价对象房地状况!C19</f>
        <v>0</v>
      </c>
      <c r="C95" s="2040"/>
      <c r="D95" s="3362">
        <f t="shared" si="30"/>
        <v>0</v>
      </c>
      <c r="E95" s="3379"/>
      <c r="F95" s="1810"/>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3280</v>
      </c>
      <c r="B96" s="3381" t="s">
        <v>3291</v>
      </c>
      <c r="C96" s="2040"/>
      <c r="D96" s="3362">
        <f t="shared" si="30"/>
        <v>0</v>
      </c>
      <c r="E96" s="3379"/>
      <c r="F96" s="1810"/>
      <c r="G96" s="3369"/>
      <c r="H96" s="3417" t="str">
        <f t="shared" si="31"/>
        <v>——</v>
      </c>
      <c r="I96" s="3363">
        <v>0.05</v>
      </c>
      <c r="J96" s="3341">
        <f t="shared" si="27"/>
        <v>0</v>
      </c>
      <c r="K96" s="3341">
        <f t="shared" si="28"/>
        <v>0</v>
      </c>
      <c r="L96" s="3341">
        <v>0</v>
      </c>
      <c r="M96" s="3341">
        <f t="shared" si="29"/>
        <v>0</v>
      </c>
      <c r="N96" s="3341">
        <f t="shared" si="29"/>
        <v>0</v>
      </c>
    </row>
    <row r="97" spans="1:14" ht="24">
      <c r="A97" s="3375" t="s">
        <v>3281</v>
      </c>
      <c r="B97" s="3366">
        <f>估价对象房地状况!C24</f>
        <v>0</v>
      </c>
      <c r="C97" s="2040"/>
      <c r="D97" s="3362">
        <f t="shared" si="30"/>
        <v>0</v>
      </c>
      <c r="E97" s="3379"/>
      <c r="F97" s="1810"/>
      <c r="G97" s="3369"/>
      <c r="H97" s="3417" t="str">
        <f t="shared" si="31"/>
        <v>——</v>
      </c>
      <c r="I97" s="3363">
        <v>0.05</v>
      </c>
      <c r="J97" s="3341">
        <f t="shared" si="27"/>
        <v>0</v>
      </c>
      <c r="K97" s="3341">
        <f t="shared" si="28"/>
        <v>0</v>
      </c>
      <c r="L97" s="3341">
        <v>0</v>
      </c>
      <c r="M97" s="3341">
        <f t="shared" si="29"/>
        <v>0</v>
      </c>
      <c r="N97" s="3341">
        <f t="shared" si="29"/>
        <v>0</v>
      </c>
    </row>
    <row r="98" spans="1:14" ht="24">
      <c r="A98" s="3375" t="s">
        <v>3282</v>
      </c>
      <c r="B98" s="3382" t="s">
        <v>3292</v>
      </c>
      <c r="C98" s="2040"/>
      <c r="D98" s="3362">
        <f t="shared" si="30"/>
        <v>0</v>
      </c>
      <c r="E98" s="3379"/>
      <c r="F98" s="1810"/>
      <c r="G98" s="3369"/>
      <c r="H98" s="3417" t="str">
        <f t="shared" si="31"/>
        <v>——</v>
      </c>
      <c r="I98" s="3363">
        <v>0.06</v>
      </c>
      <c r="J98" s="3341">
        <f t="shared" si="27"/>
        <v>0</v>
      </c>
      <c r="K98" s="3341">
        <f t="shared" si="28"/>
        <v>0</v>
      </c>
      <c r="L98" s="3341">
        <v>0</v>
      </c>
      <c r="M98" s="3341">
        <f t="shared" si="29"/>
        <v>0</v>
      </c>
      <c r="N98" s="3341">
        <f t="shared" si="29"/>
        <v>0</v>
      </c>
    </row>
    <row r="99" spans="1:14" ht="25.5">
      <c r="A99" s="3375" t="s">
        <v>3283</v>
      </c>
      <c r="B99" s="3366" t="str">
        <f>估价对象房地状况!C21</f>
        <v>估价对象所在区域公共配套设施齐备情况</v>
      </c>
      <c r="C99" s="2040"/>
      <c r="D99" s="3362">
        <f t="shared" si="30"/>
        <v>0</v>
      </c>
      <c r="E99" s="3379"/>
      <c r="F99" s="1810"/>
      <c r="G99" s="3369"/>
      <c r="H99" s="3417" t="str">
        <f t="shared" si="31"/>
        <v>——</v>
      </c>
      <c r="I99" s="3363">
        <v>0.06</v>
      </c>
      <c r="J99" s="3341">
        <f t="shared" si="27"/>
        <v>0</v>
      </c>
      <c r="K99" s="3341">
        <f t="shared" si="28"/>
        <v>0</v>
      </c>
      <c r="L99" s="3341">
        <v>0</v>
      </c>
      <c r="M99" s="3341">
        <f t="shared" si="29"/>
        <v>0</v>
      </c>
      <c r="N99" s="3341">
        <f t="shared" si="29"/>
        <v>0</v>
      </c>
    </row>
    <row r="100" spans="1:14" ht="25.5">
      <c r="A100" s="3375" t="s">
        <v>3284</v>
      </c>
      <c r="B100" s="3366" t="str">
        <f>估价对象房地状况!C22</f>
        <v>估价对象所在区域基础设施水平</v>
      </c>
      <c r="C100" s="2040"/>
      <c r="D100" s="3362">
        <f t="shared" si="30"/>
        <v>0</v>
      </c>
      <c r="E100" s="3379"/>
      <c r="F100" s="1810"/>
      <c r="G100" s="3369"/>
      <c r="H100" s="3417" t="str">
        <f t="shared" si="31"/>
        <v>——</v>
      </c>
      <c r="I100" s="3363">
        <v>0.09</v>
      </c>
      <c r="J100" s="3341">
        <f t="shared" si="27"/>
        <v>0</v>
      </c>
      <c r="K100" s="3341">
        <f t="shared" si="28"/>
        <v>0</v>
      </c>
      <c r="L100" s="3341">
        <v>0</v>
      </c>
      <c r="M100" s="3341">
        <f t="shared" si="29"/>
        <v>0</v>
      </c>
      <c r="N100" s="3341">
        <f t="shared" si="29"/>
        <v>0</v>
      </c>
    </row>
    <row r="101" spans="1:14" ht="26.25" thickBot="1">
      <c r="A101" s="3376" t="s">
        <v>3285</v>
      </c>
      <c r="B101" s="3383" t="str">
        <f>估价对象房地状况!C20</f>
        <v>区域自然环境：；人文环境；综合评价环境状况一般</v>
      </c>
      <c r="C101" s="2040"/>
      <c r="D101" s="3362">
        <f t="shared" si="30"/>
        <v>0</v>
      </c>
      <c r="E101" s="3380"/>
      <c r="F101" s="1810"/>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818" t="s">
        <v>3300</v>
      </c>
      <c r="B103" s="3818"/>
      <c r="C103" s="3818"/>
      <c r="D103" s="3818"/>
      <c r="E103" s="3818"/>
      <c r="F103" s="3818"/>
      <c r="G103" s="3818"/>
      <c r="H103" s="3818"/>
      <c r="I103" s="3818"/>
      <c r="J103" s="3818"/>
      <c r="K103" s="3386"/>
      <c r="L103" s="3386"/>
      <c r="M103" s="3386"/>
      <c r="N103" s="3386"/>
    </row>
    <row r="104" spans="1:14">
      <c r="A104" s="3819" t="s">
        <v>3301</v>
      </c>
      <c r="B104" s="3819" t="s">
        <v>3302</v>
      </c>
      <c r="C104" s="3387" t="s">
        <v>3303</v>
      </c>
      <c r="D104" s="3388"/>
      <c r="E104" s="3388"/>
      <c r="F104" s="3388"/>
      <c r="G104" s="3388"/>
      <c r="H104" s="3388"/>
      <c r="I104" s="3388"/>
      <c r="J104" s="3389"/>
      <c r="K104" s="3390"/>
      <c r="L104" s="3390"/>
      <c r="M104" s="3390"/>
      <c r="N104" s="3390"/>
    </row>
    <row r="105" spans="1:14">
      <c r="A105" s="3819"/>
      <c r="B105" s="3819"/>
      <c r="C105" s="3391" t="s">
        <v>3304</v>
      </c>
      <c r="D105" s="3391" t="s">
        <v>3305</v>
      </c>
      <c r="E105" s="3391" t="s">
        <v>3306</v>
      </c>
      <c r="F105" s="3391" t="s">
        <v>3307</v>
      </c>
      <c r="G105" s="3391" t="s">
        <v>3308</v>
      </c>
      <c r="H105" s="3391" t="s">
        <v>3309</v>
      </c>
      <c r="I105" s="3391" t="s">
        <v>3310</v>
      </c>
      <c r="J105" s="3391" t="s">
        <v>3311</v>
      </c>
      <c r="K105" s="3391" t="s">
        <v>3312</v>
      </c>
      <c r="L105" s="3391" t="s">
        <v>3313</v>
      </c>
      <c r="M105" s="3391" t="s">
        <v>3314</v>
      </c>
      <c r="N105" s="3391" t="s">
        <v>3315</v>
      </c>
    </row>
    <row r="106" spans="1:14">
      <c r="A106" s="3805" t="s">
        <v>3316</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806"/>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806"/>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806"/>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806"/>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806"/>
      <c r="B111" s="3391" t="s">
        <v>3274</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807"/>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808" t="s">
        <v>3317</v>
      </c>
      <c r="B113" s="3808"/>
      <c r="C113" s="3808"/>
      <c r="D113" s="3808"/>
      <c r="E113" s="3808"/>
      <c r="F113" s="3808"/>
      <c r="G113" s="3808"/>
      <c r="H113" s="3808"/>
      <c r="I113" s="3808"/>
      <c r="J113" s="3808"/>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3318</v>
      </c>
      <c r="B116" s="3412">
        <f>G3</f>
        <v>10.612133573300682</v>
      </c>
      <c r="C116" s="3396" t="s">
        <v>3319</v>
      </c>
      <c r="D116" s="3397">
        <f>SUMPRODUCT((A118:A122=F116)*(B117:M117=H116)*B118:M122)</f>
        <v>0</v>
      </c>
      <c r="E116" s="1996" t="s">
        <v>3320</v>
      </c>
      <c r="F116" s="3398">
        <f>E2</f>
        <v>0</v>
      </c>
      <c r="G116" s="1996" t="s">
        <v>3321</v>
      </c>
      <c r="H116" s="3398">
        <f>G2</f>
        <v>0</v>
      </c>
      <c r="I116" s="1996"/>
      <c r="J116" s="3399"/>
      <c r="K116" s="3399"/>
      <c r="L116" s="3399"/>
      <c r="M116" s="3399"/>
      <c r="N116" s="3394"/>
    </row>
    <row r="117" spans="1:14">
      <c r="A117" s="3400"/>
      <c r="B117" s="3401" t="s">
        <v>3322</v>
      </c>
      <c r="C117" s="3401" t="s">
        <v>3323</v>
      </c>
      <c r="D117" s="3401" t="s">
        <v>3324</v>
      </c>
      <c r="E117" s="3402" t="s">
        <v>3325</v>
      </c>
      <c r="F117" s="3402" t="s">
        <v>3326</v>
      </c>
      <c r="G117" s="3402" t="s">
        <v>3327</v>
      </c>
      <c r="H117" s="3403" t="s">
        <v>3328</v>
      </c>
      <c r="I117" s="3403" t="s">
        <v>3329</v>
      </c>
      <c r="J117" s="3404" t="s">
        <v>3330</v>
      </c>
      <c r="K117" s="3404" t="s">
        <v>3331</v>
      </c>
      <c r="L117" s="3404" t="s">
        <v>3332</v>
      </c>
      <c r="M117" s="3405" t="s">
        <v>3333</v>
      </c>
      <c r="N117" s="3394"/>
    </row>
    <row r="118" spans="1:14">
      <c r="A118" s="3406" t="s">
        <v>3334</v>
      </c>
      <c r="B118" s="3384">
        <f>ROUND(0.9968-0.011*B116,4)</f>
        <v>0.88009999999999999</v>
      </c>
      <c r="C118" s="3384">
        <f>B118</f>
        <v>0.88009999999999999</v>
      </c>
      <c r="D118" s="3384">
        <f>ROUND(0.949-0.014*B116,4)</f>
        <v>0.8004</v>
      </c>
      <c r="E118" s="3384">
        <f>D118</f>
        <v>0.8004</v>
      </c>
      <c r="F118" s="3384">
        <f>E118</f>
        <v>0.8004</v>
      </c>
      <c r="G118" s="3384">
        <f>F118</f>
        <v>0.8004</v>
      </c>
      <c r="H118" s="3384">
        <f>G118</f>
        <v>0.8004</v>
      </c>
      <c r="I118" s="3384">
        <f>ROUND(0.8486-0.018*B116,4)</f>
        <v>0.65759999999999996</v>
      </c>
      <c r="J118" s="3384">
        <f t="shared" ref="J118:M122" si="35">I118</f>
        <v>0.65759999999999996</v>
      </c>
      <c r="K118" s="3384">
        <f t="shared" si="35"/>
        <v>0.65759999999999996</v>
      </c>
      <c r="L118" s="3384">
        <f t="shared" si="35"/>
        <v>0.65759999999999996</v>
      </c>
      <c r="M118" s="3407">
        <f t="shared" si="35"/>
        <v>0.65759999999999996</v>
      </c>
      <c r="N118" s="3394"/>
    </row>
    <row r="119" spans="1:14">
      <c r="A119" s="3406" t="s">
        <v>3335</v>
      </c>
      <c r="B119" s="3384">
        <f>ROUND(0.993-0.0112*B116,4)</f>
        <v>0.87409999999999999</v>
      </c>
      <c r="C119" s="3384">
        <f>B119</f>
        <v>0.87409999999999999</v>
      </c>
      <c r="D119" s="3384">
        <f>ROUND(0.9415-0.0142*B116,4)</f>
        <v>0.79079999999999995</v>
      </c>
      <c r="E119" s="3384">
        <f t="shared" ref="E119:H120" si="36">D119</f>
        <v>0.79079999999999995</v>
      </c>
      <c r="F119" s="3384">
        <f t="shared" si="36"/>
        <v>0.79079999999999995</v>
      </c>
      <c r="G119" s="3384">
        <f t="shared" si="36"/>
        <v>0.79079999999999995</v>
      </c>
      <c r="H119" s="3384">
        <f t="shared" si="36"/>
        <v>0.79079999999999995</v>
      </c>
      <c r="I119" s="3384">
        <f>ROUND(0.838-0.0182*B116,4)</f>
        <v>0.64490000000000003</v>
      </c>
      <c r="J119" s="3384">
        <f t="shared" si="35"/>
        <v>0.64490000000000003</v>
      </c>
      <c r="K119" s="3384">
        <f t="shared" si="35"/>
        <v>0.64490000000000003</v>
      </c>
      <c r="L119" s="3384">
        <f t="shared" si="35"/>
        <v>0.64490000000000003</v>
      </c>
      <c r="M119" s="3407">
        <f t="shared" si="35"/>
        <v>0.64490000000000003</v>
      </c>
      <c r="N119" s="3394"/>
    </row>
    <row r="120" spans="1:14">
      <c r="A120" s="3406" t="s">
        <v>3336</v>
      </c>
      <c r="B120" s="3384">
        <f>ROUND(0.9448-0.0115*B116,4)</f>
        <v>0.82279999999999998</v>
      </c>
      <c r="C120" s="3384">
        <f>B120</f>
        <v>0.82279999999999998</v>
      </c>
      <c r="D120" s="3384">
        <f>ROUND(0.937-0.0145*B116,4)</f>
        <v>0.78310000000000002</v>
      </c>
      <c r="E120" s="3384">
        <f t="shared" si="36"/>
        <v>0.78310000000000002</v>
      </c>
      <c r="F120" s="3384">
        <f t="shared" si="36"/>
        <v>0.78310000000000002</v>
      </c>
      <c r="G120" s="3384">
        <f t="shared" si="36"/>
        <v>0.78310000000000002</v>
      </c>
      <c r="H120" s="3384">
        <f t="shared" si="36"/>
        <v>0.78310000000000002</v>
      </c>
      <c r="I120" s="3384">
        <f>ROUND(0.7965-0.0185*B116,4)</f>
        <v>0.60019999999999996</v>
      </c>
      <c r="J120" s="3384">
        <f t="shared" si="35"/>
        <v>0.60019999999999996</v>
      </c>
      <c r="K120" s="3384">
        <f t="shared" si="35"/>
        <v>0.60019999999999996</v>
      </c>
      <c r="L120" s="3384">
        <f t="shared" si="35"/>
        <v>0.60019999999999996</v>
      </c>
      <c r="M120" s="3407">
        <f t="shared" si="35"/>
        <v>0.60019999999999996</v>
      </c>
      <c r="N120" s="3394"/>
    </row>
    <row r="121" spans="1:14" ht="13.5" thickBot="1">
      <c r="A121" s="3408" t="s">
        <v>3337</v>
      </c>
      <c r="B121" s="3409">
        <f>ROUND(0.7836-0.012*B116,4)</f>
        <v>0.65629999999999999</v>
      </c>
      <c r="C121" s="3409">
        <f>B121</f>
        <v>0.65629999999999999</v>
      </c>
      <c r="D121" s="3409">
        <f>ROUND(0.753-0.015*B116,4)</f>
        <v>0.59379999999999999</v>
      </c>
      <c r="E121" s="3409">
        <f>D121</f>
        <v>0.59379999999999999</v>
      </c>
      <c r="F121" s="3409">
        <f>E121</f>
        <v>0.59379999999999999</v>
      </c>
      <c r="G121" s="3409">
        <f>ROUND(0.6612-0.018*B116,4)</f>
        <v>0.47020000000000001</v>
      </c>
      <c r="H121" s="3409">
        <f>G121</f>
        <v>0.47020000000000001</v>
      </c>
      <c r="I121" s="3409">
        <f>ROUND(0.5905-0.019*B116,4)</f>
        <v>0.38890000000000002</v>
      </c>
      <c r="J121" s="3409">
        <f t="shared" si="35"/>
        <v>0.38890000000000002</v>
      </c>
      <c r="K121" s="3409">
        <f t="shared" si="35"/>
        <v>0.38890000000000002</v>
      </c>
      <c r="L121" s="3409">
        <f t="shared" si="35"/>
        <v>0.38890000000000002</v>
      </c>
      <c r="M121" s="3410">
        <f t="shared" si="35"/>
        <v>0.38890000000000002</v>
      </c>
      <c r="N121" s="3394"/>
    </row>
    <row r="122" spans="1:14">
      <c r="A122" s="3411" t="s">
        <v>2614</v>
      </c>
      <c r="B122" s="3384">
        <f>ROUND(0.9404-0.0106*B116,4)</f>
        <v>0.82789999999999997</v>
      </c>
      <c r="C122" s="3384">
        <f>B122</f>
        <v>0.82789999999999997</v>
      </c>
      <c r="D122" s="3384">
        <f>ROUND(0.8955-0.0135*B116,4)</f>
        <v>0.75219999999999998</v>
      </c>
      <c r="E122" s="3384">
        <f t="shared" ref="E122:H122" si="37">D122</f>
        <v>0.75219999999999998</v>
      </c>
      <c r="F122" s="3384">
        <f t="shared" si="37"/>
        <v>0.75219999999999998</v>
      </c>
      <c r="G122" s="3384">
        <f t="shared" si="37"/>
        <v>0.75219999999999998</v>
      </c>
      <c r="H122" s="3384">
        <f t="shared" si="37"/>
        <v>0.75219999999999998</v>
      </c>
      <c r="I122" s="3384">
        <f>ROUND(0.7632-0.0166*B116,4)</f>
        <v>0.58699999999999997</v>
      </c>
      <c r="J122" s="3384">
        <f t="shared" si="35"/>
        <v>0.58699999999999997</v>
      </c>
      <c r="K122" s="3384">
        <f t="shared" si="35"/>
        <v>0.58699999999999997</v>
      </c>
      <c r="L122" s="3384">
        <f t="shared" si="35"/>
        <v>0.58699999999999997</v>
      </c>
      <c r="M122" s="3407">
        <f t="shared" si="35"/>
        <v>0.58699999999999997</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23" priority="6" stopIfTrue="1" operator="notEqual">
      <formula>"——"</formula>
    </cfRule>
  </conditionalFormatting>
  <conditionalFormatting sqref="F61">
    <cfRule type="cellIs" dxfId="22" priority="5" stopIfTrue="1" operator="notEqual">
      <formula>"——"</formula>
    </cfRule>
  </conditionalFormatting>
  <conditionalFormatting sqref="F72">
    <cfRule type="cellIs" dxfId="21" priority="4" stopIfTrue="1" operator="notEqual">
      <formula>"——"</formula>
    </cfRule>
  </conditionalFormatting>
  <conditionalFormatting sqref="F83">
    <cfRule type="cellIs" dxfId="20" priority="3" stopIfTrue="1" operator="notEqual">
      <formula>"——"</formula>
    </cfRule>
  </conditionalFormatting>
  <conditionalFormatting sqref="H50:H58 H61:H69 H72:H80 H83:H91">
    <cfRule type="cellIs" dxfId="19" priority="2" operator="notEqual">
      <formula>"——"</formula>
    </cfRule>
  </conditionalFormatting>
  <conditionalFormatting sqref="H93:H101">
    <cfRule type="cellIs" dxfId="18"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2596</v>
      </c>
      <c r="B1" s="3068" t="s">
        <v>2597</v>
      </c>
      <c r="C1" s="3068" t="s">
        <v>2598</v>
      </c>
      <c r="D1" s="3068" t="s">
        <v>2599</v>
      </c>
      <c r="E1" s="3068" t="s">
        <v>2600</v>
      </c>
      <c r="F1" s="3068" t="s">
        <v>2601</v>
      </c>
      <c r="G1" s="3068" t="s">
        <v>2602</v>
      </c>
      <c r="H1" s="3068" t="s">
        <v>2603</v>
      </c>
      <c r="I1" s="3068" t="s">
        <v>2604</v>
      </c>
      <c r="J1" s="3068" t="s">
        <v>2605</v>
      </c>
      <c r="K1" s="3068" t="s">
        <v>2606</v>
      </c>
      <c r="L1" s="3068" t="s">
        <v>2607</v>
      </c>
      <c r="M1" s="3069" t="s">
        <v>2608</v>
      </c>
    </row>
    <row r="2" spans="1:13" ht="19.5" customHeight="1">
      <c r="A2" s="3071" t="s">
        <v>2609</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2610</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2611</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2612</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2613</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2614</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2615</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2616</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2617</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2618</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2619</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2620</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2621</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2622</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2623</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2624</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2625</v>
      </c>
      <c r="B18" s="3093"/>
      <c r="C18" s="3094"/>
      <c r="D18" s="3094"/>
      <c r="E18" s="3093"/>
      <c r="F18" s="3094"/>
      <c r="G18" s="3094"/>
    </row>
    <row r="19" spans="1:13" ht="19.5" customHeight="1" thickBot="1">
      <c r="A19" s="3091" t="s">
        <v>2626</v>
      </c>
      <c r="B19" s="3096" t="s">
        <v>2627</v>
      </c>
      <c r="C19" s="3096" t="s">
        <v>2628</v>
      </c>
      <c r="D19" s="3097"/>
      <c r="E19" s="3091" t="s">
        <v>2629</v>
      </c>
      <c r="F19" s="3098"/>
      <c r="G19" s="3098"/>
    </row>
    <row r="20" spans="1:13" ht="19.5" customHeight="1">
      <c r="A20" s="3831" t="s">
        <v>2609</v>
      </c>
      <c r="B20" s="3824" t="s">
        <v>2630</v>
      </c>
      <c r="C20" s="3099" t="s">
        <v>2441</v>
      </c>
      <c r="D20" s="3100"/>
      <c r="E20" s="3101">
        <v>1</v>
      </c>
      <c r="F20" s="3102" t="s">
        <v>2442</v>
      </c>
      <c r="G20" s="3102"/>
    </row>
    <row r="21" spans="1:13" ht="19.5" customHeight="1">
      <c r="A21" s="3832"/>
      <c r="B21" s="3825"/>
      <c r="C21" s="3103" t="s">
        <v>2443</v>
      </c>
      <c r="D21" s="3104"/>
      <c r="E21" s="3105">
        <v>1</v>
      </c>
      <c r="F21" s="3102" t="s">
        <v>2444</v>
      </c>
      <c r="G21" s="3102"/>
    </row>
    <row r="22" spans="1:13" ht="19.5" customHeight="1">
      <c r="A22" s="3832"/>
      <c r="B22" s="3825"/>
      <c r="C22" s="3103" t="s">
        <v>2445</v>
      </c>
      <c r="D22" s="3104"/>
      <c r="E22" s="3105">
        <v>0.9</v>
      </c>
      <c r="F22" s="3102" t="s">
        <v>2446</v>
      </c>
      <c r="G22" s="3102"/>
    </row>
    <row r="23" spans="1:13" ht="19.5" customHeight="1">
      <c r="A23" s="3832"/>
      <c r="B23" s="3825"/>
      <c r="C23" s="3103" t="s">
        <v>2447</v>
      </c>
      <c r="D23" s="3104"/>
      <c r="E23" s="3105">
        <v>0.9</v>
      </c>
      <c r="F23" s="3102" t="s">
        <v>2448</v>
      </c>
      <c r="G23" s="3102"/>
    </row>
    <row r="24" spans="1:13" ht="19.5" customHeight="1">
      <c r="A24" s="3832"/>
      <c r="B24" s="3825"/>
      <c r="C24" s="3103" t="s">
        <v>2449</v>
      </c>
      <c r="D24" s="3104"/>
      <c r="E24" s="3105">
        <v>0.8</v>
      </c>
      <c r="F24" s="3102" t="s">
        <v>2450</v>
      </c>
      <c r="G24" s="3102"/>
    </row>
    <row r="25" spans="1:13" ht="19.5" customHeight="1" thickBot="1">
      <c r="A25" s="3833"/>
      <c r="B25" s="3826"/>
      <c r="C25" s="3106" t="s">
        <v>2451</v>
      </c>
      <c r="D25" s="3107"/>
      <c r="E25" s="3108">
        <v>0.8</v>
      </c>
      <c r="F25" s="3102" t="s">
        <v>2452</v>
      </c>
      <c r="G25" s="3102"/>
    </row>
    <row r="26" spans="1:13" ht="19.5" customHeight="1" thickBot="1">
      <c r="A26" s="3109" t="s">
        <v>2631</v>
      </c>
      <c r="B26" s="3110" t="s">
        <v>2630</v>
      </c>
      <c r="C26" s="3111" t="s">
        <v>2632</v>
      </c>
      <c r="D26" s="3112"/>
      <c r="E26" s="3113">
        <v>1</v>
      </c>
      <c r="F26" s="3102" t="s">
        <v>2453</v>
      </c>
      <c r="G26" s="3102"/>
    </row>
    <row r="27" spans="1:13" ht="19.5" customHeight="1">
      <c r="A27" s="3827" t="s">
        <v>2633</v>
      </c>
      <c r="B27" s="3824" t="s">
        <v>2614</v>
      </c>
      <c r="C27" s="3099" t="s">
        <v>2454</v>
      </c>
      <c r="D27" s="3100"/>
      <c r="E27" s="3101">
        <v>1</v>
      </c>
      <c r="F27" s="3102" t="s">
        <v>2455</v>
      </c>
      <c r="G27" s="3102"/>
    </row>
    <row r="28" spans="1:13" ht="19.5" customHeight="1">
      <c r="A28" s="3828"/>
      <c r="B28" s="3825"/>
      <c r="C28" s="3103" t="s">
        <v>2456</v>
      </c>
      <c r="D28" s="3104"/>
      <c r="E28" s="3105">
        <v>1</v>
      </c>
      <c r="F28" s="3102" t="s">
        <v>2457</v>
      </c>
      <c r="G28" s="3102"/>
    </row>
    <row r="29" spans="1:13" ht="19.5" customHeight="1">
      <c r="A29" s="3828"/>
      <c r="B29" s="3825"/>
      <c r="C29" s="3103" t="s">
        <v>2458</v>
      </c>
      <c r="D29" s="3104"/>
      <c r="E29" s="3105">
        <v>0.8</v>
      </c>
      <c r="F29" s="3102" t="s">
        <v>2459</v>
      </c>
      <c r="G29" s="3102"/>
    </row>
    <row r="30" spans="1:13" ht="19.5" customHeight="1">
      <c r="A30" s="3828"/>
      <c r="B30" s="3825"/>
      <c r="C30" s="3103" t="s">
        <v>2460</v>
      </c>
      <c r="D30" s="3104"/>
      <c r="E30" s="3105">
        <v>0.8</v>
      </c>
      <c r="F30" s="3102" t="s">
        <v>2461</v>
      </c>
      <c r="G30" s="3102"/>
    </row>
    <row r="31" spans="1:13" ht="19.5" customHeight="1">
      <c r="A31" s="3828"/>
      <c r="B31" s="3825"/>
      <c r="C31" s="3103" t="s">
        <v>2462</v>
      </c>
      <c r="D31" s="3104"/>
      <c r="E31" s="3105">
        <v>0.8</v>
      </c>
      <c r="F31" s="3102" t="s">
        <v>2463</v>
      </c>
      <c r="G31" s="3102"/>
    </row>
    <row r="32" spans="1:13" ht="19.5" customHeight="1">
      <c r="A32" s="3828"/>
      <c r="B32" s="3825"/>
      <c r="C32" s="3103" t="s">
        <v>2464</v>
      </c>
      <c r="D32" s="3104"/>
      <c r="E32" s="3105">
        <v>0.7</v>
      </c>
      <c r="F32" s="3102" t="s">
        <v>2465</v>
      </c>
      <c r="G32" s="3102"/>
    </row>
    <row r="33" spans="1:7" ht="19.5" customHeight="1">
      <c r="A33" s="3828"/>
      <c r="B33" s="3825"/>
      <c r="C33" s="3103" t="s">
        <v>2466</v>
      </c>
      <c r="D33" s="3104"/>
      <c r="E33" s="3105">
        <v>0.8</v>
      </c>
      <c r="F33" s="3102" t="s">
        <v>2467</v>
      </c>
      <c r="G33" s="3102"/>
    </row>
    <row r="34" spans="1:7" ht="19.5" customHeight="1">
      <c r="A34" s="3828"/>
      <c r="B34" s="3825"/>
      <c r="C34" s="3103" t="s">
        <v>2468</v>
      </c>
      <c r="D34" s="3104"/>
      <c r="E34" s="3105">
        <v>0.6</v>
      </c>
      <c r="F34" s="3102" t="s">
        <v>2469</v>
      </c>
      <c r="G34" s="3102"/>
    </row>
    <row r="35" spans="1:7" ht="19.5" customHeight="1">
      <c r="A35" s="3828"/>
      <c r="B35" s="3825"/>
      <c r="C35" s="3103" t="s">
        <v>2470</v>
      </c>
      <c r="D35" s="3104"/>
      <c r="E35" s="3105">
        <v>0.2</v>
      </c>
      <c r="F35" s="3102" t="s">
        <v>2471</v>
      </c>
      <c r="G35" s="3102"/>
    </row>
    <row r="36" spans="1:7" ht="19.5" customHeight="1">
      <c r="A36" s="3828"/>
      <c r="B36" s="3825"/>
      <c r="C36" s="3103" t="s">
        <v>2472</v>
      </c>
      <c r="D36" s="3104"/>
      <c r="E36" s="3105">
        <v>0.2</v>
      </c>
      <c r="F36" s="3102" t="s">
        <v>2473</v>
      </c>
      <c r="G36" s="3102"/>
    </row>
    <row r="37" spans="1:7" ht="19.5" customHeight="1">
      <c r="A37" s="3828"/>
      <c r="B37" s="3830" t="s">
        <v>2634</v>
      </c>
      <c r="C37" s="3103" t="s">
        <v>2474</v>
      </c>
      <c r="D37" s="3104"/>
      <c r="E37" s="3105">
        <v>0.6</v>
      </c>
      <c r="F37" s="3102" t="s">
        <v>2475</v>
      </c>
      <c r="G37" s="3102"/>
    </row>
    <row r="38" spans="1:7" ht="19.5" customHeight="1">
      <c r="A38" s="3828"/>
      <c r="B38" s="3825"/>
      <c r="C38" s="3103" t="s">
        <v>2476</v>
      </c>
      <c r="D38" s="3104"/>
      <c r="E38" s="3105">
        <v>0.6</v>
      </c>
      <c r="F38" s="3102" t="s">
        <v>2477</v>
      </c>
      <c r="G38" s="3102"/>
    </row>
    <row r="39" spans="1:7" ht="19.5" customHeight="1" thickBot="1">
      <c r="A39" s="3829"/>
      <c r="B39" s="3826"/>
      <c r="C39" s="3106" t="s">
        <v>2478</v>
      </c>
      <c r="D39" s="3107"/>
      <c r="E39" s="3108">
        <v>0.6</v>
      </c>
      <c r="F39" s="3102" t="s">
        <v>2479</v>
      </c>
      <c r="G39" s="3102"/>
    </row>
    <row r="40" spans="1:7" ht="19.5" customHeight="1" thickBot="1">
      <c r="A40" s="3109" t="s">
        <v>2611</v>
      </c>
      <c r="B40" s="3110" t="s">
        <v>2611</v>
      </c>
      <c r="C40" s="3111" t="s">
        <v>2635</v>
      </c>
      <c r="D40" s="3112"/>
      <c r="E40" s="3113">
        <v>1</v>
      </c>
      <c r="F40" s="3102" t="s">
        <v>2480</v>
      </c>
      <c r="G40" s="3102"/>
    </row>
    <row r="41" spans="1:7" ht="19.5" customHeight="1">
      <c r="A41" s="3831" t="s">
        <v>2612</v>
      </c>
      <c r="B41" s="3824" t="s">
        <v>2636</v>
      </c>
      <c r="C41" s="3099" t="s">
        <v>2481</v>
      </c>
      <c r="D41" s="3100"/>
      <c r="E41" s="3101">
        <v>1</v>
      </c>
      <c r="F41" s="3102" t="s">
        <v>2482</v>
      </c>
      <c r="G41" s="3102"/>
    </row>
    <row r="42" spans="1:7" ht="19.5" customHeight="1">
      <c r="A42" s="3832"/>
      <c r="B42" s="3825"/>
      <c r="C42" s="3103" t="s">
        <v>2483</v>
      </c>
      <c r="D42" s="3104"/>
      <c r="E42" s="3105">
        <v>1</v>
      </c>
      <c r="F42" s="3102" t="s">
        <v>2484</v>
      </c>
      <c r="G42" s="3102"/>
    </row>
    <row r="43" spans="1:7" ht="19.5" customHeight="1">
      <c r="A43" s="3832"/>
      <c r="B43" s="3834"/>
      <c r="C43" s="3103" t="s">
        <v>2485</v>
      </c>
      <c r="D43" s="3104"/>
      <c r="E43" s="3105">
        <v>1.5</v>
      </c>
      <c r="F43" s="3102" t="s">
        <v>2486</v>
      </c>
      <c r="G43" s="3102"/>
    </row>
    <row r="44" spans="1:7" ht="19.5" customHeight="1">
      <c r="A44" s="3832"/>
      <c r="B44" s="3114" t="s">
        <v>2637</v>
      </c>
      <c r="C44" s="3103" t="s">
        <v>2638</v>
      </c>
      <c r="D44" s="3104"/>
      <c r="E44" s="3105">
        <v>2</v>
      </c>
      <c r="F44" s="3102" t="s">
        <v>2487</v>
      </c>
      <c r="G44" s="3102"/>
    </row>
    <row r="45" spans="1:7" ht="19.5" customHeight="1">
      <c r="A45" s="3832"/>
      <c r="B45" s="3830" t="s">
        <v>2639</v>
      </c>
      <c r="C45" s="3103" t="s">
        <v>2488</v>
      </c>
      <c r="D45" s="3104"/>
      <c r="E45" s="3105">
        <v>1</v>
      </c>
      <c r="F45" s="3102" t="s">
        <v>2489</v>
      </c>
      <c r="G45" s="3102"/>
    </row>
    <row r="46" spans="1:7" ht="19.5" customHeight="1">
      <c r="A46" s="3832"/>
      <c r="B46" s="3825"/>
      <c r="C46" s="3103" t="s">
        <v>2490</v>
      </c>
      <c r="D46" s="3104"/>
      <c r="E46" s="3105">
        <v>1</v>
      </c>
      <c r="F46" s="3102" t="s">
        <v>2491</v>
      </c>
      <c r="G46" s="3102"/>
    </row>
    <row r="47" spans="1:7" ht="19.5" customHeight="1">
      <c r="A47" s="3832"/>
      <c r="B47" s="3825"/>
      <c r="C47" s="3103" t="s">
        <v>2492</v>
      </c>
      <c r="D47" s="3104"/>
      <c r="E47" s="3105">
        <v>1</v>
      </c>
      <c r="F47" s="3102" t="s">
        <v>2493</v>
      </c>
      <c r="G47" s="3102"/>
    </row>
    <row r="48" spans="1:7" ht="19.5" customHeight="1">
      <c r="A48" s="3832"/>
      <c r="B48" s="3825"/>
      <c r="C48" s="3103" t="s">
        <v>2494</v>
      </c>
      <c r="D48" s="3104"/>
      <c r="E48" s="3105">
        <v>1</v>
      </c>
      <c r="F48" s="3102" t="s">
        <v>2495</v>
      </c>
      <c r="G48" s="3102"/>
    </row>
    <row r="49" spans="1:7" ht="19.5" customHeight="1">
      <c r="A49" s="3832"/>
      <c r="B49" s="3825"/>
      <c r="C49" s="3103" t="s">
        <v>2496</v>
      </c>
      <c r="D49" s="3104"/>
      <c r="E49" s="3105">
        <v>1</v>
      </c>
      <c r="F49" s="3102" t="s">
        <v>2497</v>
      </c>
      <c r="G49" s="3102"/>
    </row>
    <row r="50" spans="1:7" ht="19.5" customHeight="1">
      <c r="A50" s="3832"/>
      <c r="B50" s="3825"/>
      <c r="C50" s="3103" t="s">
        <v>2498</v>
      </c>
      <c r="D50" s="3104"/>
      <c r="E50" s="3105">
        <v>1</v>
      </c>
      <c r="F50" s="3102" t="s">
        <v>2499</v>
      </c>
      <c r="G50" s="3102"/>
    </row>
    <row r="51" spans="1:7" ht="19.5" customHeight="1" thickBot="1">
      <c r="A51" s="3833"/>
      <c r="B51" s="3826"/>
      <c r="C51" s="3106" t="s">
        <v>2500</v>
      </c>
      <c r="D51" s="3107"/>
      <c r="E51" s="3108">
        <v>1</v>
      </c>
      <c r="F51" s="3102" t="s">
        <v>2501</v>
      </c>
      <c r="G51" s="3102"/>
    </row>
    <row r="52" spans="1:7" ht="19.5" customHeight="1">
      <c r="A52" s="3115"/>
      <c r="B52" s="3115"/>
      <c r="C52" s="3115"/>
      <c r="D52" s="3115"/>
      <c r="E52" s="3115"/>
      <c r="F52" s="3115"/>
      <c r="G52" s="3115"/>
    </row>
    <row r="54" spans="1:7" ht="19.5" customHeight="1">
      <c r="A54" s="3116"/>
      <c r="B54" s="3088" t="s">
        <v>2640</v>
      </c>
      <c r="C54" s="3088" t="s">
        <v>2640</v>
      </c>
      <c r="D54" s="3088" t="s">
        <v>2640</v>
      </c>
      <c r="E54" s="3091" t="s">
        <v>2640</v>
      </c>
      <c r="F54" s="3091" t="s">
        <v>2641</v>
      </c>
      <c r="G54" s="3091" t="s">
        <v>2642</v>
      </c>
    </row>
    <row r="55" spans="1:7" ht="19.5" customHeight="1">
      <c r="A55" s="3117"/>
      <c r="B55" s="3091" t="s">
        <v>2609</v>
      </c>
      <c r="C55" s="3091" t="s">
        <v>2609</v>
      </c>
      <c r="D55" s="3091" t="s">
        <v>2609</v>
      </c>
      <c r="E55" s="3088" t="s">
        <v>2610</v>
      </c>
      <c r="F55" s="3088" t="s">
        <v>2612</v>
      </c>
      <c r="G55" s="3088" t="s">
        <v>2643</v>
      </c>
    </row>
    <row r="56" spans="1:7" ht="19.5" customHeight="1">
      <c r="A56" s="3118"/>
      <c r="B56" s="3088">
        <v>1</v>
      </c>
      <c r="C56" s="3088">
        <v>2</v>
      </c>
      <c r="D56" s="3088">
        <v>3</v>
      </c>
      <c r="E56" s="3119" t="s">
        <v>2644</v>
      </c>
      <c r="F56" s="3119" t="s">
        <v>2644</v>
      </c>
      <c r="G56" s="3119" t="s">
        <v>2644</v>
      </c>
    </row>
    <row r="57" spans="1:7" ht="19.5" customHeight="1">
      <c r="A57" s="3120" t="s">
        <v>2597</v>
      </c>
      <c r="B57" s="3088">
        <v>0.7</v>
      </c>
      <c r="C57" s="3088">
        <v>0.4</v>
      </c>
      <c r="D57" s="3088">
        <v>0.3</v>
      </c>
      <c r="E57" s="3119">
        <v>0.3</v>
      </c>
      <c r="F57" s="3088">
        <v>0.3</v>
      </c>
      <c r="G57" s="3088">
        <v>0.2</v>
      </c>
    </row>
    <row r="58" spans="1:7" ht="19.5" customHeight="1">
      <c r="A58" s="3120" t="s">
        <v>2598</v>
      </c>
      <c r="B58" s="3088">
        <v>0.7</v>
      </c>
      <c r="C58" s="3088">
        <v>0.4</v>
      </c>
      <c r="D58" s="3088">
        <v>0.3</v>
      </c>
      <c r="E58" s="3088">
        <v>0.3</v>
      </c>
      <c r="F58" s="3088">
        <v>0.3</v>
      </c>
      <c r="G58" s="3088">
        <v>0.2</v>
      </c>
    </row>
    <row r="59" spans="1:7" ht="19.5" customHeight="1">
      <c r="A59" s="3120" t="s">
        <v>2599</v>
      </c>
      <c r="B59" s="3088">
        <v>0.6</v>
      </c>
      <c r="C59" s="3088">
        <v>0.3</v>
      </c>
      <c r="D59" s="3088">
        <v>0.25</v>
      </c>
      <c r="E59" s="3088">
        <v>0.25</v>
      </c>
      <c r="F59" s="3088">
        <v>0.25</v>
      </c>
      <c r="G59" s="3088">
        <v>0.15</v>
      </c>
    </row>
    <row r="60" spans="1:7" ht="19.5" customHeight="1">
      <c r="A60" s="3120" t="s">
        <v>2600</v>
      </c>
      <c r="B60" s="3088">
        <v>0.6</v>
      </c>
      <c r="C60" s="3088">
        <v>0.3</v>
      </c>
      <c r="D60" s="3088">
        <v>0.25</v>
      </c>
      <c r="E60" s="3088">
        <v>0.25</v>
      </c>
      <c r="F60" s="3088">
        <v>0.25</v>
      </c>
      <c r="G60" s="3088">
        <v>0.15</v>
      </c>
    </row>
    <row r="61" spans="1:7" ht="19.5" customHeight="1">
      <c r="A61" s="3120" t="s">
        <v>2601</v>
      </c>
      <c r="B61" s="3088">
        <v>0.6</v>
      </c>
      <c r="C61" s="3088">
        <v>0.3</v>
      </c>
      <c r="D61" s="3088">
        <v>0.25</v>
      </c>
      <c r="E61" s="3088">
        <v>0.25</v>
      </c>
      <c r="F61" s="3088">
        <v>0.25</v>
      </c>
      <c r="G61" s="3088">
        <v>0.15</v>
      </c>
    </row>
    <row r="62" spans="1:7" ht="19.5" customHeight="1">
      <c r="A62" s="3120" t="s">
        <v>2602</v>
      </c>
      <c r="B62" s="3088">
        <v>0.6</v>
      </c>
      <c r="C62" s="3088">
        <v>0.3</v>
      </c>
      <c r="D62" s="3088">
        <v>0.25</v>
      </c>
      <c r="E62" s="3088">
        <v>0.25</v>
      </c>
      <c r="F62" s="3088">
        <v>0.25</v>
      </c>
      <c r="G62" s="3088">
        <v>0.15</v>
      </c>
    </row>
    <row r="63" spans="1:7" ht="19.5" customHeight="1">
      <c r="A63" s="3120" t="s">
        <v>2603</v>
      </c>
      <c r="B63" s="3088">
        <v>0.6</v>
      </c>
      <c r="C63" s="3088">
        <v>0.3</v>
      </c>
      <c r="D63" s="3088">
        <v>0.25</v>
      </c>
      <c r="E63" s="3088">
        <v>0.25</v>
      </c>
      <c r="F63" s="3088">
        <v>0.25</v>
      </c>
      <c r="G63" s="3088">
        <v>0.15</v>
      </c>
    </row>
    <row r="64" spans="1:7" ht="19.5" customHeight="1">
      <c r="A64" s="3120" t="s">
        <v>2604</v>
      </c>
      <c r="B64" s="3088">
        <v>0.5</v>
      </c>
      <c r="C64" s="3088">
        <v>0.2</v>
      </c>
      <c r="D64" s="3088">
        <v>0.2</v>
      </c>
      <c r="E64" s="3088">
        <v>0.2</v>
      </c>
      <c r="F64" s="3088">
        <v>0.2</v>
      </c>
      <c r="G64" s="3088">
        <v>0.1</v>
      </c>
    </row>
    <row r="65" spans="1:7" ht="19.5" customHeight="1">
      <c r="A65" s="3120" t="s">
        <v>2605</v>
      </c>
      <c r="B65" s="3088">
        <v>0.5</v>
      </c>
      <c r="C65" s="3088">
        <v>0.2</v>
      </c>
      <c r="D65" s="3088">
        <v>0.2</v>
      </c>
      <c r="E65" s="3088">
        <v>0.2</v>
      </c>
      <c r="F65" s="3088">
        <v>0.2</v>
      </c>
      <c r="G65" s="3088">
        <v>0.1</v>
      </c>
    </row>
    <row r="66" spans="1:7" ht="19.5" customHeight="1">
      <c r="A66" s="3120" t="s">
        <v>2606</v>
      </c>
      <c r="B66" s="3088">
        <v>0.5</v>
      </c>
      <c r="C66" s="3088">
        <v>0.2</v>
      </c>
      <c r="D66" s="3088">
        <v>0.2</v>
      </c>
      <c r="E66" s="3088">
        <v>0.2</v>
      </c>
      <c r="F66" s="3088">
        <v>0.2</v>
      </c>
      <c r="G66" s="3088">
        <v>0.1</v>
      </c>
    </row>
    <row r="67" spans="1:7" ht="19.5" customHeight="1">
      <c r="A67" s="3120" t="s">
        <v>2607</v>
      </c>
      <c r="B67" s="3088">
        <v>0.5</v>
      </c>
      <c r="C67" s="3088">
        <v>0.2</v>
      </c>
      <c r="D67" s="3088">
        <v>0.2</v>
      </c>
      <c r="E67" s="3088">
        <v>0.2</v>
      </c>
      <c r="F67" s="3088">
        <v>0.2</v>
      </c>
      <c r="G67" s="3088">
        <v>0.1</v>
      </c>
    </row>
    <row r="68" spans="1:7" ht="19.5" customHeight="1">
      <c r="A68" s="3120" t="s">
        <v>2608</v>
      </c>
      <c r="B68" s="3088">
        <v>0.5</v>
      </c>
      <c r="C68" s="3088">
        <v>0.2</v>
      </c>
      <c r="D68" s="3088">
        <v>0.2</v>
      </c>
      <c r="E68" s="3088">
        <v>0.2</v>
      </c>
      <c r="F68" s="3088">
        <v>0.2</v>
      </c>
      <c r="G68" s="3088">
        <v>0.1</v>
      </c>
    </row>
    <row r="70" spans="1:7" ht="19.5" customHeight="1">
      <c r="A70" s="3121"/>
      <c r="B70" s="3122"/>
      <c r="C70" s="3122"/>
      <c r="D70" s="3122" t="s">
        <v>2645</v>
      </c>
      <c r="E70" s="3122"/>
      <c r="F70" s="3122"/>
    </row>
    <row r="71" spans="1:7" ht="19.5" customHeight="1">
      <c r="A71" s="3114" t="s">
        <v>2646</v>
      </c>
      <c r="B71" s="3114" t="s">
        <v>2647</v>
      </c>
      <c r="C71" s="3114" t="s">
        <v>2648</v>
      </c>
      <c r="D71" s="3114" t="s">
        <v>2649</v>
      </c>
      <c r="E71" s="3114" t="s">
        <v>2650</v>
      </c>
      <c r="F71" s="3114" t="s">
        <v>2651</v>
      </c>
    </row>
    <row r="72" spans="1:7" ht="13.5">
      <c r="A72" s="3114"/>
      <c r="B72" s="3114"/>
      <c r="C72" s="3114" t="s">
        <v>2652</v>
      </c>
      <c r="D72" s="3114"/>
      <c r="E72" s="3114" t="s">
        <v>2623</v>
      </c>
      <c r="F72" s="3114" t="s">
        <v>2623</v>
      </c>
    </row>
    <row r="73" spans="1:7" ht="13.5">
      <c r="A73" s="3114">
        <v>1</v>
      </c>
      <c r="B73" s="3830" t="s">
        <v>2653</v>
      </c>
      <c r="C73" s="3088" t="s">
        <v>2654</v>
      </c>
      <c r="D73" s="3088" t="s">
        <v>2655</v>
      </c>
      <c r="E73" s="3114">
        <v>0.2</v>
      </c>
      <c r="F73" s="3114">
        <v>25</v>
      </c>
    </row>
    <row r="74" spans="1:7" ht="24">
      <c r="A74" s="3114">
        <v>2</v>
      </c>
      <c r="B74" s="3825"/>
      <c r="C74" s="3088" t="s">
        <v>2656</v>
      </c>
      <c r="D74" s="3088" t="s">
        <v>2657</v>
      </c>
      <c r="E74" s="3114">
        <v>0.2</v>
      </c>
      <c r="F74" s="3114">
        <v>25</v>
      </c>
    </row>
    <row r="75" spans="1:7" ht="24">
      <c r="A75" s="3114">
        <v>3</v>
      </c>
      <c r="B75" s="3825"/>
      <c r="C75" s="3088" t="s">
        <v>2658</v>
      </c>
      <c r="D75" s="3088" t="s">
        <v>2659</v>
      </c>
      <c r="E75" s="3114">
        <v>0.2</v>
      </c>
      <c r="F75" s="3114">
        <v>25</v>
      </c>
    </row>
    <row r="76" spans="1:7" ht="13.5">
      <c r="A76" s="3114">
        <v>4</v>
      </c>
      <c r="B76" s="3825"/>
      <c r="C76" s="3088" t="s">
        <v>2660</v>
      </c>
      <c r="D76" s="3088" t="s">
        <v>2661</v>
      </c>
      <c r="E76" s="3114">
        <v>0.15</v>
      </c>
      <c r="F76" s="3114">
        <v>20</v>
      </c>
    </row>
    <row r="77" spans="1:7" ht="24">
      <c r="A77" s="3114">
        <v>5</v>
      </c>
      <c r="B77" s="3825"/>
      <c r="C77" s="3088" t="s">
        <v>2662</v>
      </c>
      <c r="D77" s="3088" t="s">
        <v>2663</v>
      </c>
      <c r="E77" s="3114">
        <v>0.15</v>
      </c>
      <c r="F77" s="3114">
        <v>20</v>
      </c>
    </row>
    <row r="78" spans="1:7" ht="24">
      <c r="A78" s="3114">
        <v>6</v>
      </c>
      <c r="B78" s="3825"/>
      <c r="C78" s="3088" t="s">
        <v>2664</v>
      </c>
      <c r="D78" s="3088" t="s">
        <v>2665</v>
      </c>
      <c r="E78" s="3114">
        <v>0.15</v>
      </c>
      <c r="F78" s="3114">
        <v>20</v>
      </c>
    </row>
    <row r="79" spans="1:7" ht="24">
      <c r="A79" s="3114">
        <v>7</v>
      </c>
      <c r="B79" s="3825"/>
      <c r="C79" s="3088" t="s">
        <v>2666</v>
      </c>
      <c r="D79" s="3088" t="s">
        <v>2667</v>
      </c>
      <c r="E79" s="3114">
        <v>0.15</v>
      </c>
      <c r="F79" s="3114">
        <v>20</v>
      </c>
    </row>
    <row r="80" spans="1:7" ht="24">
      <c r="A80" s="3114">
        <v>8</v>
      </c>
      <c r="B80" s="3825"/>
      <c r="C80" s="3088" t="s">
        <v>2668</v>
      </c>
      <c r="D80" s="3088" t="s">
        <v>2669</v>
      </c>
      <c r="E80" s="3114">
        <v>0.1</v>
      </c>
      <c r="F80" s="3114">
        <v>15</v>
      </c>
    </row>
    <row r="81" spans="1:6" ht="24">
      <c r="A81" s="3114">
        <v>9</v>
      </c>
      <c r="B81" s="3825"/>
      <c r="C81" s="3088" t="s">
        <v>2670</v>
      </c>
      <c r="D81" s="3088" t="s">
        <v>2671</v>
      </c>
      <c r="E81" s="3114">
        <v>0.1</v>
      </c>
      <c r="F81" s="3114">
        <v>15</v>
      </c>
    </row>
    <row r="82" spans="1:6" ht="24">
      <c r="A82" s="3114">
        <v>10</v>
      </c>
      <c r="B82" s="3825"/>
      <c r="C82" s="3088" t="s">
        <v>2672</v>
      </c>
      <c r="D82" s="3088" t="s">
        <v>2673</v>
      </c>
      <c r="E82" s="3114">
        <v>0.1</v>
      </c>
      <c r="F82" s="3114">
        <v>15</v>
      </c>
    </row>
    <row r="83" spans="1:6" ht="24">
      <c r="A83" s="3114">
        <v>11</v>
      </c>
      <c r="B83" s="3825"/>
      <c r="C83" s="3088" t="s">
        <v>2674</v>
      </c>
      <c r="D83" s="3088" t="s">
        <v>2675</v>
      </c>
      <c r="E83" s="3114">
        <v>0.1</v>
      </c>
      <c r="F83" s="3114">
        <v>15</v>
      </c>
    </row>
    <row r="84" spans="1:6" ht="24">
      <c r="A84" s="3114">
        <v>12</v>
      </c>
      <c r="B84" s="3825"/>
      <c r="C84" s="3088" t="s">
        <v>2676</v>
      </c>
      <c r="D84" s="3088" t="s">
        <v>2677</v>
      </c>
      <c r="E84" s="3114">
        <v>0.1</v>
      </c>
      <c r="F84" s="3114">
        <v>15</v>
      </c>
    </row>
    <row r="85" spans="1:6" ht="13.5">
      <c r="A85" s="3114">
        <v>13</v>
      </c>
      <c r="B85" s="3825"/>
      <c r="C85" s="3088" t="s">
        <v>2678</v>
      </c>
      <c r="D85" s="3088" t="s">
        <v>2679</v>
      </c>
      <c r="E85" s="3114">
        <v>0.1</v>
      </c>
      <c r="F85" s="3114">
        <v>15</v>
      </c>
    </row>
    <row r="86" spans="1:6" ht="13.5">
      <c r="A86" s="3114">
        <v>14</v>
      </c>
      <c r="B86" s="3825"/>
      <c r="C86" s="3088" t="s">
        <v>2680</v>
      </c>
      <c r="D86" s="3088" t="s">
        <v>2681</v>
      </c>
      <c r="E86" s="3114">
        <v>0.1</v>
      </c>
      <c r="F86" s="3114">
        <v>15</v>
      </c>
    </row>
    <row r="87" spans="1:6" ht="13.5">
      <c r="A87" s="3114">
        <v>15</v>
      </c>
      <c r="B87" s="3825"/>
      <c r="C87" s="3088" t="s">
        <v>2682</v>
      </c>
      <c r="D87" s="3088" t="s">
        <v>2683</v>
      </c>
      <c r="E87" s="3114">
        <v>0.1</v>
      </c>
      <c r="F87" s="3114">
        <v>15</v>
      </c>
    </row>
    <row r="88" spans="1:6" ht="24">
      <c r="A88" s="3114">
        <v>16</v>
      </c>
      <c r="B88" s="3825"/>
      <c r="C88" s="3088" t="s">
        <v>2684</v>
      </c>
      <c r="D88" s="3088" t="s">
        <v>2685</v>
      </c>
      <c r="E88" s="3114">
        <v>0.1</v>
      </c>
      <c r="F88" s="3114">
        <v>15</v>
      </c>
    </row>
    <row r="89" spans="1:6" ht="24">
      <c r="A89" s="3114">
        <v>17</v>
      </c>
      <c r="B89" s="3834"/>
      <c r="C89" s="3088" t="s">
        <v>2686</v>
      </c>
      <c r="D89" s="3088" t="s">
        <v>2687</v>
      </c>
      <c r="E89" s="3114">
        <v>0.1</v>
      </c>
      <c r="F89" s="3114">
        <v>15</v>
      </c>
    </row>
    <row r="90" spans="1:6" ht="13.5">
      <c r="A90" s="3114">
        <v>18</v>
      </c>
      <c r="B90" s="3830" t="s">
        <v>2688</v>
      </c>
      <c r="C90" s="3088" t="s">
        <v>2689</v>
      </c>
      <c r="D90" s="3088" t="s">
        <v>2690</v>
      </c>
      <c r="E90" s="3114">
        <v>0.2</v>
      </c>
      <c r="F90" s="3114">
        <v>25</v>
      </c>
    </row>
    <row r="91" spans="1:6" ht="24">
      <c r="A91" s="3114">
        <v>19</v>
      </c>
      <c r="B91" s="3825"/>
      <c r="C91" s="3088" t="s">
        <v>2691</v>
      </c>
      <c r="D91" s="3088" t="s">
        <v>2692</v>
      </c>
      <c r="E91" s="3114">
        <v>0.2</v>
      </c>
      <c r="F91" s="3114">
        <v>25</v>
      </c>
    </row>
    <row r="92" spans="1:6" ht="13.5">
      <c r="A92" s="3114">
        <v>20</v>
      </c>
      <c r="B92" s="3825"/>
      <c r="C92" s="3088" t="s">
        <v>2693</v>
      </c>
      <c r="D92" s="3088" t="s">
        <v>2694</v>
      </c>
      <c r="E92" s="3114">
        <v>0.15</v>
      </c>
      <c r="F92" s="3114">
        <v>20</v>
      </c>
    </row>
    <row r="93" spans="1:6" ht="13.5">
      <c r="A93" s="3114">
        <v>21</v>
      </c>
      <c r="B93" s="3825"/>
      <c r="C93" s="3088" t="s">
        <v>2695</v>
      </c>
      <c r="D93" s="3088" t="s">
        <v>2696</v>
      </c>
      <c r="E93" s="3114">
        <v>0.15</v>
      </c>
      <c r="F93" s="3114">
        <v>20</v>
      </c>
    </row>
    <row r="94" spans="1:6" ht="13.5">
      <c r="A94" s="3114">
        <v>22</v>
      </c>
      <c r="B94" s="3825"/>
      <c r="C94" s="3088" t="s">
        <v>2697</v>
      </c>
      <c r="D94" s="3088" t="s">
        <v>2698</v>
      </c>
      <c r="E94" s="3114">
        <v>0.15</v>
      </c>
      <c r="F94" s="3114">
        <v>20</v>
      </c>
    </row>
    <row r="95" spans="1:6" ht="36">
      <c r="A95" s="3114">
        <v>23</v>
      </c>
      <c r="B95" s="3825"/>
      <c r="C95" s="3088" t="s">
        <v>2699</v>
      </c>
      <c r="D95" s="3088" t="s">
        <v>2700</v>
      </c>
      <c r="E95" s="3114">
        <v>0.15</v>
      </c>
      <c r="F95" s="3114">
        <v>20</v>
      </c>
    </row>
    <row r="96" spans="1:6" ht="13.5">
      <c r="A96" s="3114">
        <v>24</v>
      </c>
      <c r="B96" s="3825"/>
      <c r="C96" s="3088" t="s">
        <v>2701</v>
      </c>
      <c r="D96" s="3088" t="s">
        <v>2702</v>
      </c>
      <c r="E96" s="3114">
        <v>0.1</v>
      </c>
      <c r="F96" s="3114">
        <v>15</v>
      </c>
    </row>
    <row r="97" spans="1:6" ht="13.5">
      <c r="A97" s="3114">
        <v>25</v>
      </c>
      <c r="B97" s="3825"/>
      <c r="C97" s="3088" t="s">
        <v>2703</v>
      </c>
      <c r="D97" s="3088" t="s">
        <v>2704</v>
      </c>
      <c r="E97" s="3114">
        <v>0.1</v>
      </c>
      <c r="F97" s="3114">
        <v>15</v>
      </c>
    </row>
    <row r="98" spans="1:6" ht="24">
      <c r="A98" s="3114">
        <v>26</v>
      </c>
      <c r="B98" s="3825"/>
      <c r="C98" s="3088" t="s">
        <v>2705</v>
      </c>
      <c r="D98" s="3088" t="s">
        <v>2706</v>
      </c>
      <c r="E98" s="3114">
        <v>0.1</v>
      </c>
      <c r="F98" s="3114">
        <v>15</v>
      </c>
    </row>
    <row r="99" spans="1:6" ht="24">
      <c r="A99" s="3114">
        <v>27</v>
      </c>
      <c r="B99" s="3825"/>
      <c r="C99" s="3088" t="s">
        <v>2707</v>
      </c>
      <c r="D99" s="3088" t="s">
        <v>2708</v>
      </c>
      <c r="E99" s="3114">
        <v>0.1</v>
      </c>
      <c r="F99" s="3114">
        <v>15</v>
      </c>
    </row>
    <row r="100" spans="1:6" ht="13.5">
      <c r="A100" s="3114">
        <v>28</v>
      </c>
      <c r="B100" s="3825"/>
      <c r="C100" s="3088" t="s">
        <v>2709</v>
      </c>
      <c r="D100" s="3088" t="s">
        <v>2710</v>
      </c>
      <c r="E100" s="3114">
        <v>0.1</v>
      </c>
      <c r="F100" s="3114">
        <v>15</v>
      </c>
    </row>
    <row r="101" spans="1:6" ht="13.5">
      <c r="A101" s="3114">
        <v>29</v>
      </c>
      <c r="B101" s="3825"/>
      <c r="C101" s="3088" t="s">
        <v>2711</v>
      </c>
      <c r="D101" s="3088" t="s">
        <v>2712</v>
      </c>
      <c r="E101" s="3114">
        <v>0.1</v>
      </c>
      <c r="F101" s="3114">
        <v>15</v>
      </c>
    </row>
    <row r="102" spans="1:6" ht="13.5">
      <c r="A102" s="3114">
        <v>30</v>
      </c>
      <c r="B102" s="3825"/>
      <c r="C102" s="3088" t="s">
        <v>2713</v>
      </c>
      <c r="D102" s="3088" t="s">
        <v>2714</v>
      </c>
      <c r="E102" s="3114">
        <v>0.1</v>
      </c>
      <c r="F102" s="3114">
        <v>15</v>
      </c>
    </row>
    <row r="103" spans="1:6" ht="24">
      <c r="A103" s="3114">
        <v>31</v>
      </c>
      <c r="B103" s="3825"/>
      <c r="C103" s="3088" t="s">
        <v>2715</v>
      </c>
      <c r="D103" s="3088" t="s">
        <v>2716</v>
      </c>
      <c r="E103" s="3114">
        <v>0.1</v>
      </c>
      <c r="F103" s="3114">
        <v>15</v>
      </c>
    </row>
    <row r="104" spans="1:6" ht="24">
      <c r="A104" s="3114">
        <v>32</v>
      </c>
      <c r="B104" s="3825"/>
      <c r="C104" s="3088" t="s">
        <v>2717</v>
      </c>
      <c r="D104" s="3088" t="s">
        <v>2718</v>
      </c>
      <c r="E104" s="3114">
        <v>0.1</v>
      </c>
      <c r="F104" s="3114">
        <v>15</v>
      </c>
    </row>
    <row r="105" spans="1:6" ht="24">
      <c r="A105" s="3114">
        <v>33</v>
      </c>
      <c r="B105" s="3825"/>
      <c r="C105" s="3088" t="s">
        <v>2719</v>
      </c>
      <c r="D105" s="3088" t="s">
        <v>2720</v>
      </c>
      <c r="E105" s="3114">
        <v>0.1</v>
      </c>
      <c r="F105" s="3114">
        <v>15</v>
      </c>
    </row>
    <row r="106" spans="1:6" ht="24">
      <c r="A106" s="3114">
        <v>34</v>
      </c>
      <c r="B106" s="3834"/>
      <c r="C106" s="3088" t="s">
        <v>2721</v>
      </c>
      <c r="D106" s="3088" t="s">
        <v>2722</v>
      </c>
      <c r="E106" s="3114">
        <v>0.1</v>
      </c>
      <c r="F106" s="3114">
        <v>15</v>
      </c>
    </row>
    <row r="107" spans="1:6" ht="24">
      <c r="A107" s="3114">
        <v>35</v>
      </c>
      <c r="B107" s="3830" t="s">
        <v>2723</v>
      </c>
      <c r="C107" s="3114" t="s">
        <v>2724</v>
      </c>
      <c r="D107" s="3088" t="s">
        <v>2725</v>
      </c>
      <c r="E107" s="3114">
        <v>0.15</v>
      </c>
      <c r="F107" s="3114">
        <v>20</v>
      </c>
    </row>
    <row r="108" spans="1:6" ht="13.5">
      <c r="A108" s="3114">
        <v>36</v>
      </c>
      <c r="B108" s="3825"/>
      <c r="C108" s="3114" t="s">
        <v>2726</v>
      </c>
      <c r="D108" s="3088" t="s">
        <v>2727</v>
      </c>
      <c r="E108" s="3114">
        <v>0.15</v>
      </c>
      <c r="F108" s="3114">
        <v>20</v>
      </c>
    </row>
    <row r="109" spans="1:6" ht="13.5">
      <c r="A109" s="3114">
        <v>37</v>
      </c>
      <c r="B109" s="3825"/>
      <c r="C109" s="3114" t="s">
        <v>2728</v>
      </c>
      <c r="D109" s="3088" t="s">
        <v>2729</v>
      </c>
      <c r="E109" s="3114">
        <v>0.15</v>
      </c>
      <c r="F109" s="3114">
        <v>20</v>
      </c>
    </row>
    <row r="110" spans="1:6" ht="13.5">
      <c r="A110" s="3114">
        <v>38</v>
      </c>
      <c r="B110" s="3825"/>
      <c r="C110" s="3114" t="s">
        <v>2730</v>
      </c>
      <c r="D110" s="3088" t="s">
        <v>2731</v>
      </c>
      <c r="E110" s="3114">
        <v>0.1</v>
      </c>
      <c r="F110" s="3114">
        <v>15</v>
      </c>
    </row>
    <row r="111" spans="1:6" ht="24">
      <c r="A111" s="3114">
        <v>39</v>
      </c>
      <c r="B111" s="3825"/>
      <c r="C111" s="3114" t="s">
        <v>2732</v>
      </c>
      <c r="D111" s="3088" t="s">
        <v>2733</v>
      </c>
      <c r="E111" s="3114">
        <v>0.1</v>
      </c>
      <c r="F111" s="3114">
        <v>15</v>
      </c>
    </row>
    <row r="112" spans="1:6" ht="24">
      <c r="A112" s="3114">
        <v>40</v>
      </c>
      <c r="B112" s="3834"/>
      <c r="C112" s="3114" t="s">
        <v>2734</v>
      </c>
      <c r="D112" s="3088" t="s">
        <v>2735</v>
      </c>
      <c r="E112" s="3114">
        <v>0.1</v>
      </c>
      <c r="F112" s="3114">
        <v>15</v>
      </c>
    </row>
    <row r="113" spans="1:6" ht="13.5">
      <c r="A113" s="3114">
        <v>41</v>
      </c>
      <c r="B113" s="3835" t="s">
        <v>2736</v>
      </c>
      <c r="C113" s="3114" t="s">
        <v>2737</v>
      </c>
      <c r="D113" s="3088" t="s">
        <v>2738</v>
      </c>
      <c r="E113" s="3114">
        <v>0.1</v>
      </c>
      <c r="F113" s="3114">
        <v>15</v>
      </c>
    </row>
    <row r="114" spans="1:6" ht="13.5">
      <c r="A114" s="3114">
        <v>42</v>
      </c>
      <c r="B114" s="3835"/>
      <c r="C114" s="3114" t="s">
        <v>2739</v>
      </c>
      <c r="D114" s="3088" t="s">
        <v>2740</v>
      </c>
      <c r="E114" s="3114">
        <v>0.1</v>
      </c>
      <c r="F114" s="3114">
        <v>15</v>
      </c>
    </row>
    <row r="115" spans="1:6" ht="24">
      <c r="A115" s="3114">
        <v>43</v>
      </c>
      <c r="B115" s="3835"/>
      <c r="C115" s="3114" t="s">
        <v>2741</v>
      </c>
      <c r="D115" s="3088" t="s">
        <v>2742</v>
      </c>
      <c r="E115" s="3114">
        <v>0.1</v>
      </c>
      <c r="F115" s="3114">
        <v>15</v>
      </c>
    </row>
    <row r="116" spans="1:6" ht="13.5">
      <c r="A116" s="3114">
        <v>44</v>
      </c>
      <c r="B116" s="3830" t="s">
        <v>2743</v>
      </c>
      <c r="C116" s="3114" t="s">
        <v>2744</v>
      </c>
      <c r="D116" s="3088" t="s">
        <v>2745</v>
      </c>
      <c r="E116" s="3114">
        <v>0.1</v>
      </c>
      <c r="F116" s="3114">
        <v>15</v>
      </c>
    </row>
    <row r="117" spans="1:6" ht="24">
      <c r="A117" s="3114">
        <v>45</v>
      </c>
      <c r="B117" s="3834"/>
      <c r="C117" s="3088" t="s">
        <v>2746</v>
      </c>
      <c r="D117" s="3088" t="s">
        <v>2747</v>
      </c>
      <c r="E117" s="3114">
        <v>0.1</v>
      </c>
      <c r="F117" s="3114">
        <v>15</v>
      </c>
    </row>
    <row r="118" spans="1:6" ht="24">
      <c r="A118" s="3114">
        <v>46</v>
      </c>
      <c r="B118" s="3830" t="s">
        <v>2748</v>
      </c>
      <c r="C118" s="3114" t="s">
        <v>2749</v>
      </c>
      <c r="D118" s="3088" t="s">
        <v>2750</v>
      </c>
      <c r="E118" s="3114">
        <v>0.1</v>
      </c>
      <c r="F118" s="3114">
        <v>15</v>
      </c>
    </row>
    <row r="119" spans="1:6" ht="24">
      <c r="A119" s="3114">
        <v>47</v>
      </c>
      <c r="B119" s="3834"/>
      <c r="C119" s="3114" t="s">
        <v>2751</v>
      </c>
      <c r="D119" s="3088" t="s">
        <v>2752</v>
      </c>
      <c r="E119" s="3114">
        <v>0.1</v>
      </c>
      <c r="F119" s="3114">
        <v>15</v>
      </c>
    </row>
    <row r="120" spans="1:6" ht="13.5">
      <c r="A120" s="3114">
        <v>48</v>
      </c>
      <c r="B120" s="3830" t="s">
        <v>2753</v>
      </c>
      <c r="C120" s="3114" t="s">
        <v>2754</v>
      </c>
      <c r="D120" s="3088" t="s">
        <v>2755</v>
      </c>
      <c r="E120" s="3114">
        <v>0.1</v>
      </c>
      <c r="F120" s="3114">
        <v>15</v>
      </c>
    </row>
    <row r="121" spans="1:6" ht="13.5">
      <c r="A121" s="3114">
        <v>49</v>
      </c>
      <c r="B121" s="3834"/>
      <c r="C121" s="3114" t="s">
        <v>2756</v>
      </c>
      <c r="D121" s="3088" t="s">
        <v>2757</v>
      </c>
      <c r="E121" s="3114">
        <v>0.1</v>
      </c>
      <c r="F121" s="3114">
        <v>15</v>
      </c>
    </row>
    <row r="122" spans="1:6" ht="24">
      <c r="A122" s="3114">
        <v>50</v>
      </c>
      <c r="B122" s="3835" t="s">
        <v>2758</v>
      </c>
      <c r="C122" s="3114" t="s">
        <v>2759</v>
      </c>
      <c r="D122" s="3088" t="s">
        <v>2760</v>
      </c>
      <c r="E122" s="3114">
        <v>0.1</v>
      </c>
      <c r="F122" s="3114">
        <v>15</v>
      </c>
    </row>
    <row r="123" spans="1:6" ht="24">
      <c r="A123" s="3114">
        <v>51</v>
      </c>
      <c r="B123" s="3835"/>
      <c r="C123" s="3114" t="s">
        <v>2761</v>
      </c>
      <c r="D123" s="3088" t="s">
        <v>2762</v>
      </c>
      <c r="E123" s="3114">
        <v>0.1</v>
      </c>
      <c r="F123" s="3114">
        <v>15</v>
      </c>
    </row>
    <row r="124" spans="1:6" ht="24">
      <c r="A124" s="3114">
        <v>52</v>
      </c>
      <c r="B124" s="3835" t="s">
        <v>2763</v>
      </c>
      <c r="C124" s="3114" t="s">
        <v>2764</v>
      </c>
      <c r="D124" s="3088" t="s">
        <v>2765</v>
      </c>
      <c r="E124" s="3114">
        <v>0.1</v>
      </c>
      <c r="F124" s="3114">
        <v>15</v>
      </c>
    </row>
    <row r="125" spans="1:6" ht="24">
      <c r="A125" s="3114">
        <v>53</v>
      </c>
      <c r="B125" s="3835"/>
      <c r="C125" s="3114" t="s">
        <v>2766</v>
      </c>
      <c r="D125" s="3088" t="s">
        <v>2767</v>
      </c>
      <c r="E125" s="3114">
        <v>0.1</v>
      </c>
      <c r="F125" s="3114">
        <v>15</v>
      </c>
    </row>
    <row r="126" spans="1:6" ht="13.5">
      <c r="A126" s="3114">
        <v>54</v>
      </c>
      <c r="B126" s="3114" t="s">
        <v>2768</v>
      </c>
      <c r="C126" s="3114" t="s">
        <v>2769</v>
      </c>
      <c r="D126" s="3088" t="s">
        <v>2770</v>
      </c>
      <c r="E126" s="3114">
        <v>0.1</v>
      </c>
      <c r="F126" s="3114">
        <v>15</v>
      </c>
    </row>
    <row r="127" spans="1:6" ht="13.5">
      <c r="A127" s="3114">
        <v>55</v>
      </c>
      <c r="B127" s="3835" t="s">
        <v>2771</v>
      </c>
      <c r="C127" s="3114" t="s">
        <v>2772</v>
      </c>
      <c r="D127" s="3088" t="s">
        <v>2773</v>
      </c>
      <c r="E127" s="3114">
        <v>0.1</v>
      </c>
      <c r="F127" s="3114">
        <v>15</v>
      </c>
    </row>
    <row r="128" spans="1:6" ht="13.5">
      <c r="A128" s="3114">
        <v>56</v>
      </c>
      <c r="B128" s="3835"/>
      <c r="C128" s="3114" t="s">
        <v>2774</v>
      </c>
      <c r="D128" s="3088" t="s">
        <v>2775</v>
      </c>
      <c r="E128" s="3114">
        <v>0.1</v>
      </c>
      <c r="F128" s="3114">
        <v>15</v>
      </c>
    </row>
    <row r="129" spans="1:6" ht="24">
      <c r="A129" s="3114">
        <v>57</v>
      </c>
      <c r="B129" s="3835"/>
      <c r="C129" s="3114" t="s">
        <v>2776</v>
      </c>
      <c r="D129" s="3088" t="s">
        <v>2777</v>
      </c>
      <c r="E129" s="3114">
        <v>0.1</v>
      </c>
      <c r="F129" s="3114">
        <v>15</v>
      </c>
    </row>
    <row r="130" spans="1:6" ht="24">
      <c r="A130" s="3114">
        <v>58</v>
      </c>
      <c r="B130" s="3835" t="s">
        <v>2778</v>
      </c>
      <c r="C130" s="3114" t="s">
        <v>2779</v>
      </c>
      <c r="D130" s="3088" t="s">
        <v>2780</v>
      </c>
      <c r="E130" s="3114">
        <v>0.1</v>
      </c>
      <c r="F130" s="3114">
        <v>15</v>
      </c>
    </row>
    <row r="131" spans="1:6" ht="13.5">
      <c r="A131" s="3114">
        <v>59</v>
      </c>
      <c r="B131" s="3835"/>
      <c r="C131" s="3114" t="s">
        <v>2781</v>
      </c>
      <c r="D131" s="3088" t="s">
        <v>2782</v>
      </c>
      <c r="E131" s="3114">
        <v>0.1</v>
      </c>
      <c r="F131" s="3114">
        <v>15</v>
      </c>
    </row>
    <row r="132" spans="1:6" ht="13.5">
      <c r="A132" s="3114">
        <v>60</v>
      </c>
      <c r="B132" s="3830" t="s">
        <v>2783</v>
      </c>
      <c r="C132" s="3114" t="s">
        <v>2784</v>
      </c>
      <c r="D132" s="3088" t="s">
        <v>2785</v>
      </c>
      <c r="E132" s="3114">
        <v>0.1</v>
      </c>
      <c r="F132" s="3114">
        <v>15</v>
      </c>
    </row>
    <row r="133" spans="1:6" ht="13.5">
      <c r="A133" s="3114">
        <v>61</v>
      </c>
      <c r="B133" s="3834"/>
      <c r="C133" s="3114" t="s">
        <v>2786</v>
      </c>
      <c r="D133" s="3088" t="s">
        <v>2787</v>
      </c>
      <c r="E133" s="3114">
        <v>0.1</v>
      </c>
      <c r="F133" s="3114">
        <v>15</v>
      </c>
    </row>
    <row r="134" spans="1:6" ht="24">
      <c r="A134" s="3114">
        <v>62</v>
      </c>
      <c r="B134" s="3114" t="s">
        <v>2788</v>
      </c>
      <c r="C134" s="3114" t="s">
        <v>2789</v>
      </c>
      <c r="D134" s="3088" t="s">
        <v>2790</v>
      </c>
      <c r="E134" s="3114">
        <v>0.1</v>
      </c>
      <c r="F134" s="3114">
        <v>15</v>
      </c>
    </row>
    <row r="135" spans="1:6" ht="13.5">
      <c r="A135" s="3114">
        <v>63</v>
      </c>
      <c r="B135" s="3835" t="s">
        <v>2791</v>
      </c>
      <c r="C135" s="3114" t="s">
        <v>2792</v>
      </c>
      <c r="D135" s="3088" t="s">
        <v>2793</v>
      </c>
      <c r="E135" s="3114">
        <v>0.1</v>
      </c>
      <c r="F135" s="3114">
        <v>15</v>
      </c>
    </row>
    <row r="136" spans="1:6" ht="13.5">
      <c r="A136" s="3114">
        <v>64</v>
      </c>
      <c r="B136" s="3835"/>
      <c r="C136" s="3114" t="s">
        <v>2794</v>
      </c>
      <c r="D136" s="3088" t="s">
        <v>2795</v>
      </c>
      <c r="E136" s="3114">
        <v>0.1</v>
      </c>
      <c r="F136" s="3114">
        <v>15</v>
      </c>
    </row>
    <row r="137" spans="1:6" ht="13.5">
      <c r="A137" s="3114">
        <v>65</v>
      </c>
      <c r="B137" s="3114" t="s">
        <v>2796</v>
      </c>
      <c r="C137" s="3114" t="s">
        <v>2797</v>
      </c>
      <c r="D137" s="3088" t="s">
        <v>2798</v>
      </c>
      <c r="E137" s="3114">
        <v>0.1</v>
      </c>
      <c r="F137" s="3114">
        <v>15</v>
      </c>
    </row>
    <row r="138" spans="1:6" ht="13.5">
      <c r="A138" s="3114"/>
      <c r="B138" s="3114"/>
      <c r="C138" s="3114"/>
      <c r="D138" s="3114"/>
      <c r="E138" s="3114" t="s">
        <v>2799</v>
      </c>
      <c r="F138" s="3114"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47"/>
  </cols>
  <sheetData>
    <row r="1" spans="1:20" ht="15" thickBot="1">
      <c r="A1" s="3123" t="s">
        <v>2800</v>
      </c>
      <c r="B1" s="3123"/>
      <c r="C1" s="3123"/>
      <c r="D1" s="3123"/>
      <c r="E1" s="3123"/>
      <c r="F1" s="3123"/>
      <c r="G1" s="3123"/>
      <c r="H1" s="3123"/>
      <c r="I1" s="3123"/>
      <c r="J1" s="3123"/>
      <c r="K1" s="3123"/>
      <c r="L1" s="3123"/>
      <c r="M1" s="3123"/>
      <c r="N1" s="746"/>
    </row>
    <row r="2" spans="1:20">
      <c r="A2" s="3124" t="s">
        <v>2801</v>
      </c>
      <c r="B2" s="3125" t="s">
        <v>2597</v>
      </c>
      <c r="C2" s="3125" t="s">
        <v>2598</v>
      </c>
      <c r="D2" s="3125" t="s">
        <v>2599</v>
      </c>
      <c r="E2" s="3125" t="s">
        <v>2600</v>
      </c>
      <c r="F2" s="3125" t="s">
        <v>2601</v>
      </c>
      <c r="G2" s="3125" t="s">
        <v>2602</v>
      </c>
      <c r="H2" s="3126" t="s">
        <v>2603</v>
      </c>
      <c r="I2" s="3126" t="s">
        <v>2604</v>
      </c>
      <c r="J2" s="3127" t="s">
        <v>2605</v>
      </c>
      <c r="K2" s="3127" t="s">
        <v>2606</v>
      </c>
      <c r="L2" s="3127" t="s">
        <v>2607</v>
      </c>
      <c r="M2" s="3128" t="s">
        <v>2608</v>
      </c>
      <c r="Q2" s="3138" t="s">
        <v>2806</v>
      </c>
      <c r="R2" s="3138" t="s">
        <v>2807</v>
      </c>
      <c r="S2" s="3138" t="s">
        <v>2808</v>
      </c>
      <c r="T2" s="3138" t="s">
        <v>2809</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48"/>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48"/>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48"/>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2802</v>
      </c>
      <c r="B93" s="3123"/>
      <c r="C93" s="3123"/>
      <c r="D93" s="3123"/>
      <c r="E93" s="3123"/>
      <c r="F93" s="3123"/>
      <c r="G93" s="3123"/>
      <c r="H93" s="3123"/>
      <c r="I93" s="3123"/>
      <c r="J93" s="3123"/>
      <c r="K93" s="3123"/>
      <c r="L93" s="3123"/>
      <c r="M93" s="3123"/>
    </row>
    <row r="94" spans="1:20">
      <c r="A94" s="3124" t="s">
        <v>2801</v>
      </c>
      <c r="B94" s="3125" t="s">
        <v>2597</v>
      </c>
      <c r="C94" s="3125" t="s">
        <v>2598</v>
      </c>
      <c r="D94" s="3125" t="s">
        <v>2599</v>
      </c>
      <c r="E94" s="3125" t="s">
        <v>2600</v>
      </c>
      <c r="F94" s="3125" t="s">
        <v>2601</v>
      </c>
      <c r="G94" s="3125" t="s">
        <v>2602</v>
      </c>
      <c r="H94" s="3126" t="s">
        <v>2603</v>
      </c>
      <c r="I94" s="3126" t="s">
        <v>2604</v>
      </c>
      <c r="J94" s="3127" t="s">
        <v>2605</v>
      </c>
      <c r="K94" s="3127" t="s">
        <v>2606</v>
      </c>
      <c r="L94" s="3127" t="s">
        <v>2607</v>
      </c>
      <c r="M94" s="3128" t="s">
        <v>2608</v>
      </c>
      <c r="N94" s="747">
        <f>SUMPRODUCT((A95:A184=ROUNDDOWN(基准地价修正!G3,1))*(B94:M94=基准地价修正!G2)*(B95:M184))</f>
        <v>0</v>
      </c>
      <c r="Q94" s="3138" t="s">
        <v>2806</v>
      </c>
      <c r="R94" s="3138" t="s">
        <v>2807</v>
      </c>
      <c r="S94" s="3138" t="s">
        <v>2808</v>
      </c>
      <c r="T94" s="3138" t="s">
        <v>2809</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6"/>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6"/>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2803</v>
      </c>
      <c r="B185" s="3123"/>
      <c r="C185" s="3123"/>
      <c r="D185" s="3123"/>
      <c r="E185" s="3123"/>
      <c r="F185" s="3123"/>
      <c r="G185" s="3123"/>
      <c r="H185" s="3123"/>
      <c r="I185" s="3123"/>
      <c r="J185" s="3123"/>
      <c r="K185" s="3123"/>
      <c r="L185" s="3123"/>
      <c r="M185" s="3123"/>
    </row>
    <row r="186" spans="1:20">
      <c r="A186" s="3124" t="s">
        <v>2801</v>
      </c>
      <c r="B186" s="3125" t="s">
        <v>2597</v>
      </c>
      <c r="C186" s="3125" t="s">
        <v>2598</v>
      </c>
      <c r="D186" s="3125" t="s">
        <v>2599</v>
      </c>
      <c r="E186" s="3125" t="s">
        <v>2600</v>
      </c>
      <c r="F186" s="3125" t="s">
        <v>2601</v>
      </c>
      <c r="G186" s="3125" t="s">
        <v>2602</v>
      </c>
      <c r="H186" s="3126" t="s">
        <v>2603</v>
      </c>
      <c r="I186" s="3126" t="s">
        <v>2604</v>
      </c>
      <c r="J186" s="3127" t="s">
        <v>2605</v>
      </c>
      <c r="K186" s="3127" t="s">
        <v>2606</v>
      </c>
      <c r="L186" s="3127" t="s">
        <v>2607</v>
      </c>
      <c r="M186" s="3128" t="s">
        <v>2608</v>
      </c>
      <c r="Q186" s="3138" t="s">
        <v>2806</v>
      </c>
      <c r="R186" s="3138" t="s">
        <v>2807</v>
      </c>
      <c r="S186" s="3138" t="s">
        <v>2808</v>
      </c>
      <c r="T186" s="3138" t="s">
        <v>2809</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2804</v>
      </c>
      <c r="B277" s="3123"/>
      <c r="C277" s="3123"/>
      <c r="D277" s="3123"/>
      <c r="E277" s="3123"/>
      <c r="F277" s="3123"/>
      <c r="G277" s="3123"/>
      <c r="H277" s="3123"/>
      <c r="I277" s="3123"/>
      <c r="J277" s="3123"/>
      <c r="K277" s="3123"/>
      <c r="L277" s="3123"/>
      <c r="M277" s="3123"/>
    </row>
    <row r="278" spans="1:21">
      <c r="A278" s="3124" t="s">
        <v>2801</v>
      </c>
      <c r="B278" s="3125" t="s">
        <v>2597</v>
      </c>
      <c r="C278" s="3125" t="s">
        <v>2598</v>
      </c>
      <c r="D278" s="3125" t="s">
        <v>2599</v>
      </c>
      <c r="E278" s="3125" t="s">
        <v>2600</v>
      </c>
      <c r="F278" s="3125" t="s">
        <v>2601</v>
      </c>
      <c r="G278" s="3125" t="s">
        <v>2602</v>
      </c>
      <c r="H278" s="3126" t="s">
        <v>2603</v>
      </c>
      <c r="I278" s="3126" t="s">
        <v>2604</v>
      </c>
      <c r="J278" s="3127" t="s">
        <v>2605</v>
      </c>
      <c r="K278" s="3127" t="s">
        <v>2606</v>
      </c>
      <c r="L278" s="3127" t="s">
        <v>2607</v>
      </c>
      <c r="M278" s="3128" t="s">
        <v>2608</v>
      </c>
      <c r="Q278" s="3138" t="s">
        <v>2806</v>
      </c>
      <c r="R278" s="3138" t="s">
        <v>2807</v>
      </c>
      <c r="S278" s="3138" t="s">
        <v>2810</v>
      </c>
      <c r="T278" s="3138" t="s">
        <v>2811</v>
      </c>
      <c r="U278" s="3138" t="s">
        <v>2809</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2805</v>
      </c>
      <c r="B369" s="3136"/>
      <c r="C369" s="3136"/>
      <c r="D369" s="3136"/>
      <c r="E369" s="3136"/>
      <c r="F369" s="3136"/>
      <c r="G369" s="3136"/>
      <c r="H369" s="3136"/>
      <c r="I369" s="3136"/>
      <c r="J369" s="3136"/>
      <c r="K369" s="3136"/>
      <c r="L369" s="3136"/>
      <c r="M369" s="3136"/>
    </row>
    <row r="370" spans="1:20">
      <c r="A370" s="3124" t="s">
        <v>2801</v>
      </c>
      <c r="B370" s="3125" t="s">
        <v>2597</v>
      </c>
      <c r="C370" s="3125" t="s">
        <v>2598</v>
      </c>
      <c r="D370" s="3125" t="s">
        <v>2599</v>
      </c>
      <c r="E370" s="3125" t="s">
        <v>2600</v>
      </c>
      <c r="F370" s="3125" t="s">
        <v>2601</v>
      </c>
      <c r="G370" s="3125" t="s">
        <v>2602</v>
      </c>
      <c r="H370" s="3126" t="s">
        <v>2603</v>
      </c>
      <c r="I370" s="3126" t="s">
        <v>2604</v>
      </c>
      <c r="J370" s="3127" t="s">
        <v>2605</v>
      </c>
      <c r="K370" s="3127" t="s">
        <v>2606</v>
      </c>
      <c r="L370" s="3127" t="s">
        <v>2607</v>
      </c>
      <c r="M370" s="3128" t="s">
        <v>2608</v>
      </c>
      <c r="N370" s="747">
        <f>SUMPRODUCT((A371:A460=ROUNDDOWN(基准地价修正!G3,1))*(B370:M370=基准地价修正!G2)*(B371:M460))</f>
        <v>0</v>
      </c>
      <c r="Q370" s="3138" t="s">
        <v>2806</v>
      </c>
      <c r="R370" s="3138" t="s">
        <v>2807</v>
      </c>
      <c r="S370" s="3138" t="s">
        <v>2808</v>
      </c>
      <c r="T370" s="3138" t="s">
        <v>2809</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908</v>
      </c>
      <c r="B1" s="1487"/>
      <c r="C1" s="1487"/>
      <c r="D1" s="1487"/>
      <c r="E1" s="1487"/>
    </row>
    <row r="2" spans="1:5" ht="78" customHeight="1">
      <c r="A2" s="351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4"/>
      <c r="C2" s="3514"/>
      <c r="D2" s="3514"/>
      <c r="E2" s="3514"/>
    </row>
    <row r="3" spans="1:5" ht="18">
      <c r="A3" s="3515" t="str">
        <f>IF(项目基本情况!B9="房地产市场价值","估价结果一览表（市场价值不需“结果表-1”）","估价结果一览表")</f>
        <v>估价结果一览表</v>
      </c>
      <c r="B3" s="3515"/>
      <c r="C3" s="3515"/>
      <c r="D3" s="3515"/>
      <c r="E3" s="3515"/>
    </row>
    <row r="4" spans="1:5" ht="19.5" thickBot="1">
      <c r="A4" s="1489"/>
      <c r="B4" s="3513" t="s">
        <v>917</v>
      </c>
      <c r="C4" s="3513"/>
      <c r="D4" s="3513"/>
      <c r="E4" s="1489"/>
    </row>
    <row r="5" spans="1:5" ht="16.5" thickTop="1">
      <c r="A5" s="1487"/>
      <c r="B5" s="3511" t="s">
        <v>909</v>
      </c>
      <c r="C5" s="1490" t="s">
        <v>910</v>
      </c>
      <c r="D5" s="847">
        <f ca="1">结果表!H101</f>
        <v>355043</v>
      </c>
      <c r="E5" s="1487"/>
    </row>
    <row r="6" spans="1:5" ht="15.75">
      <c r="A6" s="1487"/>
      <c r="B6" s="3511"/>
      <c r="C6" s="1490" t="s">
        <v>911</v>
      </c>
      <c r="D6" s="847" t="str">
        <f ca="1">NUMBERSTRING(INT(D5*10000),2)&amp;"元整"</f>
        <v>叁拾伍亿伍仟零肆拾叁万元整</v>
      </c>
      <c r="E6" s="1487"/>
    </row>
    <row r="7" spans="1:5" ht="15.75">
      <c r="A7" s="1487"/>
      <c r="B7" s="3516"/>
      <c r="C7" s="1491" t="s">
        <v>912</v>
      </c>
      <c r="D7" s="848">
        <f ca="1">结果表!H102</f>
        <v>15651</v>
      </c>
      <c r="E7" s="1487"/>
    </row>
    <row r="8" spans="1:5" ht="15.75">
      <c r="A8" s="1487"/>
      <c r="B8" s="3517" t="str">
        <f>结果表!E103</f>
        <v>2.估价师知悉的法定优先受偿款</v>
      </c>
      <c r="C8" s="1492" t="s">
        <v>913</v>
      </c>
      <c r="D8" s="848">
        <f>结果表!H103</f>
        <v>4000</v>
      </c>
      <c r="E8" s="1487"/>
    </row>
    <row r="9" spans="1:5" ht="15.75">
      <c r="A9" s="1487"/>
      <c r="B9" s="3519"/>
      <c r="C9" s="1490" t="s">
        <v>911</v>
      </c>
      <c r="D9" s="847" t="str">
        <f>NUMBERSTRING(INT(D8*10000),2)&amp;"元整"</f>
        <v>肆仟万元整</v>
      </c>
      <c r="E9" s="1487"/>
    </row>
    <row r="10" spans="1:5" ht="15">
      <c r="A10" s="1487"/>
      <c r="B10" s="1493" t="s">
        <v>916</v>
      </c>
      <c r="C10" s="1494" t="s">
        <v>914</v>
      </c>
      <c r="D10" s="849">
        <f>结果表!H104</f>
        <v>0</v>
      </c>
      <c r="E10" s="1487"/>
    </row>
    <row r="11" spans="1:5" ht="15">
      <c r="A11" s="1487"/>
      <c r="B11" s="1493" t="s">
        <v>918</v>
      </c>
      <c r="C11" s="1494" t="s">
        <v>919</v>
      </c>
      <c r="D11" s="849">
        <f>结果表!H105</f>
        <v>4000</v>
      </c>
      <c r="E11" s="1487"/>
    </row>
    <row r="12" spans="1:5" ht="15">
      <c r="A12" s="1487"/>
      <c r="B12" s="1493" t="s">
        <v>920</v>
      </c>
      <c r="C12" s="1494" t="s">
        <v>919</v>
      </c>
      <c r="D12" s="849">
        <f>结果表!H106</f>
        <v>0</v>
      </c>
      <c r="E12" s="1487"/>
    </row>
    <row r="13" spans="1:5" ht="15.75">
      <c r="A13" s="1487"/>
      <c r="B13" s="3510" t="str">
        <f>结果表!E107</f>
        <v>3.房地产抵押价值</v>
      </c>
      <c r="C13" s="1495" t="s">
        <v>910</v>
      </c>
      <c r="D13" s="850">
        <f ca="1">结果表!H107</f>
        <v>351043</v>
      </c>
      <c r="E13" s="1487"/>
    </row>
    <row r="14" spans="1:5" ht="15.75">
      <c r="A14" s="1487"/>
      <c r="B14" s="3511"/>
      <c r="C14" s="1490" t="s">
        <v>911</v>
      </c>
      <c r="D14" s="847" t="str">
        <f ca="1">NUMBERSTRING(INT(D13*10000),2)&amp;"元整"</f>
        <v>叁拾伍亿壹仟零肆拾叁万元整</v>
      </c>
      <c r="E14" s="1487"/>
    </row>
    <row r="15" spans="1:5" ht="15">
      <c r="A15" s="1487"/>
      <c r="B15" s="3516"/>
      <c r="C15" s="1491" t="s">
        <v>921</v>
      </c>
      <c r="D15" s="856">
        <f ca="1">结果表!H108</f>
        <v>15475</v>
      </c>
      <c r="E15" s="1487"/>
    </row>
    <row r="16" spans="1:5" ht="15">
      <c r="A16" s="1487"/>
      <c r="B16" s="3517" t="str">
        <f>结果表!E109</f>
        <v>——</v>
      </c>
      <c r="C16" s="1495" t="s">
        <v>922</v>
      </c>
      <c r="D16" s="1496" t="str">
        <f>结果表!H109</f>
        <v>——</v>
      </c>
      <c r="E16" s="1487"/>
    </row>
    <row r="17" spans="1:5" ht="15.75">
      <c r="A17" s="1487"/>
      <c r="B17" s="3518"/>
      <c r="C17" s="1490" t="s">
        <v>923</v>
      </c>
      <c r="D17" s="847" t="e">
        <f>NUMBERSTRING(INT(D16*10000),2)&amp;"元整"</f>
        <v>#VALUE!</v>
      </c>
      <c r="E17" s="1487"/>
    </row>
    <row r="18" spans="1:5" ht="15">
      <c r="A18" s="1487"/>
      <c r="B18" s="3519"/>
      <c r="C18" s="1491" t="s">
        <v>912</v>
      </c>
      <c r="D18" s="856" t="str">
        <f>结果表!H110</f>
        <v>——</v>
      </c>
      <c r="E18" s="1487"/>
    </row>
    <row r="19" spans="1:5" ht="15.75">
      <c r="A19" s="1487"/>
      <c r="B19" s="3510" t="str">
        <f>结果表!E111</f>
        <v>——</v>
      </c>
      <c r="C19" s="1495" t="s">
        <v>910</v>
      </c>
      <c r="D19" s="848" t="str">
        <f>结果表!H111</f>
        <v>——</v>
      </c>
      <c r="E19" s="1487"/>
    </row>
    <row r="20" spans="1:5" ht="15.75">
      <c r="A20" s="1487"/>
      <c r="B20" s="3511"/>
      <c r="C20" s="1490" t="s">
        <v>923</v>
      </c>
      <c r="D20" s="847" t="e">
        <f>NUMBERSTRING(INT(D19*10000),2)&amp;"元整"</f>
        <v>#VALUE!</v>
      </c>
      <c r="E20" s="1487"/>
    </row>
    <row r="21" spans="1:5" ht="15.75" thickBot="1">
      <c r="A21" s="1487"/>
      <c r="B21" s="3512"/>
      <c r="C21" s="1497" t="s">
        <v>921</v>
      </c>
      <c r="D21" s="857" t="str">
        <f>结果表!H112</f>
        <v>——</v>
      </c>
      <c r="E21" s="1487"/>
    </row>
    <row r="22" spans="1:5" ht="15" thickTop="1">
      <c r="A22" s="1487"/>
      <c r="B22" s="1498" t="s">
        <v>924</v>
      </c>
      <c r="C22" s="1487"/>
      <c r="D22" s="1487"/>
      <c r="E22" s="1487"/>
    </row>
    <row r="23" spans="1:5">
      <c r="A23" s="1487"/>
      <c r="B23" s="1487"/>
      <c r="C23" s="1487"/>
      <c r="D23" s="1487"/>
      <c r="E23" s="1487"/>
    </row>
    <row r="24" spans="1:5" ht="18.75">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319543</v>
      </c>
      <c r="C2" s="2" t="s">
        <v>106</v>
      </c>
      <c r="D2" s="199"/>
      <c r="E2" s="199"/>
      <c r="F2" s="199"/>
      <c r="G2" s="199"/>
    </row>
    <row r="3" spans="1:7" s="200" customFormat="1" ht="18" customHeight="1" thickBot="1">
      <c r="A3" s="203" t="s">
        <v>58</v>
      </c>
      <c r="B3" s="204">
        <f ca="1">ROUND(B2*10000/'数据-汇总表'!E3,0)</f>
        <v>14086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5" t="s">
        <v>346</v>
      </c>
      <c r="B6" s="215" t="s">
        <v>64</v>
      </c>
      <c r="C6" s="216">
        <v>20000</v>
      </c>
      <c r="D6" s="217"/>
      <c r="E6" s="218"/>
      <c r="F6" s="218"/>
      <c r="G6" s="219"/>
    </row>
    <row r="7" spans="1:7" s="214" customFormat="1" ht="13.5" customHeight="1">
      <c r="A7" s="775" t="s">
        <v>347</v>
      </c>
      <c r="B7" s="215" t="s">
        <v>30</v>
      </c>
      <c r="C7" s="220">
        <f>ROUND(C6*F7,0)</f>
        <v>610</v>
      </c>
      <c r="D7" s="220"/>
      <c r="E7" s="218"/>
      <c r="F7" s="221">
        <f>'数据-取费表'!B48+'数据-取费表'!B49</f>
        <v>3.0499999999999999E-2</v>
      </c>
      <c r="G7" s="219"/>
    </row>
    <row r="8" spans="1:7" s="223" customFormat="1">
      <c r="A8" s="775" t="s">
        <v>348</v>
      </c>
      <c r="B8" s="215" t="s">
        <v>65</v>
      </c>
      <c r="C8" s="220" t="str">
        <f>IF(G8="已包含在土地购买价格中","0",'数据-取费表'!B29)</f>
        <v>0</v>
      </c>
      <c r="D8" s="222"/>
      <c r="E8" s="220"/>
      <c r="F8" s="221"/>
      <c r="G8" s="1" t="s">
        <v>451</v>
      </c>
    </row>
    <row r="9" spans="1:7" s="214" customFormat="1" ht="13.5" customHeight="1">
      <c r="A9" s="776" t="s">
        <v>355</v>
      </c>
      <c r="B9" s="224" t="s">
        <v>66</v>
      </c>
      <c r="C9" s="225">
        <f>ROUND(D9*E9/10000,0)</f>
        <v>0</v>
      </c>
      <c r="D9" s="842">
        <f>'数据-汇总表'!E5</f>
        <v>0</v>
      </c>
      <c r="E9" s="225">
        <f>'数据-取费表'!B27</f>
        <v>150</v>
      </c>
      <c r="F9" s="221"/>
      <c r="G9" s="226"/>
    </row>
    <row r="10" spans="1:7" s="214" customFormat="1" ht="13.5" customHeight="1">
      <c r="A10" s="776" t="s">
        <v>356</v>
      </c>
      <c r="B10" s="224" t="s">
        <v>67</v>
      </c>
      <c r="C10" s="225">
        <f>ROUND(D10*E10/10000,0)</f>
        <v>3403</v>
      </c>
      <c r="D10" s="842">
        <f>'数据-汇总表'!E6</f>
        <v>226846.22999999989</v>
      </c>
      <c r="E10" s="225">
        <f>'数据-取费表'!B28</f>
        <v>150</v>
      </c>
      <c r="F10" s="221"/>
      <c r="G10" s="226"/>
    </row>
    <row r="11" spans="1:7" s="214" customFormat="1" ht="13.5" hidden="1" customHeight="1">
      <c r="A11" s="227" t="s">
        <v>4</v>
      </c>
      <c r="B11" s="215" t="s">
        <v>68</v>
      </c>
      <c r="C11" s="211"/>
      <c r="D11" s="844"/>
      <c r="E11" s="218"/>
      <c r="F11" s="218"/>
      <c r="G11" s="219"/>
    </row>
    <row r="12" spans="1:7" s="214" customFormat="1" ht="13.5" hidden="1" customHeight="1">
      <c r="A12" s="227" t="s">
        <v>5</v>
      </c>
      <c r="B12" s="215" t="s">
        <v>69</v>
      </c>
      <c r="C12" s="211">
        <v>0</v>
      </c>
      <c r="D12" s="844"/>
      <c r="E12" s="228"/>
      <c r="F12" s="221">
        <v>3.0499999999999999E-2</v>
      </c>
      <c r="G12" s="219"/>
    </row>
    <row r="13" spans="1:7" s="214" customFormat="1" ht="13.5" hidden="1" customHeight="1">
      <c r="A13" s="227" t="s">
        <v>6</v>
      </c>
      <c r="B13" s="215" t="s">
        <v>70</v>
      </c>
      <c r="C13" s="211"/>
      <c r="D13" s="844"/>
      <c r="E13" s="218"/>
      <c r="F13" s="218"/>
      <c r="G13" s="219"/>
    </row>
    <row r="14" spans="1:7" s="214" customFormat="1" ht="13.5" hidden="1" customHeight="1">
      <c r="A14" s="227" t="s">
        <v>7</v>
      </c>
      <c r="B14" s="215" t="s">
        <v>65</v>
      </c>
      <c r="C14" s="211"/>
      <c r="D14" s="844"/>
      <c r="E14" s="218"/>
      <c r="F14" s="218"/>
      <c r="G14" s="219" t="s">
        <v>71</v>
      </c>
    </row>
    <row r="15" spans="1:7" s="214" customFormat="1" ht="13.5" hidden="1" customHeight="1">
      <c r="A15" s="227" t="s">
        <v>8</v>
      </c>
      <c r="B15" s="215" t="s">
        <v>72</v>
      </c>
      <c r="C15" s="220"/>
      <c r="D15" s="844"/>
      <c r="E15" s="218"/>
      <c r="F15" s="218"/>
      <c r="G15" s="219" t="s">
        <v>73</v>
      </c>
    </row>
    <row r="16" spans="1:7" s="214" customFormat="1" ht="13.5" hidden="1" customHeight="1">
      <c r="A16" s="227" t="s">
        <v>9</v>
      </c>
      <c r="B16" s="215" t="s">
        <v>65</v>
      </c>
      <c r="C16" s="220"/>
      <c r="D16" s="844"/>
      <c r="E16" s="218"/>
      <c r="F16" s="218"/>
      <c r="G16" s="219"/>
    </row>
    <row r="17" spans="1:7" s="214" customFormat="1" ht="13.5" hidden="1" customHeight="1">
      <c r="A17" s="227" t="s">
        <v>10</v>
      </c>
      <c r="B17" s="215" t="s">
        <v>74</v>
      </c>
      <c r="C17" s="229"/>
      <c r="D17" s="845"/>
      <c r="E17" s="229"/>
      <c r="F17" s="229"/>
      <c r="G17" s="219" t="s">
        <v>73</v>
      </c>
    </row>
    <row r="18" spans="1:7" s="214" customFormat="1" ht="13.5" hidden="1" customHeight="1">
      <c r="A18" s="227" t="s">
        <v>11</v>
      </c>
      <c r="B18" s="215" t="s">
        <v>75</v>
      </c>
      <c r="C18" s="220">
        <v>0</v>
      </c>
      <c r="D18" s="844"/>
      <c r="E18" s="218"/>
      <c r="F18" s="221">
        <v>3.0499999999999999E-2</v>
      </c>
      <c r="G18" s="219" t="s">
        <v>76</v>
      </c>
    </row>
    <row r="19" spans="1:7" s="223" customFormat="1" ht="13.5" customHeight="1">
      <c r="A19" s="774" t="s">
        <v>417</v>
      </c>
      <c r="B19" s="210" t="s">
        <v>84</v>
      </c>
      <c r="C19" s="211">
        <f>IF(G19="已包含在土地取得成本中","0",ROUND(D19*E19/10000,0))</f>
        <v>4537</v>
      </c>
      <c r="D19" s="846">
        <f>'数据-汇总表'!E3</f>
        <v>226846.22999999989</v>
      </c>
      <c r="E19" s="211">
        <f>'数据-取费表'!B31</f>
        <v>200</v>
      </c>
      <c r="F19" s="231"/>
      <c r="G19" s="1" t="s">
        <v>436</v>
      </c>
    </row>
    <row r="20" spans="1:7" s="214" customFormat="1" ht="13.5" customHeight="1">
      <c r="A20" s="774" t="s">
        <v>419</v>
      </c>
      <c r="B20" s="210" t="s">
        <v>77</v>
      </c>
      <c r="C20" s="232">
        <f>ROUND((C5+C19)*F20,0)</f>
        <v>503</v>
      </c>
      <c r="D20" s="232"/>
      <c r="E20" s="232"/>
      <c r="F20" s="233">
        <f>'数据-取费表'!B37</f>
        <v>0.02</v>
      </c>
      <c r="G20" s="1064" t="s">
        <v>430</v>
      </c>
    </row>
    <row r="21" spans="1:7" s="214" customFormat="1" ht="13.5" customHeight="1">
      <c r="A21" s="774" t="s">
        <v>421</v>
      </c>
      <c r="B21" s="210" t="s">
        <v>78</v>
      </c>
      <c r="C21" s="235">
        <f>F21</f>
        <v>0.02</v>
      </c>
      <c r="D21" s="236" t="s">
        <v>99</v>
      </c>
      <c r="E21" s="232"/>
      <c r="F21" s="233">
        <f>'数据-取费表'!B38</f>
        <v>0.02</v>
      </c>
      <c r="G21" s="234" t="s">
        <v>79</v>
      </c>
    </row>
    <row r="22" spans="1:7" s="214" customFormat="1" ht="13.5" customHeight="1">
      <c r="A22" s="774" t="s">
        <v>341</v>
      </c>
      <c r="B22" s="210" t="s">
        <v>80</v>
      </c>
      <c r="C22" s="1101">
        <f ca="1">ROUND(SUM(C23:C25),0)</f>
        <v>3119</v>
      </c>
      <c r="D22" s="235">
        <f ca="1">C26</f>
        <v>1.1999999999999999E-3</v>
      </c>
      <c r="E22" s="236" t="s">
        <v>99</v>
      </c>
      <c r="F22" s="237">
        <f ca="1">'数据-取费表'!B40</f>
        <v>4.1499999999999995E-2</v>
      </c>
      <c r="G22" s="1064" t="str">
        <f>IF('数据-取费表'!B22&lt;=1,"单利计息","复利计息")</f>
        <v>复利计息</v>
      </c>
    </row>
    <row r="23" spans="1:7" s="214" customFormat="1" ht="13.5" customHeight="1">
      <c r="A23" s="777" t="s">
        <v>349</v>
      </c>
      <c r="B23" s="215" t="s">
        <v>423</v>
      </c>
      <c r="C23" s="1102">
        <f ca="1">ROUND(IF('数据-取费表'!B22&lt;=1,C5*F22*'数据-取费表'!B23,C5*(POWER((1+F22),'数据-取费表'!B23)-1)),0)</f>
        <v>2532</v>
      </c>
      <c r="D23" s="238"/>
      <c r="E23" s="238"/>
      <c r="F23" s="239"/>
      <c r="G23" s="240" t="s">
        <v>81</v>
      </c>
    </row>
    <row r="24" spans="1:7" s="214" customFormat="1" ht="13.5" customHeight="1">
      <c r="A24" s="777" t="s">
        <v>347</v>
      </c>
      <c r="B24" s="215" t="s">
        <v>418</v>
      </c>
      <c r="C24" s="1102">
        <f ca="1">ROUND(IF('数据-取费表'!B22&lt;=1,C19*F22*('数据-取费表'!B19/2+'数据-取费表'!B21),C19*(POWER((1+F22),('数据-取费表'!B19/2+'数据-取费表'!B21))-1)),0)</f>
        <v>557</v>
      </c>
      <c r="D24" s="238"/>
      <c r="E24" s="238"/>
      <c r="F24" s="239"/>
      <c r="G24" s="240" t="s">
        <v>82</v>
      </c>
    </row>
    <row r="25" spans="1:7" s="214" customFormat="1" ht="24">
      <c r="A25" s="777" t="s">
        <v>348</v>
      </c>
      <c r="B25" s="215" t="s">
        <v>420</v>
      </c>
      <c r="C25" s="1102">
        <f ca="1">ROUND(IF('数据-取费表'!B22&lt;=1,C20*F22*'数据-取费表'!B23/2,C20*(POWER((1+F22),'数据-取费表'!B23/2)-1)),0)</f>
        <v>30</v>
      </c>
      <c r="D25" s="238"/>
      <c r="E25" s="241"/>
      <c r="F25" s="239"/>
      <c r="G25" s="242" t="s">
        <v>83</v>
      </c>
    </row>
    <row r="26" spans="1:7" s="214" customFormat="1">
      <c r="A26" s="777" t="s">
        <v>350</v>
      </c>
      <c r="B26" s="215" t="s">
        <v>422</v>
      </c>
      <c r="C26" s="238">
        <f ca="1">ROUND(IF('数据-取费表'!B22&lt;=1,F21*F22*'数据-取费表'!B23/2,F21*(POWER((1+F22),'数据-取费表'!B23/2)-1)),4)</f>
        <v>1.1999999999999999E-3</v>
      </c>
      <c r="D26" s="238"/>
      <c r="E26" s="241"/>
      <c r="F26" s="239"/>
      <c r="G26" s="243"/>
    </row>
    <row r="27" spans="1:7" s="214" customFormat="1" ht="24.75">
      <c r="A27" s="774" t="s">
        <v>342</v>
      </c>
      <c r="B27" s="244" t="s">
        <v>85</v>
      </c>
      <c r="C27" s="245">
        <f>C28</f>
        <v>3899</v>
      </c>
      <c r="D27" s="235">
        <f>C29</f>
        <v>3.0000000000000001E-3</v>
      </c>
      <c r="E27" s="236" t="s">
        <v>99</v>
      </c>
      <c r="F27" s="246">
        <f>'数据-取费表'!Q16</f>
        <v>0.16</v>
      </c>
      <c r="G27" s="247" t="s">
        <v>431</v>
      </c>
    </row>
    <row r="28" spans="1:7" s="214" customFormat="1" ht="13.5" customHeight="1">
      <c r="A28" s="777" t="s">
        <v>349</v>
      </c>
      <c r="B28" s="248" t="s">
        <v>424</v>
      </c>
      <c r="C28" s="249">
        <f>ROUND((C5+C19+C20)*F27*'数据-取费表'!B21/'数据-取费表'!B20,0)</f>
        <v>3899</v>
      </c>
      <c r="D28" s="235"/>
      <c r="E28" s="236"/>
      <c r="F28" s="246"/>
      <c r="G28" s="247"/>
    </row>
    <row r="29" spans="1:7" s="214" customFormat="1" ht="13.5" customHeight="1">
      <c r="A29" s="777" t="s">
        <v>347</v>
      </c>
      <c r="B29" s="248" t="s">
        <v>425</v>
      </c>
      <c r="C29" s="238">
        <f>ROUND(C21*F27*'数据-取费表'!B21/'数据-取费表'!B20,4)</f>
        <v>3.0000000000000001E-3</v>
      </c>
      <c r="D29" s="235"/>
      <c r="E29" s="236"/>
      <c r="F29" s="246"/>
      <c r="G29" s="247"/>
    </row>
    <row r="30" spans="1:7" s="214" customFormat="1" ht="13.5" customHeight="1">
      <c r="A30" s="774"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35414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210637</v>
      </c>
      <c r="D33" s="232"/>
      <c r="E33" s="212"/>
      <c r="F33" s="241"/>
      <c r="G33" s="234"/>
    </row>
    <row r="34" spans="1:7" s="258" customFormat="1" ht="13.5" customHeight="1">
      <c r="A34" s="777" t="s">
        <v>349</v>
      </c>
      <c r="B34" s="215" t="s">
        <v>32</v>
      </c>
      <c r="C34" s="220">
        <f>IF(F34=100%,'数据-取费表'!M16-SUMIF('数据-取费表'!C:C,"公共配套",'数据-取费表'!M:M),'数据-取费表'!O16-SUMIF('数据-取费表'!C:C,"公共配套",'数据-取费表'!O:O))</f>
        <v>197442</v>
      </c>
      <c r="D34" s="217"/>
      <c r="E34" s="220"/>
      <c r="F34" s="257">
        <f>IF('数据-取费表'!B24=0,1,'数据-取费表'!N16)</f>
        <v>0.95</v>
      </c>
      <c r="G34" s="219" t="s">
        <v>89</v>
      </c>
    </row>
    <row r="35" spans="1:7" ht="13.5" customHeight="1">
      <c r="A35" s="777" t="s">
        <v>351</v>
      </c>
      <c r="B35" s="215" t="s">
        <v>33</v>
      </c>
      <c r="C35" s="220">
        <f>ROUND(C34*F35,0)</f>
        <v>5923</v>
      </c>
      <c r="D35" s="220"/>
      <c r="E35" s="220"/>
      <c r="F35" s="259">
        <f>'数据-取费表'!B33</f>
        <v>0.03</v>
      </c>
      <c r="G35" s="219" t="s">
        <v>90</v>
      </c>
    </row>
    <row r="36" spans="1:7" ht="24">
      <c r="A36" s="777"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7" t="s">
        <v>353</v>
      </c>
      <c r="B37" s="215" t="s">
        <v>91</v>
      </c>
      <c r="C37" s="249">
        <f>ROUND(E37*D37*F34/10000,0)</f>
        <v>4310</v>
      </c>
      <c r="D37" s="217">
        <f>'数据-汇总表'!E3</f>
        <v>226846.22999999989</v>
      </c>
      <c r="E37" s="249">
        <f>'数据-取费表'!B35</f>
        <v>200</v>
      </c>
      <c r="F37" s="259"/>
      <c r="G37" s="261" t="s">
        <v>92</v>
      </c>
    </row>
    <row r="38" spans="1:7" ht="13.5" customHeight="1">
      <c r="A38" s="777" t="s">
        <v>354</v>
      </c>
      <c r="B38" s="215" t="s">
        <v>36</v>
      </c>
      <c r="C38" s="220">
        <f>ROUND(C34*F38,0)</f>
        <v>2962</v>
      </c>
      <c r="D38" s="220"/>
      <c r="E38" s="220"/>
      <c r="F38" s="259">
        <f>'数据-取费表'!B36</f>
        <v>1.4999999999999999E-2</v>
      </c>
      <c r="G38" s="219" t="s">
        <v>90</v>
      </c>
    </row>
    <row r="39" spans="1:7" s="214" customFormat="1" ht="13.5" customHeight="1">
      <c r="A39" s="774" t="s">
        <v>338</v>
      </c>
      <c r="B39" s="210" t="s">
        <v>77</v>
      </c>
      <c r="C39" s="232">
        <f>ROUND(C33*F20,0)</f>
        <v>4213</v>
      </c>
      <c r="D39" s="232"/>
      <c r="E39" s="232"/>
      <c r="F39" s="233"/>
      <c r="G39" s="1064" t="s">
        <v>433</v>
      </c>
    </row>
    <row r="40" spans="1:7" s="214" customFormat="1" ht="13.5" customHeight="1">
      <c r="A40" s="774" t="s">
        <v>339</v>
      </c>
      <c r="B40" s="210" t="s">
        <v>78</v>
      </c>
      <c r="C40" s="262">
        <f>F21</f>
        <v>0.02</v>
      </c>
      <c r="D40" s="236" t="s">
        <v>102</v>
      </c>
      <c r="E40" s="232"/>
      <c r="F40" s="233"/>
      <c r="G40" s="234" t="s">
        <v>93</v>
      </c>
    </row>
    <row r="41" spans="1:7" s="214" customFormat="1" ht="13.5" customHeight="1">
      <c r="A41" s="774" t="s">
        <v>340</v>
      </c>
      <c r="B41" s="210" t="s">
        <v>80</v>
      </c>
      <c r="C41" s="232">
        <f ca="1">ROUND(SUM(C42:C43),0)</f>
        <v>12817</v>
      </c>
      <c r="D41" s="235">
        <f ca="1">C44</f>
        <v>1.1999999999999999E-3</v>
      </c>
      <c r="E41" s="236" t="s">
        <v>102</v>
      </c>
      <c r="F41" s="237"/>
      <c r="G41" s="1064" t="str">
        <f>IF('数据-取费表'!B22&lt;=1,"单利计息","复利计息")</f>
        <v>复利计息</v>
      </c>
    </row>
    <row r="42" spans="1:7" ht="13.5" customHeight="1">
      <c r="A42" s="777" t="s">
        <v>349</v>
      </c>
      <c r="B42" s="215" t="s">
        <v>423</v>
      </c>
      <c r="C42" s="238">
        <f ca="1">ROUND(IF('数据-取费表'!B22&lt;=1,C33*F22*'数据-取费表'!B21/2,C33*(POWER((1+F22),'数据-取费表'!B21/2)-1)),0)</f>
        <v>12566</v>
      </c>
      <c r="D42" s="238"/>
      <c r="E42" s="238"/>
      <c r="F42" s="239"/>
      <c r="G42" s="3698" t="s">
        <v>94</v>
      </c>
    </row>
    <row r="43" spans="1:7" ht="13.5" customHeight="1">
      <c r="A43" s="777" t="s">
        <v>347</v>
      </c>
      <c r="B43" s="215" t="s">
        <v>426</v>
      </c>
      <c r="C43" s="238">
        <f ca="1">ROUND(IF('数据-取费表'!B22&lt;=1,C39*F22*'数据-取费表'!B21/2,C39*(POWER((1+F22),'数据-取费表'!B21/2)-1)),0)</f>
        <v>251</v>
      </c>
      <c r="D43" s="238"/>
      <c r="E43" s="238"/>
      <c r="F43" s="239"/>
      <c r="G43" s="3699"/>
    </row>
    <row r="44" spans="1:7" ht="13.5" customHeight="1">
      <c r="A44" s="777" t="s">
        <v>348</v>
      </c>
      <c r="B44" s="215" t="s">
        <v>428</v>
      </c>
      <c r="C44" s="238">
        <f ca="1">ROUND(IF('数据-取费表'!B22&lt;=1,C40*F22*'数据-取费表'!B21/2,C40*(POWER((1+F22),'数据-取费表'!B21/2)-1)),4)</f>
        <v>1.1999999999999999E-3</v>
      </c>
      <c r="D44" s="238"/>
      <c r="E44" s="238"/>
      <c r="F44" s="239"/>
      <c r="G44" s="3700"/>
    </row>
    <row r="45" spans="1:7" s="214" customFormat="1" ht="13.5" customHeight="1">
      <c r="A45" s="774" t="s">
        <v>341</v>
      </c>
      <c r="B45" s="244" t="s">
        <v>85</v>
      </c>
      <c r="C45" s="245">
        <f>C46</f>
        <v>34376</v>
      </c>
      <c r="D45" s="235">
        <f>C47</f>
        <v>3.2000000000000002E-3</v>
      </c>
      <c r="E45" s="236" t="s">
        <v>102</v>
      </c>
      <c r="F45" s="246"/>
      <c r="G45" s="247" t="s">
        <v>434</v>
      </c>
    </row>
    <row r="46" spans="1:7" s="214" customFormat="1" ht="13.5" customHeight="1">
      <c r="A46" s="777" t="s">
        <v>349</v>
      </c>
      <c r="B46" s="248" t="s">
        <v>427</v>
      </c>
      <c r="C46" s="249">
        <f>ROUND((C33+C39)*F27,0)</f>
        <v>34376</v>
      </c>
      <c r="D46" s="263"/>
      <c r="E46" s="236"/>
      <c r="F46" s="246"/>
      <c r="G46" s="247"/>
    </row>
    <row r="47" spans="1:7" s="214" customFormat="1" ht="13.5" customHeight="1">
      <c r="A47" s="777" t="s">
        <v>347</v>
      </c>
      <c r="B47" s="248" t="s">
        <v>429</v>
      </c>
      <c r="C47" s="238">
        <f>ROUND(C40*F27,4)</f>
        <v>3.2000000000000002E-3</v>
      </c>
      <c r="D47" s="263"/>
      <c r="E47" s="236"/>
      <c r="F47" s="246"/>
      <c r="G47" s="247"/>
    </row>
    <row r="48" spans="1:7" s="214" customFormat="1" ht="13.5" customHeight="1">
      <c r="A48" s="774" t="s">
        <v>342</v>
      </c>
      <c r="B48" s="210" t="s">
        <v>95</v>
      </c>
      <c r="C48" s="262">
        <f>F30</f>
        <v>5.6000000000000001E-2</v>
      </c>
      <c r="D48" s="236" t="s">
        <v>103</v>
      </c>
      <c r="E48" s="232"/>
      <c r="F48" s="237"/>
      <c r="G48" s="234" t="s">
        <v>96</v>
      </c>
    </row>
    <row r="49" spans="1:7" ht="16.5" customHeight="1">
      <c r="A49" s="774" t="s">
        <v>343</v>
      </c>
      <c r="B49" s="210" t="s">
        <v>104</v>
      </c>
      <c r="C49" s="232">
        <f ca="1">ROUND((C33+C39+C41+C45)/(1-C40-D41-D45-C48/(1+'数据-取费表'!B42)),0)</f>
        <v>284129</v>
      </c>
      <c r="D49" s="232"/>
      <c r="E49" s="232"/>
      <c r="F49" s="264"/>
      <c r="G49" s="234" t="s">
        <v>435</v>
      </c>
    </row>
    <row r="50" spans="1:7" s="258" customFormat="1" ht="24">
      <c r="A50" s="774" t="s">
        <v>344</v>
      </c>
      <c r="B50" s="210" t="s">
        <v>97</v>
      </c>
      <c r="C50" s="232"/>
      <c r="D50" s="232"/>
      <c r="E50" s="232"/>
      <c r="F50" s="264">
        <f>IF('数据-取费表'!B24=0,'数据-取费表'!N16,1)</f>
        <v>1</v>
      </c>
      <c r="G50" s="247" t="s">
        <v>98</v>
      </c>
    </row>
    <row r="51" spans="1:7" ht="16.5" customHeight="1">
      <c r="A51" s="774" t="s">
        <v>345</v>
      </c>
      <c r="B51" s="210" t="s">
        <v>105</v>
      </c>
      <c r="C51" s="232">
        <f ca="1">ROUND(C49*F50,0)</f>
        <v>284129</v>
      </c>
      <c r="D51" s="232"/>
      <c r="E51" s="232"/>
      <c r="F51" s="264"/>
      <c r="G51" s="234" t="s">
        <v>37</v>
      </c>
    </row>
    <row r="52" spans="1:7" s="208" customFormat="1" ht="16.5" thickBot="1">
      <c r="A52" s="265" t="s">
        <v>38</v>
      </c>
      <c r="B52" s="266"/>
      <c r="C52" s="267">
        <f ca="1">C31+C51</f>
        <v>319543</v>
      </c>
      <c r="D52" s="266"/>
      <c r="E52" s="266"/>
      <c r="F52" s="266"/>
      <c r="G52" s="268"/>
    </row>
    <row r="55" spans="1:7" ht="15">
      <c r="B55" s="270" t="s">
        <v>39</v>
      </c>
      <c r="C55" s="271"/>
    </row>
    <row r="56" spans="1:7">
      <c r="B56" s="273" t="s">
        <v>40</v>
      </c>
      <c r="C56" s="274">
        <f ca="1">ROUND(C51/C52,3)</f>
        <v>0.88900000000000001</v>
      </c>
    </row>
    <row r="57" spans="1:7">
      <c r="B57" s="273" t="s">
        <v>41</v>
      </c>
      <c r="C57" s="275">
        <f ca="1">1-C56</f>
        <v>0.11099999999999999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K31" sqref="K31"/>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38" t="s">
        <v>2845</v>
      </c>
      <c r="B1" s="3838"/>
      <c r="C1" s="3838"/>
      <c r="D1" s="3838"/>
      <c r="E1" s="3838"/>
      <c r="F1" s="3838"/>
      <c r="G1" s="3839"/>
      <c r="I1" s="3219" t="s">
        <v>2846</v>
      </c>
      <c r="J1" s="3220" t="s">
        <v>2847</v>
      </c>
      <c r="K1" s="3220" t="s">
        <v>2848</v>
      </c>
      <c r="L1" s="3220" t="s">
        <v>2849</v>
      </c>
      <c r="M1" s="3220" t="s">
        <v>2850</v>
      </c>
      <c r="N1" s="3220" t="s">
        <v>2851</v>
      </c>
      <c r="O1" s="3220" t="s">
        <v>2852</v>
      </c>
      <c r="P1" s="3220" t="s">
        <v>2853</v>
      </c>
      <c r="Q1" s="3220" t="s">
        <v>2854</v>
      </c>
      <c r="R1" s="3220" t="s">
        <v>2855</v>
      </c>
      <c r="S1" s="3220" t="s">
        <v>2856</v>
      </c>
      <c r="T1" s="3221" t="s">
        <v>2857</v>
      </c>
    </row>
    <row r="2" spans="1:20" ht="12" thickBot="1">
      <c r="A2" s="3223" t="s">
        <v>2858</v>
      </c>
      <c r="B2" s="3223"/>
      <c r="C2" s="3223"/>
      <c r="D2" s="3223"/>
      <c r="E2" s="3223"/>
      <c r="F2" s="3223"/>
      <c r="G2" s="3224" t="s">
        <v>2859</v>
      </c>
      <c r="I2" s="3225" t="s">
        <v>2860</v>
      </c>
      <c r="J2" s="3225" t="s">
        <v>2861</v>
      </c>
      <c r="K2" s="3225" t="s">
        <v>2862</v>
      </c>
      <c r="L2" s="3225" t="s">
        <v>2863</v>
      </c>
      <c r="M2" s="3225" t="s">
        <v>2864</v>
      </c>
      <c r="N2" s="3225" t="s">
        <v>2865</v>
      </c>
      <c r="O2" s="3225" t="s">
        <v>2866</v>
      </c>
      <c r="P2" s="3225" t="s">
        <v>2867</v>
      </c>
      <c r="Q2" s="3225" t="s">
        <v>2868</v>
      </c>
      <c r="R2" s="3225" t="s">
        <v>2869</v>
      </c>
      <c r="S2" s="3225" t="s">
        <v>2870</v>
      </c>
      <c r="T2" s="3225" t="s">
        <v>2871</v>
      </c>
    </row>
    <row r="3" spans="1:20" s="3231" customFormat="1">
      <c r="A3" s="3836" t="s">
        <v>2872</v>
      </c>
      <c r="B3" s="3226"/>
      <c r="C3" s="3227" t="s">
        <v>2813</v>
      </c>
      <c r="D3" s="3227" t="s">
        <v>2873</v>
      </c>
      <c r="E3" s="3227" t="s">
        <v>2815</v>
      </c>
      <c r="F3" s="3227" t="s">
        <v>2874</v>
      </c>
      <c r="G3" s="3227" t="s">
        <v>2633</v>
      </c>
      <c r="H3" s="3228"/>
      <c r="I3" s="3229" t="s">
        <v>2875</v>
      </c>
      <c r="J3" s="3230" t="s">
        <v>128</v>
      </c>
      <c r="K3" s="3230" t="s">
        <v>129</v>
      </c>
      <c r="L3" s="3229" t="s">
        <v>130</v>
      </c>
      <c r="M3" s="3229" t="s">
        <v>131</v>
      </c>
      <c r="N3" s="3229" t="s">
        <v>132</v>
      </c>
      <c r="O3" s="3229" t="s">
        <v>133</v>
      </c>
      <c r="P3" s="3229" t="s">
        <v>134</v>
      </c>
      <c r="Q3" s="3229" t="s">
        <v>135</v>
      </c>
      <c r="R3" s="3229" t="s">
        <v>136</v>
      </c>
      <c r="S3" s="3229" t="s">
        <v>2876</v>
      </c>
      <c r="T3" s="3229" t="s">
        <v>2877</v>
      </c>
    </row>
    <row r="4" spans="1:20" s="3231" customFormat="1" ht="12" thickBot="1">
      <c r="A4" s="3837"/>
      <c r="B4" s="3232" t="s">
        <v>2878</v>
      </c>
      <c r="C4" s="3232" t="s">
        <v>2879</v>
      </c>
      <c r="D4" s="3232" t="s">
        <v>2879</v>
      </c>
      <c r="E4" s="3232" t="s">
        <v>2879</v>
      </c>
      <c r="F4" s="3233" t="s">
        <v>2879</v>
      </c>
      <c r="G4" s="3233" t="s">
        <v>2879</v>
      </c>
      <c r="H4" s="3228"/>
      <c r="I4" s="3230" t="s">
        <v>137</v>
      </c>
      <c r="J4" s="3230" t="s">
        <v>111</v>
      </c>
      <c r="K4" s="3230" t="s">
        <v>138</v>
      </c>
      <c r="L4" s="3229" t="s">
        <v>139</v>
      </c>
      <c r="M4" s="3229" t="s">
        <v>140</v>
      </c>
      <c r="N4" s="3229" t="s">
        <v>141</v>
      </c>
      <c r="O4" s="3229" t="s">
        <v>142</v>
      </c>
      <c r="P4" s="3229" t="s">
        <v>143</v>
      </c>
      <c r="Q4" s="3229" t="s">
        <v>2880</v>
      </c>
      <c r="R4" s="3229" t="s">
        <v>2881</v>
      </c>
      <c r="S4" s="3229" t="s">
        <v>2882</v>
      </c>
      <c r="T4" s="3229" t="s">
        <v>2883</v>
      </c>
    </row>
    <row r="5" spans="1:20">
      <c r="A5" s="3234" t="s">
        <v>2846</v>
      </c>
      <c r="B5" s="3225" t="s">
        <v>2860</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2884</v>
      </c>
      <c r="R5" s="3229" t="s">
        <v>2885</v>
      </c>
      <c r="S5" s="3229" t="s">
        <v>153</v>
      </c>
      <c r="T5" s="3229" t="s">
        <v>2886</v>
      </c>
    </row>
    <row r="6" spans="1:20" ht="12" thickBot="1">
      <c r="A6" s="3229" t="s">
        <v>144</v>
      </c>
      <c r="B6" s="3229" t="s">
        <v>2875</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2887</v>
      </c>
      <c r="Q6" s="3229" t="s">
        <v>2888</v>
      </c>
      <c r="R6" s="3229" t="s">
        <v>161</v>
      </c>
      <c r="S6" s="3229" t="s">
        <v>2889</v>
      </c>
      <c r="T6" s="3229" t="s">
        <v>2890</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2891</v>
      </c>
      <c r="Q7" s="3229" t="s">
        <v>2892</v>
      </c>
      <c r="R7" s="3229" t="s">
        <v>2893</v>
      </c>
      <c r="S7" s="3229" t="s">
        <v>2894</v>
      </c>
      <c r="T7" s="3229" t="s">
        <v>2895</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2896</v>
      </c>
      <c r="Q8" s="3229" t="s">
        <v>174</v>
      </c>
      <c r="R8" s="3229" t="s">
        <v>2897</v>
      </c>
      <c r="S8" s="3229" t="s">
        <v>2898</v>
      </c>
      <c r="T8" s="3236" t="s">
        <v>2899</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2900</v>
      </c>
      <c r="Q9" s="3229" t="s">
        <v>182</v>
      </c>
      <c r="R9" s="3229" t="s">
        <v>183</v>
      </c>
      <c r="S9" s="3229" t="s">
        <v>200</v>
      </c>
    </row>
    <row r="10" spans="1:20">
      <c r="A10" s="3234" t="s">
        <v>184</v>
      </c>
      <c r="B10" s="3225" t="s">
        <v>2861</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2901</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2902</v>
      </c>
      <c r="P11" s="3229" t="s">
        <v>191</v>
      </c>
      <c r="Q11" s="3229" t="s">
        <v>199</v>
      </c>
      <c r="R11" s="3229" t="s">
        <v>2903</v>
      </c>
      <c r="S11" s="3229" t="s">
        <v>2904</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2905</v>
      </c>
      <c r="P12" s="3229" t="s">
        <v>2906</v>
      </c>
      <c r="Q12" s="3229" t="s">
        <v>2907</v>
      </c>
      <c r="R12" s="3229" t="s">
        <v>2908</v>
      </c>
      <c r="S12" s="3229" t="s">
        <v>2909</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2910</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2911</v>
      </c>
      <c r="K14" s="3230" t="s">
        <v>215</v>
      </c>
      <c r="L14" s="3229" t="s">
        <v>216</v>
      </c>
      <c r="M14" s="3229" t="s">
        <v>217</v>
      </c>
      <c r="N14" s="3229" t="s">
        <v>218</v>
      </c>
      <c r="O14" s="3229" t="s">
        <v>240</v>
      </c>
      <c r="P14" s="3229" t="s">
        <v>213</v>
      </c>
      <c r="Q14" s="3229" t="s">
        <v>2912</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2913</v>
      </c>
      <c r="P15" s="3229" t="s">
        <v>2914</v>
      </c>
      <c r="Q15" s="3229" t="s">
        <v>242</v>
      </c>
      <c r="R15" s="3229" t="s">
        <v>2915</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2916</v>
      </c>
      <c r="P16" s="3229" t="s">
        <v>227</v>
      </c>
      <c r="Q16" s="3229" t="s">
        <v>250</v>
      </c>
      <c r="R16" s="3229" t="s">
        <v>207</v>
      </c>
      <c r="S16" s="3229" t="s">
        <v>2917</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2918</v>
      </c>
      <c r="P17" s="3229" t="s">
        <v>2919</v>
      </c>
      <c r="Q17" s="3229" t="s">
        <v>256</v>
      </c>
      <c r="R17" s="3229" t="s">
        <v>2920</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2921</v>
      </c>
      <c r="P18" s="3229" t="s">
        <v>241</v>
      </c>
      <c r="Q18" s="3229" t="s">
        <v>2922</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2923</v>
      </c>
      <c r="P19" s="3229" t="s">
        <v>249</v>
      </c>
      <c r="Q19" s="3229" t="s">
        <v>2924</v>
      </c>
      <c r="R19" s="3229" t="s">
        <v>265</v>
      </c>
      <c r="S19" s="3229" t="s">
        <v>2925</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2926</v>
      </c>
      <c r="P20" s="3229" t="s">
        <v>2927</v>
      </c>
      <c r="Q20" s="3229" t="s">
        <v>290</v>
      </c>
      <c r="R20" s="3229" t="s">
        <v>2928</v>
      </c>
      <c r="S20" s="3229" t="s">
        <v>277</v>
      </c>
    </row>
    <row r="21" spans="1:19" ht="14.25" customHeight="1" thickBot="1">
      <c r="A21" s="3229" t="s">
        <v>184</v>
      </c>
      <c r="B21" s="3230" t="s">
        <v>208</v>
      </c>
      <c r="C21" s="3229">
        <v>32370</v>
      </c>
      <c r="D21" s="3229">
        <v>26730</v>
      </c>
      <c r="E21" s="3229">
        <v>26640</v>
      </c>
      <c r="F21" s="3229"/>
      <c r="G21" s="3229">
        <v>19440</v>
      </c>
      <c r="J21" s="3236" t="s">
        <v>2929</v>
      </c>
      <c r="K21" s="3230" t="s">
        <v>267</v>
      </c>
      <c r="L21" s="3229" t="s">
        <v>268</v>
      </c>
      <c r="M21" s="3229" t="s">
        <v>269</v>
      </c>
      <c r="N21" s="3229" t="s">
        <v>270</v>
      </c>
      <c r="O21" s="3229" t="s">
        <v>264</v>
      </c>
      <c r="P21" s="3229" t="s">
        <v>283</v>
      </c>
      <c r="Q21" s="3229" t="s">
        <v>293</v>
      </c>
      <c r="R21" s="3229" t="s">
        <v>2930</v>
      </c>
      <c r="S21" s="3236" t="s">
        <v>2931</v>
      </c>
    </row>
    <row r="22" spans="1:19" ht="14.25" customHeight="1">
      <c r="A22" s="3229" t="s">
        <v>184</v>
      </c>
      <c r="B22" s="3230" t="s">
        <v>2911</v>
      </c>
      <c r="C22" s="3229">
        <v>29830</v>
      </c>
      <c r="D22" s="3229">
        <v>27600</v>
      </c>
      <c r="E22" s="3229">
        <v>28150</v>
      </c>
      <c r="F22" s="3229"/>
      <c r="G22" s="3229">
        <v>20080</v>
      </c>
      <c r="K22" s="3230" t="s">
        <v>2932</v>
      </c>
      <c r="L22" s="3229" t="s">
        <v>272</v>
      </c>
      <c r="M22" s="3229" t="s">
        <v>273</v>
      </c>
      <c r="N22" s="3229" t="s">
        <v>274</v>
      </c>
      <c r="O22" s="3229" t="s">
        <v>2933</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2934</v>
      </c>
      <c r="L23" s="3229" t="s">
        <v>278</v>
      </c>
      <c r="M23" s="3229" t="s">
        <v>279</v>
      </c>
      <c r="N23" s="3229" t="s">
        <v>2935</v>
      </c>
      <c r="O23" s="3229" t="s">
        <v>2936</v>
      </c>
      <c r="P23" s="3229" t="s">
        <v>289</v>
      </c>
      <c r="Q23" s="3229" t="s">
        <v>298</v>
      </c>
      <c r="R23" s="3229" t="s">
        <v>2937</v>
      </c>
    </row>
    <row r="24" spans="1:19" ht="14.25" customHeight="1">
      <c r="A24" s="3229" t="s">
        <v>184</v>
      </c>
      <c r="B24" s="3230" t="s">
        <v>230</v>
      </c>
      <c r="C24" s="3229">
        <v>27930</v>
      </c>
      <c r="D24" s="3229">
        <v>32260</v>
      </c>
      <c r="E24" s="3229">
        <v>32120</v>
      </c>
      <c r="F24" s="3229"/>
      <c r="G24" s="3229">
        <v>23470</v>
      </c>
      <c r="K24" s="3230" t="s">
        <v>2938</v>
      </c>
      <c r="L24" s="3229" t="s">
        <v>281</v>
      </c>
      <c r="M24" s="3229" t="s">
        <v>282</v>
      </c>
      <c r="N24" s="3229" t="s">
        <v>2939</v>
      </c>
      <c r="O24" s="3229" t="s">
        <v>285</v>
      </c>
      <c r="P24" s="3229" t="s">
        <v>2940</v>
      </c>
      <c r="Q24" s="3238" t="s">
        <v>2941</v>
      </c>
      <c r="R24" s="3229" t="s">
        <v>2942</v>
      </c>
    </row>
    <row r="25" spans="1:19" ht="14.25" customHeight="1">
      <c r="A25" s="3229" t="s">
        <v>184</v>
      </c>
      <c r="B25" s="3230" t="s">
        <v>235</v>
      </c>
      <c r="C25" s="3229">
        <v>32230</v>
      </c>
      <c r="D25" s="3229">
        <v>29640</v>
      </c>
      <c r="E25" s="3229">
        <v>29510</v>
      </c>
      <c r="F25" s="3229"/>
      <c r="G25" s="3229">
        <v>21560</v>
      </c>
      <c r="K25" s="3230" t="s">
        <v>2943</v>
      </c>
      <c r="L25" s="3229" t="s">
        <v>2944</v>
      </c>
      <c r="M25" s="3229" t="s">
        <v>284</v>
      </c>
      <c r="N25" s="3229" t="s">
        <v>292</v>
      </c>
      <c r="O25" s="3229" t="s">
        <v>288</v>
      </c>
      <c r="P25" s="3229" t="s">
        <v>275</v>
      </c>
      <c r="Q25" s="3238" t="s">
        <v>271</v>
      </c>
      <c r="R25" s="3229" t="s">
        <v>2945</v>
      </c>
    </row>
    <row r="26" spans="1:19" ht="14.25" customHeight="1" thickBot="1">
      <c r="A26" s="3229" t="s">
        <v>184</v>
      </c>
      <c r="B26" s="3230" t="s">
        <v>244</v>
      </c>
      <c r="C26" s="3229">
        <v>31690</v>
      </c>
      <c r="D26" s="3229">
        <v>27650</v>
      </c>
      <c r="E26" s="3229">
        <v>28200</v>
      </c>
      <c r="F26" s="3229"/>
      <c r="G26" s="3229">
        <v>20110</v>
      </c>
      <c r="K26" s="3235" t="s">
        <v>2946</v>
      </c>
      <c r="L26" s="3229" t="s">
        <v>2947</v>
      </c>
      <c r="M26" s="3229" t="s">
        <v>287</v>
      </c>
      <c r="N26" s="3229" t="s">
        <v>294</v>
      </c>
      <c r="O26" s="3229" t="s">
        <v>2948</v>
      </c>
      <c r="P26" s="3229" t="s">
        <v>2949</v>
      </c>
      <c r="Q26" s="3238" t="s">
        <v>276</v>
      </c>
      <c r="R26" s="3229" t="s">
        <v>2950</v>
      </c>
    </row>
    <row r="27" spans="1:19" ht="14.25" customHeight="1">
      <c r="A27" s="3229" t="s">
        <v>184</v>
      </c>
      <c r="B27" s="3230" t="s">
        <v>251</v>
      </c>
      <c r="C27" s="3229">
        <v>29610</v>
      </c>
      <c r="D27" s="3229">
        <v>27770</v>
      </c>
      <c r="E27" s="3229">
        <v>28300</v>
      </c>
      <c r="F27" s="3229"/>
      <c r="G27" s="3229">
        <v>20210</v>
      </c>
      <c r="L27" s="3229" t="s">
        <v>2951</v>
      </c>
      <c r="M27" s="3229" t="s">
        <v>291</v>
      </c>
      <c r="N27" s="3229" t="s">
        <v>297</v>
      </c>
      <c r="O27" s="3229" t="s">
        <v>2952</v>
      </c>
      <c r="P27" s="3229" t="s">
        <v>2953</v>
      </c>
      <c r="Q27" s="3229" t="s">
        <v>2954</v>
      </c>
      <c r="R27" s="3229" t="s">
        <v>2955</v>
      </c>
    </row>
    <row r="28" spans="1:19" ht="14.25" customHeight="1">
      <c r="A28" s="3229" t="s">
        <v>184</v>
      </c>
      <c r="B28" s="3230" t="s">
        <v>259</v>
      </c>
      <c r="C28" s="3229"/>
      <c r="D28" s="3229">
        <v>31520</v>
      </c>
      <c r="E28" s="3229">
        <v>31410</v>
      </c>
      <c r="F28" s="3229"/>
      <c r="G28" s="3229">
        <v>22940</v>
      </c>
      <c r="L28" s="3229" t="s">
        <v>2956</v>
      </c>
      <c r="M28" s="3229" t="s">
        <v>2957</v>
      </c>
      <c r="N28" s="3229" t="s">
        <v>2958</v>
      </c>
      <c r="O28" s="3229" t="s">
        <v>2959</v>
      </c>
      <c r="P28" s="3229" t="s">
        <v>2960</v>
      </c>
      <c r="Q28" s="3229" t="s">
        <v>2961</v>
      </c>
      <c r="R28" s="3229" t="s">
        <v>2962</v>
      </c>
    </row>
    <row r="29" spans="1:19" ht="14.25" customHeight="1" thickBot="1">
      <c r="A29" s="3237" t="s">
        <v>184</v>
      </c>
      <c r="B29" s="3239" t="s">
        <v>2929</v>
      </c>
      <c r="C29" s="3240"/>
      <c r="D29" s="3240">
        <v>29460</v>
      </c>
      <c r="E29" s="3240">
        <v>28640</v>
      </c>
      <c r="F29" s="3240"/>
      <c r="G29" s="3240">
        <v>21430</v>
      </c>
      <c r="L29" s="3229" t="s">
        <v>2963</v>
      </c>
      <c r="M29" s="3229" t="s">
        <v>2964</v>
      </c>
      <c r="N29" s="3229" t="s">
        <v>2965</v>
      </c>
      <c r="O29" s="3229" t="s">
        <v>2966</v>
      </c>
      <c r="P29" s="3229" t="s">
        <v>2967</v>
      </c>
      <c r="Q29" s="3229" t="s">
        <v>2968</v>
      </c>
      <c r="R29" s="3229" t="s">
        <v>280</v>
      </c>
    </row>
    <row r="30" spans="1:19" ht="14.25" customHeight="1">
      <c r="A30" s="3234" t="s">
        <v>296</v>
      </c>
      <c r="B30" s="3225" t="s">
        <v>2862</v>
      </c>
      <c r="C30" s="3225">
        <v>26890</v>
      </c>
      <c r="D30" s="3225">
        <v>26770</v>
      </c>
      <c r="E30" s="3225">
        <v>25700</v>
      </c>
      <c r="F30" s="3225">
        <v>8180</v>
      </c>
      <c r="G30" s="3241">
        <v>18740</v>
      </c>
      <c r="L30" s="3229" t="s">
        <v>2969</v>
      </c>
      <c r="M30" s="3229" t="s">
        <v>2970</v>
      </c>
      <c r="N30" s="3229" t="s">
        <v>2971</v>
      </c>
      <c r="O30" s="3229" t="s">
        <v>2972</v>
      </c>
      <c r="P30" s="3229" t="s">
        <v>2973</v>
      </c>
      <c r="Q30" s="3229" t="s">
        <v>2974</v>
      </c>
      <c r="R30" s="3229" t="s">
        <v>2975</v>
      </c>
    </row>
    <row r="31" spans="1:19" ht="14.25" customHeight="1">
      <c r="A31" s="3229" t="s">
        <v>296</v>
      </c>
      <c r="B31" s="3230" t="s">
        <v>129</v>
      </c>
      <c r="C31" s="3229">
        <v>24550</v>
      </c>
      <c r="D31" s="3229">
        <v>23990</v>
      </c>
      <c r="E31" s="3229">
        <v>22930</v>
      </c>
      <c r="F31" s="3229">
        <v>7470</v>
      </c>
      <c r="G31" s="3242">
        <v>16790</v>
      </c>
      <c r="L31" s="3229" t="s">
        <v>2976</v>
      </c>
      <c r="M31" s="3229" t="s">
        <v>2977</v>
      </c>
      <c r="N31" s="3229" t="s">
        <v>2978</v>
      </c>
      <c r="O31" s="3229" t="s">
        <v>2979</v>
      </c>
      <c r="P31" s="3229" t="s">
        <v>2980</v>
      </c>
      <c r="Q31" s="3229" t="s">
        <v>2981</v>
      </c>
      <c r="R31" s="3229" t="s">
        <v>2982</v>
      </c>
    </row>
    <row r="32" spans="1:19" ht="14.25" customHeight="1" thickBot="1">
      <c r="A32" s="3229" t="s">
        <v>296</v>
      </c>
      <c r="B32" s="3230" t="s">
        <v>138</v>
      </c>
      <c r="C32" s="3229">
        <v>27210</v>
      </c>
      <c r="D32" s="3229">
        <v>23240</v>
      </c>
      <c r="E32" s="3229">
        <v>23260</v>
      </c>
      <c r="F32" s="3229">
        <v>7130</v>
      </c>
      <c r="G32" s="3242">
        <v>16270</v>
      </c>
      <c r="L32" s="3229" t="s">
        <v>2983</v>
      </c>
      <c r="M32" s="3229" t="s">
        <v>2984</v>
      </c>
      <c r="N32" s="3229" t="s">
        <v>300</v>
      </c>
      <c r="O32" s="3229" t="s">
        <v>2985</v>
      </c>
      <c r="P32" s="3229" t="s">
        <v>299</v>
      </c>
      <c r="Q32" s="3229" t="s">
        <v>2986</v>
      </c>
      <c r="R32" s="3236" t="s">
        <v>2987</v>
      </c>
    </row>
    <row r="33" spans="1:17" ht="14.25" customHeight="1" thickBot="1">
      <c r="A33" s="3229" t="s">
        <v>296</v>
      </c>
      <c r="B33" s="3230" t="s">
        <v>147</v>
      </c>
      <c r="C33" s="3229">
        <v>27300</v>
      </c>
      <c r="D33" s="3229">
        <v>22980</v>
      </c>
      <c r="E33" s="3229">
        <v>24260</v>
      </c>
      <c r="F33" s="3229">
        <v>5860</v>
      </c>
      <c r="G33" s="3242">
        <v>16090</v>
      </c>
      <c r="L33" s="3236" t="s">
        <v>2988</v>
      </c>
      <c r="M33" s="3229" t="s">
        <v>2989</v>
      </c>
      <c r="N33" s="3229" t="s">
        <v>301</v>
      </c>
      <c r="O33" s="3229" t="s">
        <v>2990</v>
      </c>
      <c r="P33" s="3229" t="s">
        <v>2991</v>
      </c>
      <c r="Q33" s="3229" t="s">
        <v>2992</v>
      </c>
    </row>
    <row r="34" spans="1:17" ht="14.25" customHeight="1">
      <c r="A34" s="3229" t="s">
        <v>296</v>
      </c>
      <c r="B34" s="3230" t="s">
        <v>156</v>
      </c>
      <c r="C34" s="3229">
        <v>23090</v>
      </c>
      <c r="D34" s="3229">
        <v>23390</v>
      </c>
      <c r="E34" s="3229">
        <v>23510</v>
      </c>
      <c r="F34" s="3229">
        <v>6700</v>
      </c>
      <c r="G34" s="3242">
        <v>16370</v>
      </c>
      <c r="M34" s="3229" t="s">
        <v>2993</v>
      </c>
      <c r="N34" s="3229" t="s">
        <v>302</v>
      </c>
      <c r="O34" s="3229" t="s">
        <v>2994</v>
      </c>
      <c r="P34" s="3229" t="s">
        <v>2995</v>
      </c>
      <c r="Q34" s="3229" t="s">
        <v>2996</v>
      </c>
    </row>
    <row r="35" spans="1:17" ht="14.25" customHeight="1">
      <c r="A35" s="3229" t="s">
        <v>296</v>
      </c>
      <c r="B35" s="3230" t="s">
        <v>163</v>
      </c>
      <c r="C35" s="3229">
        <v>27270</v>
      </c>
      <c r="D35" s="3229">
        <v>24270</v>
      </c>
      <c r="E35" s="3229">
        <v>24950</v>
      </c>
      <c r="F35" s="3229">
        <v>6600</v>
      </c>
      <c r="G35" s="3242">
        <v>16990</v>
      </c>
      <c r="M35" s="3229" t="s">
        <v>2997</v>
      </c>
      <c r="N35" s="3229" t="s">
        <v>2998</v>
      </c>
      <c r="O35" s="3229" t="s">
        <v>2999</v>
      </c>
      <c r="P35" s="3229" t="s">
        <v>3000</v>
      </c>
      <c r="Q35" s="3229" t="s">
        <v>3001</v>
      </c>
    </row>
    <row r="36" spans="1:17" ht="14.25" customHeight="1">
      <c r="A36" s="3229" t="s">
        <v>296</v>
      </c>
      <c r="B36" s="3230" t="s">
        <v>169</v>
      </c>
      <c r="C36" s="3229">
        <v>23490</v>
      </c>
      <c r="D36" s="3229">
        <v>23020</v>
      </c>
      <c r="E36" s="3229">
        <v>25230</v>
      </c>
      <c r="F36" s="3229">
        <v>6780</v>
      </c>
      <c r="G36" s="3242">
        <v>16120</v>
      </c>
      <c r="M36" s="3229" t="s">
        <v>3002</v>
      </c>
      <c r="N36" s="3229" t="s">
        <v>3003</v>
      </c>
      <c r="O36" s="3229" t="s">
        <v>3004</v>
      </c>
      <c r="P36" s="3229" t="s">
        <v>3005</v>
      </c>
      <c r="Q36" s="3229" t="s">
        <v>3006</v>
      </c>
    </row>
    <row r="37" spans="1:17" ht="14.25" customHeight="1">
      <c r="A37" s="3229" t="s">
        <v>296</v>
      </c>
      <c r="B37" s="3230" t="s">
        <v>176</v>
      </c>
      <c r="C37" s="3229">
        <v>24380</v>
      </c>
      <c r="D37" s="3229">
        <v>22240</v>
      </c>
      <c r="E37" s="3229">
        <v>25980</v>
      </c>
      <c r="F37" s="3229">
        <v>8160</v>
      </c>
      <c r="G37" s="3242">
        <v>15570</v>
      </c>
      <c r="M37" s="3229" t="s">
        <v>3007</v>
      </c>
      <c r="N37" s="3229" t="s">
        <v>3008</v>
      </c>
      <c r="O37" s="3229" t="s">
        <v>3009</v>
      </c>
      <c r="P37" s="3229" t="s">
        <v>3010</v>
      </c>
      <c r="Q37" s="3229" t="s">
        <v>3011</v>
      </c>
    </row>
    <row r="38" spans="1:17" ht="14.25" customHeight="1">
      <c r="A38" s="3229" t="s">
        <v>296</v>
      </c>
      <c r="B38" s="3230" t="s">
        <v>186</v>
      </c>
      <c r="C38" s="3229">
        <v>23120</v>
      </c>
      <c r="D38" s="3229">
        <v>24630</v>
      </c>
      <c r="E38" s="3229">
        <v>25030</v>
      </c>
      <c r="F38" s="3229">
        <v>7710</v>
      </c>
      <c r="G38" s="3242">
        <v>17240</v>
      </c>
      <c r="M38" s="3229" t="s">
        <v>3012</v>
      </c>
      <c r="N38" s="3229" t="s">
        <v>3013</v>
      </c>
      <c r="O38" s="3229" t="s">
        <v>3014</v>
      </c>
      <c r="P38" s="3229" t="s">
        <v>3015</v>
      </c>
      <c r="Q38" s="3229" t="s">
        <v>3016</v>
      </c>
    </row>
    <row r="39" spans="1:17" ht="14.25" customHeight="1">
      <c r="A39" s="3229" t="s">
        <v>296</v>
      </c>
      <c r="B39" s="3230" t="s">
        <v>195</v>
      </c>
      <c r="C39" s="3229">
        <v>22330</v>
      </c>
      <c r="D39" s="3229">
        <v>21140</v>
      </c>
      <c r="E39" s="3229">
        <v>23970</v>
      </c>
      <c r="F39" s="3229">
        <v>7940</v>
      </c>
      <c r="G39" s="3242">
        <v>14790</v>
      </c>
      <c r="M39" s="3229" t="s">
        <v>3017</v>
      </c>
      <c r="N39" s="3229" t="s">
        <v>3018</v>
      </c>
      <c r="O39" s="3229" t="s">
        <v>3019</v>
      </c>
      <c r="P39" s="3229" t="s">
        <v>3020</v>
      </c>
      <c r="Q39" s="3229" t="s">
        <v>3021</v>
      </c>
    </row>
    <row r="40" spans="1:17" ht="14.25" customHeight="1">
      <c r="A40" s="3229" t="s">
        <v>296</v>
      </c>
      <c r="B40" s="3230" t="s">
        <v>202</v>
      </c>
      <c r="C40" s="3229">
        <v>24740</v>
      </c>
      <c r="D40" s="3229">
        <v>24690</v>
      </c>
      <c r="E40" s="3229">
        <v>22610</v>
      </c>
      <c r="F40" s="3229"/>
      <c r="G40" s="3242">
        <v>17280</v>
      </c>
      <c r="M40" s="3229" t="s">
        <v>3022</v>
      </c>
      <c r="N40" s="3229" t="s">
        <v>3023</v>
      </c>
      <c r="O40" s="3229" t="s">
        <v>3024</v>
      </c>
      <c r="P40" s="3229" t="s">
        <v>3025</v>
      </c>
      <c r="Q40" s="3229" t="s">
        <v>3026</v>
      </c>
    </row>
    <row r="41" spans="1:17" ht="14.25" customHeight="1" thickBot="1">
      <c r="A41" s="3229" t="s">
        <v>296</v>
      </c>
      <c r="B41" s="3230" t="s">
        <v>209</v>
      </c>
      <c r="C41" s="3229">
        <v>21220</v>
      </c>
      <c r="D41" s="3229">
        <v>21120</v>
      </c>
      <c r="E41" s="3229">
        <v>22590</v>
      </c>
      <c r="F41" s="3229"/>
      <c r="G41" s="3242">
        <v>14780</v>
      </c>
      <c r="M41" s="3236" t="s">
        <v>3027</v>
      </c>
      <c r="N41" s="3229" t="s">
        <v>3028</v>
      </c>
      <c r="O41" s="3229" t="s">
        <v>3029</v>
      </c>
      <c r="P41" s="3229" t="s">
        <v>3030</v>
      </c>
      <c r="Q41" s="3229" t="s">
        <v>3031</v>
      </c>
    </row>
    <row r="42" spans="1:17" ht="14.25" customHeight="1">
      <c r="A42" s="3229" t="s">
        <v>296</v>
      </c>
      <c r="B42" s="3230" t="s">
        <v>215</v>
      </c>
      <c r="C42" s="3229">
        <v>24800</v>
      </c>
      <c r="D42" s="3229">
        <v>22280</v>
      </c>
      <c r="E42" s="3229">
        <v>24350</v>
      </c>
      <c r="F42" s="3229"/>
      <c r="G42" s="3242">
        <v>15590</v>
      </c>
      <c r="N42" s="3229" t="s">
        <v>3032</v>
      </c>
      <c r="O42" s="3229" t="s">
        <v>3033</v>
      </c>
      <c r="P42" s="3229" t="s">
        <v>3034</v>
      </c>
      <c r="Q42" s="3229" t="s">
        <v>3035</v>
      </c>
    </row>
    <row r="43" spans="1:17" ht="14.25" customHeight="1">
      <c r="A43" s="3229" t="s">
        <v>3036</v>
      </c>
      <c r="B43" s="3230" t="s">
        <v>223</v>
      </c>
      <c r="C43" s="3229">
        <v>21210</v>
      </c>
      <c r="D43" s="3229">
        <v>21160</v>
      </c>
      <c r="E43" s="3229">
        <v>22650</v>
      </c>
      <c r="F43" s="3229"/>
      <c r="G43" s="3242">
        <v>14800</v>
      </c>
      <c r="N43" s="3229" t="s">
        <v>3037</v>
      </c>
      <c r="O43" s="3229" t="s">
        <v>3038</v>
      </c>
      <c r="P43" s="3229" t="s">
        <v>3039</v>
      </c>
      <c r="Q43" s="3229" t="s">
        <v>3040</v>
      </c>
    </row>
    <row r="44" spans="1:17" ht="14.25" customHeight="1" thickBot="1">
      <c r="A44" s="3229" t="s">
        <v>296</v>
      </c>
      <c r="B44" s="3230" t="s">
        <v>231</v>
      </c>
      <c r="C44" s="3229">
        <v>22370</v>
      </c>
      <c r="D44" s="3229">
        <v>23140</v>
      </c>
      <c r="E44" s="3229">
        <v>25090</v>
      </c>
      <c r="F44" s="3229"/>
      <c r="G44" s="3242">
        <v>16190</v>
      </c>
      <c r="N44" s="3229" t="s">
        <v>3041</v>
      </c>
      <c r="O44" s="3229" t="s">
        <v>3042</v>
      </c>
      <c r="P44" s="3236" t="s">
        <v>3043</v>
      </c>
      <c r="Q44" s="3229" t="s">
        <v>3044</v>
      </c>
    </row>
    <row r="45" spans="1:17" ht="14.25" customHeight="1" thickBot="1">
      <c r="A45" s="3229" t="s">
        <v>296</v>
      </c>
      <c r="B45" s="3230" t="s">
        <v>236</v>
      </c>
      <c r="C45" s="3229">
        <v>21240</v>
      </c>
      <c r="D45" s="3229">
        <v>27050</v>
      </c>
      <c r="E45" s="3229">
        <v>28000</v>
      </c>
      <c r="F45" s="3229"/>
      <c r="G45" s="3242">
        <v>18940</v>
      </c>
      <c r="N45" s="3229" t="s">
        <v>3045</v>
      </c>
      <c r="O45" s="3236" t="s">
        <v>3046</v>
      </c>
      <c r="Q45" s="3229" t="s">
        <v>3047</v>
      </c>
    </row>
    <row r="46" spans="1:17" ht="14.25" customHeight="1">
      <c r="A46" s="3229" t="s">
        <v>296</v>
      </c>
      <c r="B46" s="3230" t="s">
        <v>245</v>
      </c>
      <c r="C46" s="3229">
        <v>23240</v>
      </c>
      <c r="D46" s="3229">
        <v>23000</v>
      </c>
      <c r="E46" s="3229">
        <v>24980</v>
      </c>
      <c r="F46" s="3229"/>
      <c r="G46" s="3242">
        <v>16100</v>
      </c>
      <c r="N46" s="3229" t="s">
        <v>3048</v>
      </c>
      <c r="Q46" s="3229" t="s">
        <v>3049</v>
      </c>
    </row>
    <row r="47" spans="1:17" ht="14.25" customHeight="1">
      <c r="A47" s="3229" t="s">
        <v>296</v>
      </c>
      <c r="B47" s="3230" t="s">
        <v>252</v>
      </c>
      <c r="C47" s="3229">
        <v>27150</v>
      </c>
      <c r="D47" s="3229">
        <v>23310</v>
      </c>
      <c r="E47" s="3229">
        <v>25150</v>
      </c>
      <c r="F47" s="3229"/>
      <c r="G47" s="3242">
        <v>16310</v>
      </c>
      <c r="N47" s="3229" t="s">
        <v>3050</v>
      </c>
      <c r="Q47" s="3229" t="s">
        <v>3051</v>
      </c>
    </row>
    <row r="48" spans="1:17" ht="14.25" customHeight="1">
      <c r="A48" s="3229" t="s">
        <v>296</v>
      </c>
      <c r="B48" s="3230" t="s">
        <v>260</v>
      </c>
      <c r="C48" s="3229">
        <v>23100</v>
      </c>
      <c r="D48" s="3229">
        <v>21110</v>
      </c>
      <c r="E48" s="3229">
        <v>23080</v>
      </c>
      <c r="F48" s="3229"/>
      <c r="G48" s="3242">
        <v>14780</v>
      </c>
      <c r="N48" s="3229" t="s">
        <v>3052</v>
      </c>
      <c r="Q48" s="3229" t="s">
        <v>3053</v>
      </c>
    </row>
    <row r="49" spans="1:17" ht="14.25" customHeight="1">
      <c r="A49" s="3229" t="s">
        <v>296</v>
      </c>
      <c r="B49" s="3230" t="s">
        <v>267</v>
      </c>
      <c r="C49" s="3229">
        <v>23400</v>
      </c>
      <c r="D49" s="3229">
        <v>22920</v>
      </c>
      <c r="E49" s="3229">
        <v>24900</v>
      </c>
      <c r="F49" s="3229"/>
      <c r="G49" s="3242">
        <v>16040</v>
      </c>
      <c r="N49" s="3229" t="s">
        <v>3054</v>
      </c>
      <c r="Q49" s="3229" t="s">
        <v>3055</v>
      </c>
    </row>
    <row r="50" spans="1:17" ht="14.25" customHeight="1">
      <c r="A50" s="3229" t="s">
        <v>296</v>
      </c>
      <c r="B50" s="3230" t="s">
        <v>2932</v>
      </c>
      <c r="C50" s="3229">
        <v>21200</v>
      </c>
      <c r="D50" s="3229">
        <v>26540</v>
      </c>
      <c r="E50" s="3229">
        <v>23200</v>
      </c>
      <c r="F50" s="3229"/>
      <c r="G50" s="3242">
        <v>18580</v>
      </c>
      <c r="N50" s="3229" t="s">
        <v>3056</v>
      </c>
      <c r="Q50" s="3230" t="s">
        <v>3057</v>
      </c>
    </row>
    <row r="51" spans="1:17" ht="14.25" customHeight="1" thickBot="1">
      <c r="A51" s="3229" t="s">
        <v>296</v>
      </c>
      <c r="B51" s="3230" t="s">
        <v>2934</v>
      </c>
      <c r="C51" s="3229">
        <v>23000</v>
      </c>
      <c r="D51" s="3229">
        <v>23460</v>
      </c>
      <c r="E51" s="3229">
        <v>25290</v>
      </c>
      <c r="F51" s="3229"/>
      <c r="G51" s="3242">
        <v>16420</v>
      </c>
      <c r="N51" s="3229" t="s">
        <v>3058</v>
      </c>
      <c r="Q51" s="3236" t="s">
        <v>3059</v>
      </c>
    </row>
    <row r="52" spans="1:17" ht="14.25" customHeight="1">
      <c r="A52" s="3229" t="s">
        <v>296</v>
      </c>
      <c r="B52" s="3230" t="s">
        <v>2938</v>
      </c>
      <c r="C52" s="3229">
        <v>26660</v>
      </c>
      <c r="D52" s="3229">
        <v>22350</v>
      </c>
      <c r="E52" s="3229">
        <v>22920</v>
      </c>
      <c r="F52" s="3229"/>
      <c r="G52" s="3242">
        <v>15640</v>
      </c>
      <c r="N52" s="3229" t="s">
        <v>3060</v>
      </c>
    </row>
    <row r="53" spans="1:17" ht="14.25" customHeight="1">
      <c r="A53" s="3229" t="s">
        <v>296</v>
      </c>
      <c r="B53" s="3230" t="s">
        <v>2943</v>
      </c>
      <c r="C53" s="3229">
        <v>23580</v>
      </c>
      <c r="D53" s="3229"/>
      <c r="E53" s="3229">
        <v>24280</v>
      </c>
      <c r="F53" s="3229"/>
      <c r="G53" s="3242"/>
      <c r="N53" s="3229" t="s">
        <v>3061</v>
      </c>
    </row>
    <row r="54" spans="1:17" ht="14.25" customHeight="1" thickBot="1">
      <c r="A54" s="3243" t="s">
        <v>296</v>
      </c>
      <c r="B54" s="3235" t="s">
        <v>2946</v>
      </c>
      <c r="C54" s="3236">
        <v>22460</v>
      </c>
      <c r="D54" s="3236"/>
      <c r="E54" s="3236"/>
      <c r="F54" s="3236"/>
      <c r="G54" s="3244"/>
      <c r="N54" s="3229" t="s">
        <v>3062</v>
      </c>
    </row>
    <row r="55" spans="1:17" ht="14.25" customHeight="1">
      <c r="A55" s="3234" t="s">
        <v>110</v>
      </c>
      <c r="B55" s="3225" t="s">
        <v>3063</v>
      </c>
      <c r="C55" s="3229">
        <v>21970</v>
      </c>
      <c r="D55" s="3229">
        <v>20370</v>
      </c>
      <c r="E55" s="3229">
        <v>20180</v>
      </c>
      <c r="F55" s="3229">
        <v>5730</v>
      </c>
      <c r="G55" s="3229">
        <v>13820</v>
      </c>
      <c r="N55" s="3229" t="s">
        <v>3064</v>
      </c>
    </row>
    <row r="56" spans="1:17" ht="14.25" customHeight="1">
      <c r="A56" s="3229" t="s">
        <v>110</v>
      </c>
      <c r="B56" s="3229" t="s">
        <v>130</v>
      </c>
      <c r="C56" s="3229">
        <v>20470</v>
      </c>
      <c r="D56" s="3229">
        <v>20700</v>
      </c>
      <c r="E56" s="3229">
        <v>20380</v>
      </c>
      <c r="F56" s="3229">
        <v>4760</v>
      </c>
      <c r="G56" s="3229">
        <v>14050</v>
      </c>
      <c r="N56" s="3229" t="s">
        <v>3065</v>
      </c>
    </row>
    <row r="57" spans="1:17" ht="14.25" customHeight="1">
      <c r="A57" s="3229" t="s">
        <v>110</v>
      </c>
      <c r="B57" s="3229" t="s">
        <v>139</v>
      </c>
      <c r="C57" s="3229">
        <v>20790</v>
      </c>
      <c r="D57" s="3229">
        <v>21370</v>
      </c>
      <c r="E57" s="3229">
        <v>20890</v>
      </c>
      <c r="F57" s="3229">
        <v>4910</v>
      </c>
      <c r="G57" s="3229">
        <v>14510</v>
      </c>
      <c r="N57" s="3229" t="s">
        <v>3066</v>
      </c>
    </row>
    <row r="58" spans="1:17" ht="14.25" customHeight="1">
      <c r="A58" s="3229" t="s">
        <v>110</v>
      </c>
      <c r="B58" s="3229" t="s">
        <v>148</v>
      </c>
      <c r="C58" s="3229">
        <v>21460</v>
      </c>
      <c r="D58" s="3229">
        <v>20920</v>
      </c>
      <c r="E58" s="3229">
        <v>23410</v>
      </c>
      <c r="F58" s="3229">
        <v>5100</v>
      </c>
      <c r="G58" s="3229">
        <v>14200</v>
      </c>
      <c r="N58" s="3229" t="s">
        <v>3067</v>
      </c>
    </row>
    <row r="59" spans="1:17" ht="14.25" customHeight="1">
      <c r="A59" s="3229" t="s">
        <v>110</v>
      </c>
      <c r="B59" s="3229" t="s">
        <v>157</v>
      </c>
      <c r="C59" s="3229">
        <v>21000</v>
      </c>
      <c r="D59" s="3229">
        <v>21550</v>
      </c>
      <c r="E59" s="3229">
        <v>21150</v>
      </c>
      <c r="F59" s="3229">
        <v>5250</v>
      </c>
      <c r="G59" s="3229">
        <v>14630</v>
      </c>
      <c r="N59" s="3229" t="s">
        <v>3068</v>
      </c>
    </row>
    <row r="60" spans="1:17" ht="14.25" customHeight="1">
      <c r="A60" s="3229" t="s">
        <v>110</v>
      </c>
      <c r="B60" s="3229" t="s">
        <v>164</v>
      </c>
      <c r="C60" s="3229">
        <v>21640</v>
      </c>
      <c r="D60" s="3229">
        <v>21260</v>
      </c>
      <c r="E60" s="3229">
        <v>24040</v>
      </c>
      <c r="F60" s="3229">
        <v>4470</v>
      </c>
      <c r="G60" s="3229">
        <v>14430</v>
      </c>
      <c r="N60" s="3229" t="s">
        <v>3069</v>
      </c>
    </row>
    <row r="61" spans="1:17" ht="14.25" customHeight="1">
      <c r="A61" s="3229" t="s">
        <v>110</v>
      </c>
      <c r="B61" s="3229" t="s">
        <v>170</v>
      </c>
      <c r="C61" s="3229">
        <v>21330</v>
      </c>
      <c r="D61" s="3229">
        <v>18640</v>
      </c>
      <c r="E61" s="3229">
        <v>21190</v>
      </c>
      <c r="F61" s="3229">
        <v>4180</v>
      </c>
      <c r="G61" s="3229">
        <v>12650</v>
      </c>
      <c r="N61" s="3229" t="s">
        <v>3070</v>
      </c>
    </row>
    <row r="62" spans="1:17" ht="14.25" customHeight="1">
      <c r="A62" s="3229" t="s">
        <v>110</v>
      </c>
      <c r="B62" s="3229" t="s">
        <v>177</v>
      </c>
      <c r="C62" s="3229">
        <v>18710</v>
      </c>
      <c r="D62" s="3229">
        <v>19400</v>
      </c>
      <c r="E62" s="3229">
        <v>23750</v>
      </c>
      <c r="F62" s="3229">
        <v>4860</v>
      </c>
      <c r="G62" s="3229">
        <v>13170</v>
      </c>
      <c r="N62" s="3229" t="s">
        <v>3071</v>
      </c>
    </row>
    <row r="63" spans="1:17" ht="14.25" customHeight="1">
      <c r="A63" s="3229" t="s">
        <v>110</v>
      </c>
      <c r="B63" s="3229" t="s">
        <v>187</v>
      </c>
      <c r="C63" s="3229">
        <v>19480</v>
      </c>
      <c r="D63" s="3229">
        <v>16830</v>
      </c>
      <c r="E63" s="3229">
        <v>21590</v>
      </c>
      <c r="F63" s="3229">
        <v>4560</v>
      </c>
      <c r="G63" s="3229">
        <v>11420</v>
      </c>
      <c r="N63" s="3229" t="s">
        <v>3072</v>
      </c>
    </row>
    <row r="64" spans="1:17" ht="14.25" customHeight="1" thickBot="1">
      <c r="A64" s="3229" t="s">
        <v>110</v>
      </c>
      <c r="B64" s="3229" t="s">
        <v>196</v>
      </c>
      <c r="C64" s="3229">
        <v>16920</v>
      </c>
      <c r="D64" s="3229">
        <v>19190</v>
      </c>
      <c r="E64" s="3229">
        <v>22200</v>
      </c>
      <c r="F64" s="3229">
        <v>4390</v>
      </c>
      <c r="G64" s="3229">
        <v>13030</v>
      </c>
      <c r="N64" s="3236" t="s">
        <v>3073</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2944</v>
      </c>
      <c r="C78" s="3229">
        <v>19820</v>
      </c>
      <c r="D78" s="3229">
        <v>19780</v>
      </c>
      <c r="E78" s="3229">
        <v>18560</v>
      </c>
      <c r="F78" s="3229"/>
      <c r="G78" s="3229">
        <v>13430</v>
      </c>
    </row>
    <row r="79" spans="1:7" s="3218" customFormat="1" ht="14.25" customHeight="1">
      <c r="A79" s="3229" t="s">
        <v>110</v>
      </c>
      <c r="B79" s="3229" t="s">
        <v>2947</v>
      </c>
      <c r="C79" s="3229">
        <v>21660</v>
      </c>
      <c r="D79" s="3229">
        <v>18000</v>
      </c>
      <c r="E79" s="3229">
        <v>22570</v>
      </c>
      <c r="F79" s="3229"/>
      <c r="G79" s="3229">
        <v>12220</v>
      </c>
    </row>
    <row r="80" spans="1:7" s="3218" customFormat="1" ht="14.25" customHeight="1">
      <c r="A80" s="3229" t="s">
        <v>110</v>
      </c>
      <c r="B80" s="3229" t="s">
        <v>2951</v>
      </c>
      <c r="C80" s="3229">
        <v>19850</v>
      </c>
      <c r="D80" s="3229"/>
      <c r="E80" s="3229">
        <v>21700</v>
      </c>
      <c r="F80" s="3229"/>
      <c r="G80" s="3229"/>
    </row>
    <row r="81" spans="1:7" s="3218" customFormat="1" ht="14.25" customHeight="1">
      <c r="A81" s="3229" t="s">
        <v>110</v>
      </c>
      <c r="B81" s="3229" t="s">
        <v>2956</v>
      </c>
      <c r="C81" s="3229">
        <v>18080</v>
      </c>
      <c r="D81" s="3229"/>
      <c r="E81" s="3229">
        <v>20900</v>
      </c>
      <c r="F81" s="3229"/>
      <c r="G81" s="3229"/>
    </row>
    <row r="82" spans="1:7" s="3218" customFormat="1" ht="14.25" customHeight="1">
      <c r="A82" s="3229" t="s">
        <v>110</v>
      </c>
      <c r="B82" s="3229" t="s">
        <v>2963</v>
      </c>
      <c r="C82" s="3229"/>
      <c r="D82" s="3229"/>
      <c r="E82" s="3229">
        <v>20840</v>
      </c>
      <c r="F82" s="3229"/>
      <c r="G82" s="3229"/>
    </row>
    <row r="83" spans="1:7" s="3218" customFormat="1" ht="14.25" customHeight="1">
      <c r="A83" s="3229" t="s">
        <v>110</v>
      </c>
      <c r="B83" s="3229" t="s">
        <v>3074</v>
      </c>
      <c r="C83" s="3229"/>
      <c r="D83" s="3229"/>
      <c r="E83" s="3229"/>
      <c r="F83" s="3229">
        <v>4770</v>
      </c>
      <c r="G83" s="3229"/>
    </row>
    <row r="84" spans="1:7" s="3218" customFormat="1" ht="14.25" customHeight="1">
      <c r="A84" s="3229" t="s">
        <v>110</v>
      </c>
      <c r="B84" s="3229" t="s">
        <v>3075</v>
      </c>
      <c r="C84" s="3229"/>
      <c r="D84" s="3229"/>
      <c r="E84" s="3229"/>
      <c r="F84" s="3229">
        <v>4600</v>
      </c>
      <c r="G84" s="3229"/>
    </row>
    <row r="85" spans="1:7" s="3218" customFormat="1" ht="14.25" customHeight="1">
      <c r="A85" s="3229" t="s">
        <v>110</v>
      </c>
      <c r="B85" s="3229" t="s">
        <v>3076</v>
      </c>
      <c r="C85" s="3229"/>
      <c r="D85" s="3229"/>
      <c r="E85" s="3229"/>
      <c r="F85" s="3229">
        <v>4680</v>
      </c>
      <c r="G85" s="3229"/>
    </row>
    <row r="86" spans="1:7" s="3218" customFormat="1" ht="14.25" customHeight="1" thickBot="1">
      <c r="A86" s="3237" t="s">
        <v>110</v>
      </c>
      <c r="B86" s="3239" t="s">
        <v>3077</v>
      </c>
      <c r="C86" s="3240">
        <v>16610</v>
      </c>
      <c r="D86" s="3240">
        <v>16540</v>
      </c>
      <c r="E86" s="3240">
        <v>18850</v>
      </c>
      <c r="F86" s="3240"/>
      <c r="G86" s="3240">
        <v>11220</v>
      </c>
    </row>
    <row r="87" spans="1:7" s="3218" customFormat="1" ht="14.25" customHeight="1">
      <c r="A87" s="3234" t="s">
        <v>303</v>
      </c>
      <c r="B87" s="3225" t="s">
        <v>3078</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2957</v>
      </c>
      <c r="C113" s="3229">
        <v>15520</v>
      </c>
      <c r="D113" s="3229">
        <v>15450</v>
      </c>
      <c r="E113" s="3229"/>
      <c r="F113" s="3229"/>
      <c r="G113" s="3242">
        <v>10210</v>
      </c>
    </row>
    <row r="114" spans="1:7" s="3218" customFormat="1" ht="14.25" customHeight="1">
      <c r="A114" s="3229" t="s">
        <v>303</v>
      </c>
      <c r="B114" s="3229" t="s">
        <v>2964</v>
      </c>
      <c r="C114" s="3229">
        <v>13110</v>
      </c>
      <c r="D114" s="3229">
        <v>13050</v>
      </c>
      <c r="E114" s="3229"/>
      <c r="F114" s="3229"/>
      <c r="G114" s="3242">
        <v>8620</v>
      </c>
    </row>
    <row r="115" spans="1:7" s="3218" customFormat="1" ht="14.25" customHeight="1">
      <c r="A115" s="3229" t="s">
        <v>303</v>
      </c>
      <c r="B115" s="3229" t="s">
        <v>2970</v>
      </c>
      <c r="C115" s="3229">
        <v>12460</v>
      </c>
      <c r="D115" s="3229">
        <v>12390</v>
      </c>
      <c r="E115" s="3229"/>
      <c r="F115" s="3229"/>
      <c r="G115" s="3242">
        <v>8190</v>
      </c>
    </row>
    <row r="116" spans="1:7" s="3218" customFormat="1" ht="14.25" customHeight="1">
      <c r="A116" s="3229" t="s">
        <v>303</v>
      </c>
      <c r="B116" s="3229" t="s">
        <v>2977</v>
      </c>
      <c r="C116" s="3229">
        <v>13580</v>
      </c>
      <c r="D116" s="3229">
        <v>13520</v>
      </c>
      <c r="E116" s="3229"/>
      <c r="F116" s="3229"/>
      <c r="G116" s="3242">
        <v>8930</v>
      </c>
    </row>
    <row r="117" spans="1:7" s="3218" customFormat="1" ht="14.25" customHeight="1">
      <c r="A117" s="3229" t="s">
        <v>303</v>
      </c>
      <c r="B117" s="3229" t="s">
        <v>2984</v>
      </c>
      <c r="C117" s="3229">
        <v>17120</v>
      </c>
      <c r="D117" s="3229">
        <v>17040</v>
      </c>
      <c r="E117" s="3229"/>
      <c r="F117" s="3229"/>
      <c r="G117" s="3242">
        <v>11260</v>
      </c>
    </row>
    <row r="118" spans="1:7" s="3218" customFormat="1" ht="14.25" customHeight="1">
      <c r="A118" s="3229" t="s">
        <v>303</v>
      </c>
      <c r="B118" s="3229" t="s">
        <v>2989</v>
      </c>
      <c r="C118" s="3229">
        <v>14860</v>
      </c>
      <c r="D118" s="3229">
        <v>14790</v>
      </c>
      <c r="E118" s="3229"/>
      <c r="F118" s="3229"/>
      <c r="G118" s="3242">
        <v>9780</v>
      </c>
    </row>
    <row r="119" spans="1:7" s="3218" customFormat="1" ht="14.25" customHeight="1">
      <c r="A119" s="3229" t="s">
        <v>303</v>
      </c>
      <c r="B119" s="3229" t="s">
        <v>2993</v>
      </c>
      <c r="C119" s="3229">
        <v>16470</v>
      </c>
      <c r="D119" s="3229">
        <v>16400</v>
      </c>
      <c r="E119" s="3229"/>
      <c r="F119" s="3229"/>
      <c r="G119" s="3242">
        <v>10840</v>
      </c>
    </row>
    <row r="120" spans="1:7" s="3218" customFormat="1" ht="14.25" customHeight="1">
      <c r="A120" s="3229" t="s">
        <v>303</v>
      </c>
      <c r="B120" s="3229" t="s">
        <v>3079</v>
      </c>
      <c r="C120" s="3229"/>
      <c r="D120" s="3229"/>
      <c r="E120" s="3229"/>
      <c r="F120" s="3229">
        <v>4160</v>
      </c>
      <c r="G120" s="3242"/>
    </row>
    <row r="121" spans="1:7" s="3218" customFormat="1" ht="14.25" customHeight="1">
      <c r="A121" s="3229" t="s">
        <v>303</v>
      </c>
      <c r="B121" s="3229" t="s">
        <v>3080</v>
      </c>
      <c r="C121" s="3229"/>
      <c r="D121" s="3229"/>
      <c r="E121" s="3229"/>
      <c r="F121" s="3229">
        <v>3880</v>
      </c>
      <c r="G121" s="3242"/>
    </row>
    <row r="122" spans="1:7" s="3218" customFormat="1" ht="14.25" customHeight="1">
      <c r="A122" s="3229" t="s">
        <v>303</v>
      </c>
      <c r="B122" s="3229" t="s">
        <v>3081</v>
      </c>
      <c r="C122" s="3229">
        <v>13750</v>
      </c>
      <c r="D122" s="3229">
        <v>13680</v>
      </c>
      <c r="E122" s="3229">
        <v>16460</v>
      </c>
      <c r="F122" s="3229">
        <v>2880</v>
      </c>
      <c r="G122" s="3242">
        <v>9040</v>
      </c>
    </row>
    <row r="123" spans="1:7" s="3218" customFormat="1" ht="14.25" customHeight="1">
      <c r="A123" s="3229" t="s">
        <v>303</v>
      </c>
      <c r="B123" s="3229" t="s">
        <v>3012</v>
      </c>
      <c r="C123" s="3229">
        <v>13590</v>
      </c>
      <c r="D123" s="3229">
        <v>13520</v>
      </c>
      <c r="E123" s="3229">
        <v>16290</v>
      </c>
      <c r="F123" s="3229">
        <v>2790</v>
      </c>
      <c r="G123" s="3242">
        <v>8930</v>
      </c>
    </row>
    <row r="124" spans="1:7" s="3218" customFormat="1" ht="14.25" customHeight="1">
      <c r="A124" s="3229" t="s">
        <v>303</v>
      </c>
      <c r="B124" s="3229" t="s">
        <v>3017</v>
      </c>
      <c r="C124" s="3229">
        <v>13400</v>
      </c>
      <c r="D124" s="3229">
        <v>13320</v>
      </c>
      <c r="E124" s="3229">
        <v>16100</v>
      </c>
      <c r="F124" s="3229">
        <v>2320</v>
      </c>
      <c r="G124" s="3242">
        <v>8800</v>
      </c>
    </row>
    <row r="125" spans="1:7" s="3218" customFormat="1" ht="14.25" customHeight="1">
      <c r="A125" s="3229" t="s">
        <v>303</v>
      </c>
      <c r="B125" s="3229" t="s">
        <v>3022</v>
      </c>
      <c r="C125" s="3229">
        <v>12860</v>
      </c>
      <c r="D125" s="3229">
        <v>12790</v>
      </c>
      <c r="E125" s="3229">
        <v>15370</v>
      </c>
      <c r="F125" s="3229">
        <v>2280</v>
      </c>
      <c r="G125" s="3242">
        <v>8450</v>
      </c>
    </row>
    <row r="126" spans="1:7" s="3218" customFormat="1" ht="14.25" customHeight="1" thickBot="1">
      <c r="A126" s="3243" t="s">
        <v>303</v>
      </c>
      <c r="B126" s="3236" t="s">
        <v>3027</v>
      </c>
      <c r="C126" s="3236">
        <v>12960</v>
      </c>
      <c r="D126" s="3236">
        <v>12890</v>
      </c>
      <c r="E126" s="3236">
        <v>15530</v>
      </c>
      <c r="F126" s="3236">
        <v>2910</v>
      </c>
      <c r="G126" s="3244">
        <v>8520</v>
      </c>
    </row>
    <row r="127" spans="1:7" s="3218" customFormat="1" ht="14.25" customHeight="1">
      <c r="A127" s="3234" t="s">
        <v>29</v>
      </c>
      <c r="B127" s="3225" t="s">
        <v>3082</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3083</v>
      </c>
      <c r="C148" s="3229">
        <v>10370</v>
      </c>
      <c r="D148" s="3229">
        <v>10310</v>
      </c>
      <c r="E148" s="3229">
        <v>12970</v>
      </c>
      <c r="F148" s="3229"/>
      <c r="G148" s="3229">
        <v>6630</v>
      </c>
    </row>
    <row r="149" spans="1:7" s="3218" customFormat="1" ht="14.25" customHeight="1">
      <c r="A149" s="3229" t="s">
        <v>29</v>
      </c>
      <c r="B149" s="3229" t="s">
        <v>3084</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2958</v>
      </c>
      <c r="C153" s="3229">
        <v>10880</v>
      </c>
      <c r="D153" s="3229">
        <v>10820</v>
      </c>
      <c r="E153" s="3229">
        <v>13660</v>
      </c>
      <c r="F153" s="3229">
        <v>2260</v>
      </c>
      <c r="G153" s="3229">
        <v>6970</v>
      </c>
    </row>
    <row r="154" spans="1:7" s="3218" customFormat="1" ht="14.25" customHeight="1">
      <c r="A154" s="3229" t="s">
        <v>29</v>
      </c>
      <c r="B154" s="3229" t="s">
        <v>3085</v>
      </c>
      <c r="C154" s="3229">
        <v>11220</v>
      </c>
      <c r="D154" s="3229">
        <v>11160</v>
      </c>
      <c r="E154" s="3229">
        <v>14130</v>
      </c>
      <c r="F154" s="3229">
        <v>2230</v>
      </c>
      <c r="G154" s="3229">
        <v>7180</v>
      </c>
    </row>
    <row r="155" spans="1:7" s="3218" customFormat="1" ht="14.25" customHeight="1">
      <c r="A155" s="3229" t="s">
        <v>29</v>
      </c>
      <c r="B155" s="3229" t="s">
        <v>2971</v>
      </c>
      <c r="C155" s="3229">
        <v>10430</v>
      </c>
      <c r="D155" s="3229">
        <v>10380</v>
      </c>
      <c r="E155" s="3229">
        <v>13140</v>
      </c>
      <c r="F155" s="3229">
        <v>2080</v>
      </c>
      <c r="G155" s="3229">
        <v>6650</v>
      </c>
    </row>
    <row r="156" spans="1:7" s="3218" customFormat="1" ht="14.25" customHeight="1">
      <c r="A156" s="3229" t="s">
        <v>29</v>
      </c>
      <c r="B156" s="3229" t="s">
        <v>3086</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3087</v>
      </c>
      <c r="C160" s="3229">
        <v>11180</v>
      </c>
      <c r="D160" s="3229">
        <v>11140</v>
      </c>
      <c r="E160" s="3229">
        <v>14050</v>
      </c>
      <c r="F160" s="3229">
        <v>2270</v>
      </c>
      <c r="G160" s="3229">
        <v>7170</v>
      </c>
    </row>
    <row r="161" spans="1:7" s="3218" customFormat="1" ht="14.25" customHeight="1">
      <c r="A161" s="3229" t="s">
        <v>29</v>
      </c>
      <c r="B161" s="3229" t="s">
        <v>3003</v>
      </c>
      <c r="C161" s="3229">
        <v>11160</v>
      </c>
      <c r="D161" s="3229">
        <v>11120</v>
      </c>
      <c r="E161" s="3229">
        <v>14020</v>
      </c>
      <c r="F161" s="3229">
        <v>2150</v>
      </c>
      <c r="G161" s="3229">
        <v>7160</v>
      </c>
    </row>
    <row r="162" spans="1:7" s="3218" customFormat="1" ht="14.25" customHeight="1">
      <c r="A162" s="3229" t="s">
        <v>29</v>
      </c>
      <c r="B162" s="3229" t="s">
        <v>3008</v>
      </c>
      <c r="C162" s="3229">
        <v>9620</v>
      </c>
      <c r="D162" s="3229">
        <v>9570</v>
      </c>
      <c r="E162" s="3229">
        <v>12320</v>
      </c>
      <c r="F162" s="3229">
        <v>2010</v>
      </c>
      <c r="G162" s="3229">
        <v>6160</v>
      </c>
    </row>
    <row r="163" spans="1:7" s="3218" customFormat="1" ht="14.25" customHeight="1">
      <c r="A163" s="3229" t="s">
        <v>29</v>
      </c>
      <c r="B163" s="3229" t="s">
        <v>3013</v>
      </c>
      <c r="C163" s="3229">
        <v>9320</v>
      </c>
      <c r="D163" s="3229">
        <v>9270</v>
      </c>
      <c r="E163" s="3229">
        <v>11790</v>
      </c>
      <c r="F163" s="3229">
        <v>1920</v>
      </c>
      <c r="G163" s="3229">
        <v>5960</v>
      </c>
    </row>
    <row r="164" spans="1:7" s="3218" customFormat="1" ht="14.25" customHeight="1">
      <c r="A164" s="3229" t="s">
        <v>29</v>
      </c>
      <c r="B164" s="3229" t="s">
        <v>3018</v>
      </c>
      <c r="C164" s="3229"/>
      <c r="D164" s="3229"/>
      <c r="E164" s="3229"/>
      <c r="F164" s="3229">
        <v>1980</v>
      </c>
      <c r="G164" s="3229"/>
    </row>
    <row r="165" spans="1:7" s="3218" customFormat="1" ht="14.25" customHeight="1">
      <c r="A165" s="3229" t="s">
        <v>29</v>
      </c>
      <c r="B165" s="3229" t="s">
        <v>3088</v>
      </c>
      <c r="C165" s="3229">
        <v>11060</v>
      </c>
      <c r="D165" s="3229">
        <v>11030</v>
      </c>
      <c r="E165" s="3229">
        <v>13850</v>
      </c>
      <c r="F165" s="3229">
        <v>2170</v>
      </c>
      <c r="G165" s="3229">
        <v>7090</v>
      </c>
    </row>
    <row r="166" spans="1:7" s="3218" customFormat="1" ht="14.25" customHeight="1">
      <c r="A166" s="3229" t="s">
        <v>29</v>
      </c>
      <c r="B166" s="3229" t="s">
        <v>3028</v>
      </c>
      <c r="C166" s="3229">
        <v>11050</v>
      </c>
      <c r="D166" s="3229">
        <v>11010</v>
      </c>
      <c r="E166" s="3229">
        <v>13920</v>
      </c>
      <c r="F166" s="3229">
        <v>2140</v>
      </c>
      <c r="G166" s="3229">
        <v>7080</v>
      </c>
    </row>
    <row r="167" spans="1:7" s="3218" customFormat="1" ht="14.25" customHeight="1">
      <c r="A167" s="3229" t="s">
        <v>29</v>
      </c>
      <c r="B167" s="3229" t="s">
        <v>3032</v>
      </c>
      <c r="C167" s="3229">
        <v>10930</v>
      </c>
      <c r="D167" s="3229">
        <v>10890</v>
      </c>
      <c r="E167" s="3229">
        <v>13790</v>
      </c>
      <c r="F167" s="3229">
        <v>2010</v>
      </c>
      <c r="G167" s="3229">
        <v>7000</v>
      </c>
    </row>
    <row r="168" spans="1:7" s="3218" customFormat="1" ht="14.25" customHeight="1">
      <c r="A168" s="3229" t="s">
        <v>29</v>
      </c>
      <c r="B168" s="3229" t="s">
        <v>3037</v>
      </c>
      <c r="C168" s="3229">
        <v>9420</v>
      </c>
      <c r="D168" s="3229">
        <v>9380</v>
      </c>
      <c r="E168" s="3229">
        <v>11970</v>
      </c>
      <c r="F168" s="3229"/>
      <c r="G168" s="3229">
        <v>6040</v>
      </c>
    </row>
    <row r="169" spans="1:7" s="3218" customFormat="1" ht="14.25" customHeight="1">
      <c r="A169" s="3229" t="s">
        <v>29</v>
      </c>
      <c r="B169" s="3229" t="s">
        <v>3089</v>
      </c>
      <c r="C169" s="3229"/>
      <c r="D169" s="3229"/>
      <c r="E169" s="3229"/>
      <c r="F169" s="3229">
        <v>2880</v>
      </c>
      <c r="G169" s="3229"/>
    </row>
    <row r="170" spans="1:7" s="3218" customFormat="1" ht="14.25" customHeight="1">
      <c r="A170" s="3229" t="s">
        <v>29</v>
      </c>
      <c r="B170" s="3229" t="s">
        <v>3045</v>
      </c>
      <c r="C170" s="3229"/>
      <c r="D170" s="3229"/>
      <c r="E170" s="3229"/>
      <c r="F170" s="3229">
        <v>2880</v>
      </c>
      <c r="G170" s="3229"/>
    </row>
    <row r="171" spans="1:7" s="3218" customFormat="1" ht="14.25" customHeight="1">
      <c r="A171" s="3229" t="s">
        <v>29</v>
      </c>
      <c r="B171" s="3229" t="s">
        <v>3048</v>
      </c>
      <c r="C171" s="3229"/>
      <c r="D171" s="3229"/>
      <c r="E171" s="3229"/>
      <c r="F171" s="3229">
        <v>2880</v>
      </c>
      <c r="G171" s="3229"/>
    </row>
    <row r="172" spans="1:7" s="3218" customFormat="1" ht="14.25" customHeight="1">
      <c r="A172" s="3229" t="s">
        <v>29</v>
      </c>
      <c r="B172" s="3229" t="s">
        <v>3050</v>
      </c>
      <c r="C172" s="3229"/>
      <c r="D172" s="3229"/>
      <c r="E172" s="3229"/>
      <c r="F172" s="3229">
        <v>2880</v>
      </c>
      <c r="G172" s="3229"/>
    </row>
    <row r="173" spans="1:7" s="3218" customFormat="1" ht="14.25" customHeight="1">
      <c r="A173" s="3229" t="s">
        <v>29</v>
      </c>
      <c r="B173" s="3229" t="s">
        <v>3052</v>
      </c>
      <c r="C173" s="3229"/>
      <c r="D173" s="3229"/>
      <c r="E173" s="3229"/>
      <c r="F173" s="3229">
        <v>2150</v>
      </c>
      <c r="G173" s="3229"/>
    </row>
    <row r="174" spans="1:7" s="3218" customFormat="1" ht="14.25" customHeight="1">
      <c r="A174" s="3229" t="s">
        <v>29</v>
      </c>
      <c r="B174" s="3229" t="s">
        <v>3054</v>
      </c>
      <c r="C174" s="3229"/>
      <c r="D174" s="3229"/>
      <c r="E174" s="3229"/>
      <c r="F174" s="3229">
        <v>2030</v>
      </c>
      <c r="G174" s="3229"/>
    </row>
    <row r="175" spans="1:7" s="3218" customFormat="1" ht="14.25" customHeight="1">
      <c r="A175" s="3229" t="s">
        <v>29</v>
      </c>
      <c r="B175" s="3229" t="s">
        <v>3056</v>
      </c>
      <c r="C175" s="3229"/>
      <c r="D175" s="3229"/>
      <c r="E175" s="3229"/>
      <c r="F175" s="3229">
        <v>2780</v>
      </c>
      <c r="G175" s="3229"/>
    </row>
    <row r="176" spans="1:7" s="3218" customFormat="1" ht="14.25" customHeight="1">
      <c r="A176" s="3229" t="s">
        <v>29</v>
      </c>
      <c r="B176" s="3229" t="s">
        <v>3058</v>
      </c>
      <c r="C176" s="3229"/>
      <c r="D176" s="3229"/>
      <c r="E176" s="3229"/>
      <c r="F176" s="3229">
        <v>2780</v>
      </c>
      <c r="G176" s="3229"/>
    </row>
    <row r="177" spans="1:7" s="3218" customFormat="1" ht="14.25" customHeight="1">
      <c r="A177" s="3229" t="s">
        <v>29</v>
      </c>
      <c r="B177" s="3229" t="s">
        <v>3090</v>
      </c>
      <c r="C177" s="3229"/>
      <c r="D177" s="3229"/>
      <c r="E177" s="3229"/>
      <c r="F177" s="3229">
        <v>2780</v>
      </c>
      <c r="G177" s="3229"/>
    </row>
    <row r="178" spans="1:7" s="3218" customFormat="1" ht="14.25" customHeight="1">
      <c r="A178" s="3229" t="s">
        <v>29</v>
      </c>
      <c r="B178" s="3229" t="s">
        <v>3091</v>
      </c>
      <c r="C178" s="3229"/>
      <c r="D178" s="3229"/>
      <c r="E178" s="3229"/>
      <c r="F178" s="3229">
        <v>2060</v>
      </c>
      <c r="G178" s="3229"/>
    </row>
    <row r="179" spans="1:7" s="3218" customFormat="1" ht="14.25" customHeight="1">
      <c r="A179" s="3229" t="s">
        <v>29</v>
      </c>
      <c r="B179" s="3229" t="s">
        <v>3092</v>
      </c>
      <c r="C179" s="3229"/>
      <c r="D179" s="3229"/>
      <c r="E179" s="3229"/>
      <c r="F179" s="3229">
        <v>2120</v>
      </c>
      <c r="G179" s="3229"/>
    </row>
    <row r="180" spans="1:7" s="3218" customFormat="1" ht="14.25" customHeight="1">
      <c r="A180" s="3229" t="s">
        <v>29</v>
      </c>
      <c r="B180" s="3229" t="s">
        <v>3064</v>
      </c>
      <c r="C180" s="3229"/>
      <c r="D180" s="3229"/>
      <c r="E180" s="3229"/>
      <c r="F180" s="3229">
        <v>2340</v>
      </c>
      <c r="G180" s="3229"/>
    </row>
    <row r="181" spans="1:7" s="3218" customFormat="1" ht="14.25" customHeight="1">
      <c r="A181" s="3229" t="s">
        <v>29</v>
      </c>
      <c r="B181" s="3229" t="s">
        <v>3065</v>
      </c>
      <c r="C181" s="3229"/>
      <c r="D181" s="3229"/>
      <c r="E181" s="3229"/>
      <c r="F181" s="3229">
        <v>2340</v>
      </c>
      <c r="G181" s="3229"/>
    </row>
    <row r="182" spans="1:7" s="3218" customFormat="1" ht="14.25" customHeight="1">
      <c r="A182" s="3229" t="s">
        <v>29</v>
      </c>
      <c r="B182" s="3229" t="s">
        <v>3066</v>
      </c>
      <c r="C182" s="3229"/>
      <c r="D182" s="3229"/>
      <c r="E182" s="3229"/>
      <c r="F182" s="3229">
        <v>2340</v>
      </c>
      <c r="G182" s="3229"/>
    </row>
    <row r="183" spans="1:7" s="3218" customFormat="1" ht="14.25" customHeight="1">
      <c r="A183" s="3229" t="s">
        <v>29</v>
      </c>
      <c r="B183" s="3229" t="s">
        <v>3067</v>
      </c>
      <c r="C183" s="3229"/>
      <c r="D183" s="3229"/>
      <c r="E183" s="3229"/>
      <c r="F183" s="3229">
        <v>2340</v>
      </c>
      <c r="G183" s="3229"/>
    </row>
    <row r="184" spans="1:7" s="3218" customFormat="1" ht="14.25" customHeight="1">
      <c r="A184" s="3229" t="s">
        <v>29</v>
      </c>
      <c r="B184" s="3229" t="s">
        <v>3068</v>
      </c>
      <c r="C184" s="3229"/>
      <c r="D184" s="3229"/>
      <c r="E184" s="3229"/>
      <c r="F184" s="3229">
        <v>2340</v>
      </c>
      <c r="G184" s="3229"/>
    </row>
    <row r="185" spans="1:7" s="3218" customFormat="1" ht="14.25" customHeight="1">
      <c r="A185" s="3229" t="s">
        <v>29</v>
      </c>
      <c r="B185" s="3229" t="s">
        <v>3069</v>
      </c>
      <c r="C185" s="3229"/>
      <c r="D185" s="3229"/>
      <c r="E185" s="3229"/>
      <c r="F185" s="3229">
        <v>2530</v>
      </c>
      <c r="G185" s="3229"/>
    </row>
    <row r="186" spans="1:7" s="3218" customFormat="1" ht="14.25" customHeight="1">
      <c r="A186" s="3229" t="s">
        <v>29</v>
      </c>
      <c r="B186" s="3229" t="s">
        <v>3070</v>
      </c>
      <c r="C186" s="3229"/>
      <c r="D186" s="3229"/>
      <c r="E186" s="3229"/>
      <c r="F186" s="3229">
        <v>2550</v>
      </c>
      <c r="G186" s="3229"/>
    </row>
    <row r="187" spans="1:7" s="3218" customFormat="1" ht="14.25" customHeight="1">
      <c r="A187" s="3229" t="s">
        <v>29</v>
      </c>
      <c r="B187" s="3229" t="s">
        <v>3071</v>
      </c>
      <c r="C187" s="3229"/>
      <c r="D187" s="3229"/>
      <c r="E187" s="3229"/>
      <c r="F187" s="3229">
        <v>2070</v>
      </c>
      <c r="G187" s="3229"/>
    </row>
    <row r="188" spans="1:7" s="3218" customFormat="1" ht="14.25" customHeight="1">
      <c r="A188" s="3229" t="s">
        <v>29</v>
      </c>
      <c r="B188" s="3229" t="s">
        <v>3072</v>
      </c>
      <c r="C188" s="3229"/>
      <c r="D188" s="3229"/>
      <c r="E188" s="3229"/>
      <c r="F188" s="3229">
        <v>2340</v>
      </c>
      <c r="G188" s="3229"/>
    </row>
    <row r="189" spans="1:7" s="3218" customFormat="1" ht="14.25" customHeight="1" thickBot="1">
      <c r="A189" s="3237" t="s">
        <v>29</v>
      </c>
      <c r="B189" s="3240" t="s">
        <v>3073</v>
      </c>
      <c r="C189" s="3240"/>
      <c r="D189" s="3240"/>
      <c r="E189" s="3240"/>
      <c r="F189" s="3240">
        <v>2050</v>
      </c>
      <c r="G189" s="3240"/>
    </row>
    <row r="190" spans="1:7" s="3218" customFormat="1" ht="14.25" customHeight="1">
      <c r="A190" s="3234" t="s">
        <v>304</v>
      </c>
      <c r="B190" s="3225" t="s">
        <v>3093</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3094</v>
      </c>
      <c r="C199" s="3229">
        <v>8690</v>
      </c>
      <c r="D199" s="3229">
        <v>8630</v>
      </c>
      <c r="E199" s="3229">
        <v>11350</v>
      </c>
      <c r="F199" s="3229">
        <v>1600</v>
      </c>
      <c r="G199" s="3242">
        <v>5450</v>
      </c>
    </row>
    <row r="200" spans="1:7" s="3218" customFormat="1" ht="14.25" customHeight="1">
      <c r="A200" s="3229" t="s">
        <v>304</v>
      </c>
      <c r="B200" s="3229" t="s">
        <v>2905</v>
      </c>
      <c r="C200" s="3229"/>
      <c r="D200" s="3229"/>
      <c r="E200" s="3229"/>
      <c r="F200" s="3229">
        <v>1510</v>
      </c>
      <c r="G200" s="3242"/>
    </row>
    <row r="201" spans="1:7" s="3218" customFormat="1" ht="14.25" customHeight="1">
      <c r="A201" s="3229" t="s">
        <v>304</v>
      </c>
      <c r="B201" s="3229" t="s">
        <v>3095</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3096</v>
      </c>
      <c r="C203" s="3229">
        <v>8130</v>
      </c>
      <c r="D203" s="3229">
        <v>8070</v>
      </c>
      <c r="E203" s="3229">
        <v>10820</v>
      </c>
      <c r="F203" s="3229">
        <v>1690</v>
      </c>
      <c r="G203" s="3242">
        <v>5100</v>
      </c>
    </row>
    <row r="204" spans="1:7" s="3218" customFormat="1" ht="14.25" customHeight="1">
      <c r="A204" s="3229" t="s">
        <v>304</v>
      </c>
      <c r="B204" s="3229" t="s">
        <v>2916</v>
      </c>
      <c r="C204" s="3229">
        <v>8350</v>
      </c>
      <c r="D204" s="3229">
        <v>8290</v>
      </c>
      <c r="E204" s="3229">
        <v>11080</v>
      </c>
      <c r="F204" s="3229">
        <v>1450</v>
      </c>
      <c r="G204" s="3242">
        <v>5240</v>
      </c>
    </row>
    <row r="205" spans="1:7" s="3218" customFormat="1" ht="14.25" customHeight="1">
      <c r="A205" s="3229" t="s">
        <v>304</v>
      </c>
      <c r="B205" s="3229" t="s">
        <v>2918</v>
      </c>
      <c r="C205" s="3229">
        <v>7190</v>
      </c>
      <c r="D205" s="3229">
        <v>7130</v>
      </c>
      <c r="E205" s="3229">
        <v>9490</v>
      </c>
      <c r="F205" s="3229">
        <v>1470</v>
      </c>
      <c r="G205" s="3242">
        <v>4510</v>
      </c>
    </row>
    <row r="206" spans="1:7" s="3218" customFormat="1" ht="14.25" customHeight="1">
      <c r="A206" s="3229" t="s">
        <v>304</v>
      </c>
      <c r="B206" s="3229" t="s">
        <v>2921</v>
      </c>
      <c r="C206" s="3229">
        <v>7000</v>
      </c>
      <c r="D206" s="3229">
        <v>6950</v>
      </c>
      <c r="E206" s="3229">
        <v>9170</v>
      </c>
      <c r="F206" s="3229">
        <v>1400</v>
      </c>
      <c r="G206" s="3242">
        <v>4380</v>
      </c>
    </row>
    <row r="207" spans="1:7" s="3218" customFormat="1" ht="14.25" customHeight="1">
      <c r="A207" s="3229" t="s">
        <v>304</v>
      </c>
      <c r="B207" s="3229" t="s">
        <v>2923</v>
      </c>
      <c r="C207" s="3229">
        <v>6950</v>
      </c>
      <c r="D207" s="3229">
        <v>6900</v>
      </c>
      <c r="E207" s="3229">
        <v>9110</v>
      </c>
      <c r="F207" s="3229">
        <v>1790</v>
      </c>
      <c r="G207" s="3242">
        <v>4360</v>
      </c>
    </row>
    <row r="208" spans="1:7" s="3218" customFormat="1" ht="14.25" customHeight="1">
      <c r="A208" s="3229" t="s">
        <v>304</v>
      </c>
      <c r="B208" s="3229" t="s">
        <v>3097</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2933</v>
      </c>
      <c r="C210" s="3229">
        <v>8710</v>
      </c>
      <c r="D210" s="3229">
        <v>8660</v>
      </c>
      <c r="E210" s="3229">
        <v>11440</v>
      </c>
      <c r="F210" s="3229">
        <v>1740</v>
      </c>
      <c r="G210" s="3242">
        <v>5470</v>
      </c>
    </row>
    <row r="211" spans="1:7" s="3218" customFormat="1" ht="14.25" customHeight="1">
      <c r="A211" s="3229" t="s">
        <v>304</v>
      </c>
      <c r="B211" s="3229" t="s">
        <v>3098</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3099</v>
      </c>
      <c r="C214" s="3229">
        <v>8090</v>
      </c>
      <c r="D214" s="3229">
        <v>8030</v>
      </c>
      <c r="E214" s="3229">
        <v>10780</v>
      </c>
      <c r="F214" s="3229">
        <v>1570</v>
      </c>
      <c r="G214" s="3242">
        <v>5070</v>
      </c>
    </row>
    <row r="215" spans="1:7" s="3218" customFormat="1" ht="14.25" customHeight="1">
      <c r="A215" s="3229" t="s">
        <v>304</v>
      </c>
      <c r="B215" s="3229" t="s">
        <v>3100</v>
      </c>
      <c r="C215" s="3229">
        <v>7950</v>
      </c>
      <c r="D215" s="3229">
        <v>7900</v>
      </c>
      <c r="E215" s="3229">
        <v>10560</v>
      </c>
      <c r="F215" s="3229">
        <v>1630</v>
      </c>
      <c r="G215" s="3242">
        <v>4990</v>
      </c>
    </row>
    <row r="216" spans="1:7" s="3218" customFormat="1" ht="14.25" customHeight="1">
      <c r="A216" s="3229" t="s">
        <v>304</v>
      </c>
      <c r="B216" s="3229" t="s">
        <v>3101</v>
      </c>
      <c r="C216" s="3229">
        <v>8490</v>
      </c>
      <c r="D216" s="3229">
        <v>8440</v>
      </c>
      <c r="E216" s="3229">
        <v>11260</v>
      </c>
      <c r="F216" s="3229">
        <v>1690</v>
      </c>
      <c r="G216" s="3242">
        <v>5330</v>
      </c>
    </row>
    <row r="217" spans="1:7" s="3218" customFormat="1" ht="14.25" customHeight="1">
      <c r="A217" s="3229" t="s">
        <v>304</v>
      </c>
      <c r="B217" s="3229" t="s">
        <v>2966</v>
      </c>
      <c r="C217" s="3229">
        <v>8200</v>
      </c>
      <c r="D217" s="3229">
        <v>8150</v>
      </c>
      <c r="E217" s="3229">
        <v>10910</v>
      </c>
      <c r="F217" s="3229">
        <v>1670</v>
      </c>
      <c r="G217" s="3242">
        <v>5150</v>
      </c>
    </row>
    <row r="218" spans="1:7" s="3218" customFormat="1" ht="14.25" customHeight="1">
      <c r="A218" s="3229" t="s">
        <v>304</v>
      </c>
      <c r="B218" s="3229" t="s">
        <v>3102</v>
      </c>
      <c r="C218" s="3229"/>
      <c r="D218" s="3229"/>
      <c r="E218" s="3229"/>
      <c r="F218" s="3229">
        <v>2040</v>
      </c>
      <c r="G218" s="3242"/>
    </row>
    <row r="219" spans="1:7" s="3218" customFormat="1" ht="14.25" customHeight="1">
      <c r="A219" s="3229" t="s">
        <v>304</v>
      </c>
      <c r="B219" s="3229" t="s">
        <v>3103</v>
      </c>
      <c r="C219" s="3229"/>
      <c r="D219" s="3229"/>
      <c r="E219" s="3229"/>
      <c r="F219" s="3229">
        <v>2040</v>
      </c>
      <c r="G219" s="3242"/>
    </row>
    <row r="220" spans="1:7" s="3218" customFormat="1" ht="14.25" customHeight="1">
      <c r="A220" s="3229" t="s">
        <v>304</v>
      </c>
      <c r="B220" s="3229" t="s">
        <v>3104</v>
      </c>
      <c r="C220" s="3229"/>
      <c r="D220" s="3229"/>
      <c r="E220" s="3229"/>
      <c r="F220" s="3229">
        <v>2040</v>
      </c>
      <c r="G220" s="3242"/>
    </row>
    <row r="221" spans="1:7" s="3218" customFormat="1" ht="14.25" customHeight="1">
      <c r="A221" s="3229" t="s">
        <v>304</v>
      </c>
      <c r="B221" s="3229" t="s">
        <v>3105</v>
      </c>
      <c r="C221" s="3229"/>
      <c r="D221" s="3229"/>
      <c r="E221" s="3229"/>
      <c r="F221" s="3229">
        <v>2040</v>
      </c>
      <c r="G221" s="3242"/>
    </row>
    <row r="222" spans="1:7" s="3218" customFormat="1" ht="14.25" customHeight="1">
      <c r="A222" s="3229" t="s">
        <v>304</v>
      </c>
      <c r="B222" s="3229" t="s">
        <v>3106</v>
      </c>
      <c r="C222" s="3229"/>
      <c r="D222" s="3229"/>
      <c r="E222" s="3229"/>
      <c r="F222" s="3229">
        <v>2040</v>
      </c>
      <c r="G222" s="3242"/>
    </row>
    <row r="223" spans="1:7" s="3218" customFormat="1" ht="14.25" customHeight="1">
      <c r="A223" s="3229" t="s">
        <v>304</v>
      </c>
      <c r="B223" s="3229" t="s">
        <v>3107</v>
      </c>
      <c r="C223" s="3229"/>
      <c r="D223" s="3229"/>
      <c r="E223" s="3229"/>
      <c r="F223" s="3229">
        <v>1930</v>
      </c>
      <c r="G223" s="3242"/>
    </row>
    <row r="224" spans="1:7" s="3218" customFormat="1" ht="14.25" customHeight="1">
      <c r="A224" s="3229" t="s">
        <v>304</v>
      </c>
      <c r="B224" s="3229" t="s">
        <v>3108</v>
      </c>
      <c r="C224" s="3229"/>
      <c r="D224" s="3229"/>
      <c r="E224" s="3229"/>
      <c r="F224" s="3229">
        <v>1930</v>
      </c>
      <c r="G224" s="3242"/>
    </row>
    <row r="225" spans="1:7" s="3218" customFormat="1" ht="14.25" customHeight="1">
      <c r="A225" s="3229" t="s">
        <v>304</v>
      </c>
      <c r="B225" s="3229" t="s">
        <v>3109</v>
      </c>
      <c r="C225" s="3229"/>
      <c r="D225" s="3229"/>
      <c r="E225" s="3229"/>
      <c r="F225" s="3229">
        <v>1930</v>
      </c>
      <c r="G225" s="3242"/>
    </row>
    <row r="226" spans="1:7" s="3218" customFormat="1" ht="14.25" customHeight="1">
      <c r="A226" s="3229" t="s">
        <v>304</v>
      </c>
      <c r="B226" s="3229" t="s">
        <v>3110</v>
      </c>
      <c r="C226" s="3229"/>
      <c r="D226" s="3229"/>
      <c r="E226" s="3229"/>
      <c r="F226" s="3229">
        <v>1700</v>
      </c>
      <c r="G226" s="3242"/>
    </row>
    <row r="227" spans="1:7" s="3218" customFormat="1" ht="14.25" customHeight="1">
      <c r="A227" s="3229" t="s">
        <v>304</v>
      </c>
      <c r="B227" s="3229" t="s">
        <v>3111</v>
      </c>
      <c r="C227" s="3229"/>
      <c r="D227" s="3229"/>
      <c r="E227" s="3229"/>
      <c r="F227" s="3229">
        <v>1520</v>
      </c>
      <c r="G227" s="3242"/>
    </row>
    <row r="228" spans="1:7" s="3218" customFormat="1" ht="14.25" customHeight="1">
      <c r="A228" s="3229" t="s">
        <v>304</v>
      </c>
      <c r="B228" s="3229" t="s">
        <v>3112</v>
      </c>
      <c r="C228" s="3229"/>
      <c r="D228" s="3229"/>
      <c r="E228" s="3229"/>
      <c r="F228" s="3229">
        <v>1520</v>
      </c>
      <c r="G228" s="3242"/>
    </row>
    <row r="229" spans="1:7" s="3218" customFormat="1" ht="14.25" customHeight="1">
      <c r="A229" s="3229" t="s">
        <v>304</v>
      </c>
      <c r="B229" s="3229" t="s">
        <v>3029</v>
      </c>
      <c r="C229" s="3229"/>
      <c r="D229" s="3229"/>
      <c r="E229" s="3229"/>
      <c r="F229" s="3229">
        <v>1520</v>
      </c>
      <c r="G229" s="3242"/>
    </row>
    <row r="230" spans="1:7" s="3218" customFormat="1" ht="14.25" customHeight="1">
      <c r="A230" s="3229" t="s">
        <v>304</v>
      </c>
      <c r="B230" s="3229" t="s">
        <v>3113</v>
      </c>
      <c r="C230" s="3229"/>
      <c r="D230" s="3229"/>
      <c r="E230" s="3229"/>
      <c r="F230" s="3229">
        <v>1820</v>
      </c>
      <c r="G230" s="3242"/>
    </row>
    <row r="231" spans="1:7" s="3218" customFormat="1" ht="14.25" customHeight="1">
      <c r="A231" s="3229" t="s">
        <v>304</v>
      </c>
      <c r="B231" s="3229" t="s">
        <v>3114</v>
      </c>
      <c r="C231" s="3229"/>
      <c r="D231" s="3229"/>
      <c r="E231" s="3229"/>
      <c r="F231" s="3229">
        <v>1760</v>
      </c>
      <c r="G231" s="3242"/>
    </row>
    <row r="232" spans="1:7" s="3218" customFormat="1" ht="14.25" customHeight="1">
      <c r="A232" s="3229" t="s">
        <v>304</v>
      </c>
      <c r="B232" s="3229" t="s">
        <v>3115</v>
      </c>
      <c r="C232" s="3229"/>
      <c r="D232" s="3229"/>
      <c r="E232" s="3229"/>
      <c r="F232" s="3229">
        <v>1840</v>
      </c>
      <c r="G232" s="3242"/>
    </row>
    <row r="233" spans="1:7" s="3218" customFormat="1" ht="14.25" customHeight="1" thickBot="1">
      <c r="A233" s="3243" t="s">
        <v>304</v>
      </c>
      <c r="B233" s="3236" t="s">
        <v>3046</v>
      </c>
      <c r="C233" s="3236"/>
      <c r="D233" s="3236"/>
      <c r="E233" s="3236"/>
      <c r="F233" s="3236">
        <v>1770</v>
      </c>
      <c r="G233" s="3244"/>
    </row>
    <row r="234" spans="1:7" s="3218" customFormat="1" ht="14.25" customHeight="1">
      <c r="A234" s="3234" t="s">
        <v>305</v>
      </c>
      <c r="B234" s="3225" t="s">
        <v>3116</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2887</v>
      </c>
      <c r="C238" s="3229">
        <v>6920</v>
      </c>
      <c r="D238" s="3229">
        <v>6890</v>
      </c>
      <c r="E238" s="3229">
        <v>8640</v>
      </c>
      <c r="F238" s="3229">
        <v>1310</v>
      </c>
      <c r="G238" s="3229">
        <v>4230</v>
      </c>
    </row>
    <row r="239" spans="1:7" s="3218" customFormat="1" ht="14.25" customHeight="1">
      <c r="A239" s="3229" t="s">
        <v>305</v>
      </c>
      <c r="B239" s="3229" t="s">
        <v>3117</v>
      </c>
      <c r="C239" s="3229">
        <v>6780</v>
      </c>
      <c r="D239" s="3229">
        <v>6750</v>
      </c>
      <c r="E239" s="3229">
        <v>8440</v>
      </c>
      <c r="F239" s="3229">
        <v>1160</v>
      </c>
      <c r="G239" s="3229">
        <v>4140</v>
      </c>
    </row>
    <row r="240" spans="1:7" s="3218" customFormat="1" ht="14.25" customHeight="1">
      <c r="A240" s="3229" t="s">
        <v>305</v>
      </c>
      <c r="B240" s="3229" t="s">
        <v>3118</v>
      </c>
      <c r="C240" s="3229">
        <v>5420</v>
      </c>
      <c r="D240" s="3229">
        <v>5380</v>
      </c>
      <c r="E240" s="3229">
        <v>6640</v>
      </c>
      <c r="F240" s="3229">
        <v>1020</v>
      </c>
      <c r="G240" s="3229">
        <v>3300</v>
      </c>
    </row>
    <row r="241" spans="1:7" s="3218" customFormat="1" ht="14.25" customHeight="1">
      <c r="A241" s="3229" t="s">
        <v>305</v>
      </c>
      <c r="B241" s="3229" t="s">
        <v>3119</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3120</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3121</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3122</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3123</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3124</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2949</v>
      </c>
      <c r="C258" s="3229">
        <v>6190</v>
      </c>
      <c r="D258" s="3229">
        <v>6160</v>
      </c>
      <c r="E258" s="3229">
        <v>7680</v>
      </c>
      <c r="F258" s="3229">
        <v>1170</v>
      </c>
      <c r="G258" s="3229">
        <v>3780</v>
      </c>
    </row>
    <row r="259" spans="1:7" s="3218" customFormat="1" ht="14.25" customHeight="1">
      <c r="A259" s="3229" t="s">
        <v>305</v>
      </c>
      <c r="B259" s="3229" t="s">
        <v>3125</v>
      </c>
      <c r="C259" s="3229">
        <v>7610</v>
      </c>
      <c r="D259" s="3229">
        <v>7570</v>
      </c>
      <c r="E259" s="3229">
        <v>9350</v>
      </c>
      <c r="F259" s="3229">
        <v>1350</v>
      </c>
      <c r="G259" s="3229">
        <v>4650</v>
      </c>
    </row>
    <row r="260" spans="1:7" s="3218" customFormat="1" ht="14.25" customHeight="1">
      <c r="A260" s="3229" t="s">
        <v>305</v>
      </c>
      <c r="B260" s="3229" t="s">
        <v>3126</v>
      </c>
      <c r="C260" s="3229">
        <v>6920</v>
      </c>
      <c r="D260" s="3229">
        <v>6880</v>
      </c>
      <c r="E260" s="3229">
        <v>8380</v>
      </c>
      <c r="F260" s="3229">
        <v>1160</v>
      </c>
      <c r="G260" s="3229">
        <v>4220</v>
      </c>
    </row>
    <row r="261" spans="1:7" s="3218" customFormat="1" ht="14.25" customHeight="1">
      <c r="A261" s="3229" t="s">
        <v>305</v>
      </c>
      <c r="B261" s="3229" t="s">
        <v>3127</v>
      </c>
      <c r="C261" s="3229">
        <v>6850</v>
      </c>
      <c r="D261" s="3229">
        <v>6810</v>
      </c>
      <c r="E261" s="3229">
        <v>8290</v>
      </c>
      <c r="F261" s="3229">
        <v>1130</v>
      </c>
      <c r="G261" s="3229">
        <v>4180</v>
      </c>
    </row>
    <row r="262" spans="1:7" s="3218" customFormat="1" ht="14.25" customHeight="1">
      <c r="A262" s="3229" t="s">
        <v>305</v>
      </c>
      <c r="B262" s="3229" t="s">
        <v>3128</v>
      </c>
      <c r="C262" s="3229">
        <v>5860</v>
      </c>
      <c r="D262" s="3229">
        <v>5820</v>
      </c>
      <c r="E262" s="3229">
        <v>7640</v>
      </c>
      <c r="F262" s="3229">
        <v>1070</v>
      </c>
      <c r="G262" s="3229">
        <v>3570</v>
      </c>
    </row>
    <row r="263" spans="1:7" s="3218" customFormat="1" ht="14.25" customHeight="1">
      <c r="A263" s="3229" t="s">
        <v>305</v>
      </c>
      <c r="B263" s="3229" t="s">
        <v>3129</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3130</v>
      </c>
      <c r="C265" s="3229"/>
      <c r="D265" s="3229"/>
      <c r="E265" s="3229"/>
      <c r="F265" s="3229">
        <v>1500</v>
      </c>
      <c r="G265" s="3229"/>
    </row>
    <row r="266" spans="1:7" s="3218" customFormat="1" ht="14.25" customHeight="1">
      <c r="A266" s="3229" t="s">
        <v>305</v>
      </c>
      <c r="B266" s="3229" t="s">
        <v>3131</v>
      </c>
      <c r="C266" s="3229"/>
      <c r="D266" s="3229"/>
      <c r="E266" s="3229"/>
      <c r="F266" s="3229">
        <v>1500</v>
      </c>
      <c r="G266" s="3229"/>
    </row>
    <row r="267" spans="1:7" s="3218" customFormat="1" ht="14.25" customHeight="1">
      <c r="A267" s="3229" t="s">
        <v>305</v>
      </c>
      <c r="B267" s="3229" t="s">
        <v>3132</v>
      </c>
      <c r="C267" s="3229"/>
      <c r="D267" s="3229"/>
      <c r="E267" s="3229"/>
      <c r="F267" s="3229">
        <v>1500</v>
      </c>
      <c r="G267" s="3229"/>
    </row>
    <row r="268" spans="1:7" s="3218" customFormat="1" ht="14.25" customHeight="1">
      <c r="A268" s="3229" t="s">
        <v>305</v>
      </c>
      <c r="B268" s="3229" t="s">
        <v>3133</v>
      </c>
      <c r="C268" s="3229"/>
      <c r="D268" s="3229"/>
      <c r="E268" s="3229"/>
      <c r="F268" s="3229">
        <v>1290</v>
      </c>
      <c r="G268" s="3229"/>
    </row>
    <row r="269" spans="1:7" s="3218" customFormat="1" ht="14.25" customHeight="1">
      <c r="A269" s="3229" t="s">
        <v>305</v>
      </c>
      <c r="B269" s="3229" t="s">
        <v>3134</v>
      </c>
      <c r="C269" s="3229"/>
      <c r="D269" s="3229"/>
      <c r="E269" s="3229"/>
      <c r="F269" s="3229">
        <v>1150</v>
      </c>
      <c r="G269" s="3229"/>
    </row>
    <row r="270" spans="1:7" s="3218" customFormat="1" ht="14.25" customHeight="1">
      <c r="A270" s="3229" t="s">
        <v>305</v>
      </c>
      <c r="B270" s="3229" t="s">
        <v>3135</v>
      </c>
      <c r="C270" s="3229"/>
      <c r="D270" s="3229"/>
      <c r="E270" s="3229"/>
      <c r="F270" s="3229">
        <v>1380</v>
      </c>
      <c r="G270" s="3229"/>
    </row>
    <row r="271" spans="1:7" s="3218" customFormat="1" ht="14.25" customHeight="1">
      <c r="A271" s="3229" t="s">
        <v>305</v>
      </c>
      <c r="B271" s="3229" t="s">
        <v>3136</v>
      </c>
      <c r="C271" s="3229"/>
      <c r="D271" s="3229"/>
      <c r="E271" s="3229"/>
      <c r="F271" s="3229">
        <v>1460</v>
      </c>
      <c r="G271" s="3229"/>
    </row>
    <row r="272" spans="1:7" s="3218" customFormat="1" ht="14.25" customHeight="1">
      <c r="A272" s="3229" t="s">
        <v>305</v>
      </c>
      <c r="B272" s="3229" t="s">
        <v>3137</v>
      </c>
      <c r="C272" s="3229"/>
      <c r="D272" s="3229"/>
      <c r="E272" s="3229"/>
      <c r="F272" s="3229">
        <v>1460</v>
      </c>
      <c r="G272" s="3229"/>
    </row>
    <row r="273" spans="1:7" s="3218" customFormat="1" ht="14.25" customHeight="1">
      <c r="A273" s="3229" t="s">
        <v>305</v>
      </c>
      <c r="B273" s="3229" t="s">
        <v>3030</v>
      </c>
      <c r="C273" s="3229"/>
      <c r="D273" s="3229"/>
      <c r="E273" s="3229"/>
      <c r="F273" s="3229">
        <v>1490</v>
      </c>
      <c r="G273" s="3229"/>
    </row>
    <row r="274" spans="1:7" s="3218" customFormat="1" ht="14.25" customHeight="1">
      <c r="A274" s="3229" t="s">
        <v>305</v>
      </c>
      <c r="B274" s="3229" t="s">
        <v>3138</v>
      </c>
      <c r="C274" s="3229"/>
      <c r="D274" s="3229"/>
      <c r="E274" s="3229"/>
      <c r="F274" s="3229">
        <v>1490</v>
      </c>
      <c r="G274" s="3229"/>
    </row>
    <row r="275" spans="1:7" s="3218" customFormat="1" ht="14.25" customHeight="1">
      <c r="A275" s="3229" t="s">
        <v>305</v>
      </c>
      <c r="B275" s="3229" t="s">
        <v>3139</v>
      </c>
      <c r="C275" s="3229"/>
      <c r="D275" s="3229"/>
      <c r="E275" s="3229"/>
      <c r="F275" s="3229">
        <v>1220</v>
      </c>
      <c r="G275" s="3229"/>
    </row>
    <row r="276" spans="1:7" s="3218" customFormat="1" ht="14.25" customHeight="1" thickBot="1">
      <c r="A276" s="3237" t="s">
        <v>305</v>
      </c>
      <c r="B276" s="3239" t="s">
        <v>3140</v>
      </c>
      <c r="C276" s="3240"/>
      <c r="D276" s="3240"/>
      <c r="E276" s="3240"/>
      <c r="F276" s="3240">
        <v>1380</v>
      </c>
      <c r="G276" s="3240"/>
    </row>
    <row r="277" spans="1:7" s="3218" customFormat="1" ht="14.25" customHeight="1">
      <c r="A277" s="3234" t="s">
        <v>306</v>
      </c>
      <c r="B277" s="3225" t="s">
        <v>3141</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3142</v>
      </c>
      <c r="C279" s="3229">
        <v>4760</v>
      </c>
      <c r="D279" s="3229">
        <v>4720</v>
      </c>
      <c r="E279" s="3229">
        <v>5540</v>
      </c>
      <c r="F279" s="3229">
        <v>810</v>
      </c>
      <c r="G279" s="3242">
        <v>2850</v>
      </c>
    </row>
    <row r="280" spans="1:7" s="3218" customFormat="1" ht="14.25" customHeight="1">
      <c r="A280" s="3229" t="s">
        <v>306</v>
      </c>
      <c r="B280" s="3229" t="s">
        <v>3143</v>
      </c>
      <c r="C280" s="3229">
        <v>4010</v>
      </c>
      <c r="D280" s="3229">
        <v>3950</v>
      </c>
      <c r="E280" s="3229">
        <v>4710</v>
      </c>
      <c r="F280" s="3229">
        <v>800</v>
      </c>
      <c r="G280" s="3242">
        <v>2390</v>
      </c>
    </row>
    <row r="281" spans="1:7" s="3218" customFormat="1" ht="14.25" customHeight="1">
      <c r="A281" s="3229" t="s">
        <v>306</v>
      </c>
      <c r="B281" s="3229" t="s">
        <v>3144</v>
      </c>
      <c r="C281" s="3229">
        <v>4480</v>
      </c>
      <c r="D281" s="3229">
        <v>4420</v>
      </c>
      <c r="E281" s="3229">
        <v>5230</v>
      </c>
      <c r="F281" s="3229">
        <v>870</v>
      </c>
      <c r="G281" s="3242">
        <v>2660</v>
      </c>
    </row>
    <row r="282" spans="1:7" s="3218" customFormat="1" ht="14.25" customHeight="1">
      <c r="A282" s="3229" t="s">
        <v>306</v>
      </c>
      <c r="B282" s="3229" t="s">
        <v>3145</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3146</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3147</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2922</v>
      </c>
      <c r="C293" s="3229">
        <v>5320</v>
      </c>
      <c r="D293" s="3229">
        <v>5270</v>
      </c>
      <c r="E293" s="3229">
        <v>6160</v>
      </c>
      <c r="F293" s="3229">
        <v>990</v>
      </c>
      <c r="G293" s="3242">
        <v>3170</v>
      </c>
    </row>
    <row r="294" spans="1:7" s="3218" customFormat="1" ht="14.25" customHeight="1">
      <c r="A294" s="3229" t="s">
        <v>306</v>
      </c>
      <c r="B294" s="3229" t="s">
        <v>3148</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2941</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3149</v>
      </c>
      <c r="C302" s="3229">
        <v>5520</v>
      </c>
      <c r="D302" s="3229">
        <v>5470</v>
      </c>
      <c r="E302" s="3229">
        <v>6410</v>
      </c>
      <c r="F302" s="3229">
        <v>950</v>
      </c>
      <c r="G302" s="3242">
        <v>3300</v>
      </c>
    </row>
    <row r="303" spans="1:7" s="3218" customFormat="1" ht="14.25" customHeight="1">
      <c r="A303" s="3229" t="s">
        <v>306</v>
      </c>
      <c r="B303" s="3229" t="s">
        <v>2961</v>
      </c>
      <c r="C303" s="3229">
        <v>5630</v>
      </c>
      <c r="D303" s="3229">
        <v>5590</v>
      </c>
      <c r="E303" s="3229">
        <v>6550</v>
      </c>
      <c r="F303" s="3229">
        <v>1010</v>
      </c>
      <c r="G303" s="3242">
        <v>3370</v>
      </c>
    </row>
    <row r="304" spans="1:7" s="3218" customFormat="1" ht="14.25" customHeight="1">
      <c r="A304" s="3229" t="s">
        <v>306</v>
      </c>
      <c r="B304" s="3229" t="s">
        <v>2968</v>
      </c>
      <c r="C304" s="3229">
        <v>5680</v>
      </c>
      <c r="D304" s="3229">
        <v>5620</v>
      </c>
      <c r="E304" s="3229">
        <v>6620</v>
      </c>
      <c r="F304" s="3229">
        <v>1050</v>
      </c>
      <c r="G304" s="3242">
        <v>3390</v>
      </c>
    </row>
    <row r="305" spans="1:7" s="3218" customFormat="1" ht="14.25" customHeight="1">
      <c r="A305" s="3229" t="s">
        <v>306</v>
      </c>
      <c r="B305" s="3229" t="s">
        <v>2974</v>
      </c>
      <c r="C305" s="3229">
        <v>5590</v>
      </c>
      <c r="D305" s="3229">
        <v>5530</v>
      </c>
      <c r="E305" s="3229">
        <v>6460</v>
      </c>
      <c r="F305" s="3229">
        <v>900</v>
      </c>
      <c r="G305" s="3242">
        <v>3340</v>
      </c>
    </row>
    <row r="306" spans="1:7" s="3218" customFormat="1" ht="14.25" customHeight="1">
      <c r="A306" s="3229" t="s">
        <v>306</v>
      </c>
      <c r="B306" s="3229" t="s">
        <v>3150</v>
      </c>
      <c r="C306" s="3229">
        <v>5560</v>
      </c>
      <c r="D306" s="3229">
        <v>5510</v>
      </c>
      <c r="E306" s="3229">
        <v>6440</v>
      </c>
      <c r="F306" s="3229">
        <v>900</v>
      </c>
      <c r="G306" s="3242">
        <v>3320</v>
      </c>
    </row>
    <row r="307" spans="1:7" s="3218" customFormat="1" ht="14.25" customHeight="1">
      <c r="A307" s="3229" t="s">
        <v>306</v>
      </c>
      <c r="B307" s="3229" t="s">
        <v>2986</v>
      </c>
      <c r="C307" s="3229">
        <v>5650</v>
      </c>
      <c r="D307" s="3229">
        <v>5600</v>
      </c>
      <c r="E307" s="3229">
        <v>6590</v>
      </c>
      <c r="F307" s="3229">
        <v>930</v>
      </c>
      <c r="G307" s="3242">
        <v>3380</v>
      </c>
    </row>
    <row r="308" spans="1:7" s="3218" customFormat="1" ht="14.25" customHeight="1">
      <c r="A308" s="3229" t="s">
        <v>306</v>
      </c>
      <c r="B308" s="3229" t="s">
        <v>3151</v>
      </c>
      <c r="C308" s="3229">
        <v>5620</v>
      </c>
      <c r="D308" s="3229">
        <v>5580</v>
      </c>
      <c r="E308" s="3229">
        <v>6540</v>
      </c>
      <c r="F308" s="3229">
        <v>910</v>
      </c>
      <c r="G308" s="3242">
        <v>3370</v>
      </c>
    </row>
    <row r="309" spans="1:7" s="3218" customFormat="1" ht="14.25" customHeight="1">
      <c r="A309" s="3229" t="s">
        <v>306</v>
      </c>
      <c r="B309" s="3229" t="s">
        <v>3152</v>
      </c>
      <c r="C309" s="3229">
        <v>5060</v>
      </c>
      <c r="D309" s="3229">
        <v>5020</v>
      </c>
      <c r="E309" s="3229">
        <v>6370</v>
      </c>
      <c r="F309" s="3229">
        <v>800</v>
      </c>
      <c r="G309" s="3242">
        <v>3020</v>
      </c>
    </row>
    <row r="310" spans="1:7" s="3218" customFormat="1" ht="14.25" customHeight="1">
      <c r="A310" s="3229" t="s">
        <v>306</v>
      </c>
      <c r="B310" s="3229" t="s">
        <v>3001</v>
      </c>
      <c r="C310" s="3229">
        <v>5150</v>
      </c>
      <c r="D310" s="3229">
        <v>5110</v>
      </c>
      <c r="E310" s="3229">
        <v>6500</v>
      </c>
      <c r="F310" s="3229">
        <v>880</v>
      </c>
      <c r="G310" s="3242">
        <v>3080</v>
      </c>
    </row>
    <row r="311" spans="1:7" s="3218" customFormat="1" ht="14.25" customHeight="1">
      <c r="A311" s="3229" t="s">
        <v>306</v>
      </c>
      <c r="B311" s="3229" t="s">
        <v>3153</v>
      </c>
      <c r="C311" s="3229">
        <v>4750</v>
      </c>
      <c r="D311" s="3229">
        <v>4710</v>
      </c>
      <c r="E311" s="3229">
        <v>5510</v>
      </c>
      <c r="F311" s="3229">
        <v>880</v>
      </c>
      <c r="G311" s="3242">
        <v>2840</v>
      </c>
    </row>
    <row r="312" spans="1:7" s="3218" customFormat="1" ht="14.25" customHeight="1">
      <c r="A312" s="3229" t="s">
        <v>306</v>
      </c>
      <c r="B312" s="3229" t="s">
        <v>3011</v>
      </c>
      <c r="C312" s="3229">
        <v>4690</v>
      </c>
      <c r="D312" s="3229">
        <v>4640</v>
      </c>
      <c r="E312" s="3229">
        <v>5420</v>
      </c>
      <c r="F312" s="3229">
        <v>800</v>
      </c>
      <c r="G312" s="3242">
        <v>2800</v>
      </c>
    </row>
    <row r="313" spans="1:7" s="3218" customFormat="1" ht="14.25" customHeight="1">
      <c r="A313" s="3229" t="s">
        <v>306</v>
      </c>
      <c r="B313" s="3229" t="s">
        <v>3016</v>
      </c>
      <c r="C313" s="3229">
        <v>4810</v>
      </c>
      <c r="D313" s="3229">
        <v>4760</v>
      </c>
      <c r="E313" s="3229">
        <v>5550</v>
      </c>
      <c r="F313" s="3229">
        <v>920</v>
      </c>
      <c r="G313" s="3242">
        <v>2870</v>
      </c>
    </row>
    <row r="314" spans="1:7" s="3218" customFormat="1" ht="14.25" customHeight="1">
      <c r="A314" s="3229" t="s">
        <v>306</v>
      </c>
      <c r="B314" s="3229" t="s">
        <v>3154</v>
      </c>
      <c r="C314" s="3229"/>
      <c r="D314" s="3229"/>
      <c r="E314" s="3229"/>
      <c r="F314" s="3229">
        <v>1020</v>
      </c>
      <c r="G314" s="3242"/>
    </row>
    <row r="315" spans="1:7" s="3218" customFormat="1" ht="14.25" customHeight="1">
      <c r="A315" s="3229" t="s">
        <v>306</v>
      </c>
      <c r="B315" s="3229" t="s">
        <v>3155</v>
      </c>
      <c r="C315" s="3229"/>
      <c r="D315" s="3229"/>
      <c r="E315" s="3229"/>
      <c r="F315" s="3229">
        <v>1050</v>
      </c>
      <c r="G315" s="3242"/>
    </row>
    <row r="316" spans="1:7" s="3218" customFormat="1" ht="14.25" customHeight="1">
      <c r="A316" s="3229" t="s">
        <v>306</v>
      </c>
      <c r="B316" s="3229" t="s">
        <v>3031</v>
      </c>
      <c r="C316" s="3229"/>
      <c r="D316" s="3229"/>
      <c r="E316" s="3229"/>
      <c r="F316" s="3229">
        <v>900</v>
      </c>
      <c r="G316" s="3242"/>
    </row>
    <row r="317" spans="1:7" s="3218" customFormat="1" ht="14.25" customHeight="1">
      <c r="A317" s="3229" t="s">
        <v>306</v>
      </c>
      <c r="B317" s="3229" t="s">
        <v>3156</v>
      </c>
      <c r="C317" s="3229"/>
      <c r="D317" s="3229"/>
      <c r="E317" s="3229"/>
      <c r="F317" s="3229">
        <v>920</v>
      </c>
      <c r="G317" s="3242"/>
    </row>
    <row r="318" spans="1:7" s="3218" customFormat="1" ht="14.25" customHeight="1">
      <c r="A318" s="3229" t="s">
        <v>306</v>
      </c>
      <c r="B318" s="3229" t="s">
        <v>3157</v>
      </c>
      <c r="C318" s="3229"/>
      <c r="D318" s="3229"/>
      <c r="E318" s="3229"/>
      <c r="F318" s="3229">
        <v>1080</v>
      </c>
      <c r="G318" s="3242"/>
    </row>
    <row r="319" spans="1:7" s="3218" customFormat="1" ht="14.25" customHeight="1">
      <c r="A319" s="3229" t="s">
        <v>306</v>
      </c>
      <c r="B319" s="3229" t="s">
        <v>3044</v>
      </c>
      <c r="C319" s="3229"/>
      <c r="D319" s="3229"/>
      <c r="E319" s="3229"/>
      <c r="F319" s="3229">
        <v>1020</v>
      </c>
      <c r="G319" s="3242"/>
    </row>
    <row r="320" spans="1:7" s="3218" customFormat="1" ht="14.25" customHeight="1">
      <c r="A320" s="3229" t="s">
        <v>306</v>
      </c>
      <c r="B320" s="3229" t="s">
        <v>3047</v>
      </c>
      <c r="C320" s="3229"/>
      <c r="D320" s="3229"/>
      <c r="E320" s="3229"/>
      <c r="F320" s="3229">
        <v>1050</v>
      </c>
      <c r="G320" s="3242"/>
    </row>
    <row r="321" spans="1:7" s="3218" customFormat="1" ht="14.25" customHeight="1">
      <c r="A321" s="3229" t="s">
        <v>306</v>
      </c>
      <c r="B321" s="3229" t="s">
        <v>3049</v>
      </c>
      <c r="C321" s="3229"/>
      <c r="D321" s="3229"/>
      <c r="E321" s="3229"/>
      <c r="F321" s="3229">
        <v>960</v>
      </c>
      <c r="G321" s="3242"/>
    </row>
    <row r="322" spans="1:7" s="3218" customFormat="1" ht="14.25" customHeight="1">
      <c r="A322" s="3229" t="s">
        <v>306</v>
      </c>
      <c r="B322" s="3229" t="s">
        <v>3051</v>
      </c>
      <c r="C322" s="3229"/>
      <c r="D322" s="3229"/>
      <c r="E322" s="3229"/>
      <c r="F322" s="3229">
        <v>960</v>
      </c>
      <c r="G322" s="3242"/>
    </row>
    <row r="323" spans="1:7" s="3218" customFormat="1" ht="14.25" customHeight="1">
      <c r="A323" s="3229" t="s">
        <v>306</v>
      </c>
      <c r="B323" s="3229" t="s">
        <v>3053</v>
      </c>
      <c r="C323" s="3229"/>
      <c r="D323" s="3229"/>
      <c r="E323" s="3229"/>
      <c r="F323" s="3229">
        <v>880</v>
      </c>
      <c r="G323" s="3242"/>
    </row>
    <row r="324" spans="1:7" s="3218" customFormat="1" ht="14.25" customHeight="1">
      <c r="A324" s="3229" t="s">
        <v>306</v>
      </c>
      <c r="B324" s="3229" t="s">
        <v>3055</v>
      </c>
      <c r="C324" s="3229"/>
      <c r="D324" s="3229"/>
      <c r="E324" s="3229"/>
      <c r="F324" s="3229">
        <v>930</v>
      </c>
      <c r="G324" s="3242"/>
    </row>
    <row r="325" spans="1:7" s="3218" customFormat="1" ht="14.25" customHeight="1">
      <c r="A325" s="3229" t="s">
        <v>306</v>
      </c>
      <c r="B325" s="3230" t="s">
        <v>3057</v>
      </c>
      <c r="C325" s="3229"/>
      <c r="D325" s="3229"/>
      <c r="E325" s="3229"/>
      <c r="F325" s="3229">
        <v>900</v>
      </c>
      <c r="G325" s="3242"/>
    </row>
    <row r="326" spans="1:7" s="3218" customFormat="1" ht="14.25" customHeight="1" thickBot="1">
      <c r="A326" s="3243" t="s">
        <v>306</v>
      </c>
      <c r="B326" s="3236" t="s">
        <v>3059</v>
      </c>
      <c r="C326" s="3236"/>
      <c r="D326" s="3236"/>
      <c r="E326" s="3236"/>
      <c r="F326" s="3236">
        <v>790</v>
      </c>
      <c r="G326" s="3244"/>
    </row>
    <row r="327" spans="1:7" s="3218" customFormat="1" ht="14.25" customHeight="1">
      <c r="A327" s="3234" t="s">
        <v>307</v>
      </c>
      <c r="B327" s="3225" t="s">
        <v>3158</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3159</v>
      </c>
      <c r="C329" s="3229">
        <v>2730</v>
      </c>
      <c r="D329" s="3229">
        <v>2690</v>
      </c>
      <c r="E329" s="3229">
        <v>3100</v>
      </c>
      <c r="F329" s="3229">
        <v>660</v>
      </c>
      <c r="G329" s="3229">
        <v>1610</v>
      </c>
    </row>
    <row r="330" spans="1:7" s="3218" customFormat="1" ht="14.25" customHeight="1">
      <c r="A330" s="3229" t="s">
        <v>307</v>
      </c>
      <c r="B330" s="3229" t="s">
        <v>3160</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2893</v>
      </c>
      <c r="C332" s="3229">
        <v>3520</v>
      </c>
      <c r="D332" s="3229">
        <v>3480</v>
      </c>
      <c r="E332" s="3229">
        <v>3830</v>
      </c>
      <c r="F332" s="3229">
        <v>720</v>
      </c>
      <c r="G332" s="3229">
        <v>2090</v>
      </c>
    </row>
    <row r="333" spans="1:7" s="3218" customFormat="1" ht="14.25" customHeight="1">
      <c r="A333" s="3229" t="s">
        <v>307</v>
      </c>
      <c r="B333" s="3229" t="s">
        <v>3161</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2903</v>
      </c>
      <c r="C336" s="3229">
        <v>3570</v>
      </c>
      <c r="D336" s="3229">
        <v>3530</v>
      </c>
      <c r="E336" s="3229">
        <v>3880</v>
      </c>
      <c r="F336" s="3229">
        <v>770</v>
      </c>
      <c r="G336" s="3229">
        <v>2110</v>
      </c>
    </row>
    <row r="337" spans="1:10" s="3218" customFormat="1" ht="14.25" customHeight="1">
      <c r="A337" s="3229" t="s">
        <v>307</v>
      </c>
      <c r="B337" s="3229" t="s">
        <v>3162</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3163</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3164</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2928</v>
      </c>
      <c r="C345" s="3229">
        <v>3190</v>
      </c>
      <c r="D345" s="3229">
        <v>3140</v>
      </c>
      <c r="E345" s="3229">
        <v>3450</v>
      </c>
      <c r="F345" s="3229">
        <v>720</v>
      </c>
      <c r="G345" s="3229">
        <v>1880</v>
      </c>
      <c r="J345" s="3218"/>
    </row>
    <row r="346" spans="1:10">
      <c r="A346" s="3229" t="s">
        <v>307</v>
      </c>
      <c r="B346" s="3229" t="s">
        <v>3165</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2937</v>
      </c>
      <c r="C348" s="3229">
        <v>4000</v>
      </c>
      <c r="D348" s="3229">
        <v>3950</v>
      </c>
      <c r="E348" s="3229">
        <v>4430</v>
      </c>
      <c r="F348" s="3229">
        <v>760</v>
      </c>
      <c r="G348" s="3229">
        <v>2360</v>
      </c>
      <c r="J348" s="3218"/>
    </row>
    <row r="349" spans="1:10">
      <c r="A349" s="3229" t="s">
        <v>307</v>
      </c>
      <c r="B349" s="3229" t="s">
        <v>2942</v>
      </c>
      <c r="C349" s="3229">
        <v>3820</v>
      </c>
      <c r="D349" s="3229">
        <v>3780</v>
      </c>
      <c r="E349" s="3229">
        <v>4170</v>
      </c>
      <c r="F349" s="3229">
        <v>710</v>
      </c>
      <c r="G349" s="3229">
        <v>2260</v>
      </c>
      <c r="J349" s="3218"/>
    </row>
    <row r="350" spans="1:10">
      <c r="A350" s="3229" t="s">
        <v>307</v>
      </c>
      <c r="B350" s="3229" t="s">
        <v>3166</v>
      </c>
      <c r="C350" s="3229">
        <v>3760</v>
      </c>
      <c r="D350" s="3229">
        <v>3730</v>
      </c>
      <c r="E350" s="3229">
        <v>4100</v>
      </c>
      <c r="F350" s="3229">
        <v>800</v>
      </c>
      <c r="G350" s="3229">
        <v>2230</v>
      </c>
      <c r="J350" s="3218"/>
    </row>
    <row r="351" spans="1:10">
      <c r="A351" s="3229" t="s">
        <v>307</v>
      </c>
      <c r="B351" s="3229" t="s">
        <v>2950</v>
      </c>
      <c r="C351" s="3229">
        <v>3610</v>
      </c>
      <c r="D351" s="3229">
        <v>3580</v>
      </c>
      <c r="E351" s="3229">
        <v>3930</v>
      </c>
      <c r="F351" s="3229">
        <v>700</v>
      </c>
      <c r="G351" s="3229">
        <v>2140</v>
      </c>
      <c r="J351" s="3218"/>
    </row>
    <row r="352" spans="1:10">
      <c r="A352" s="3229" t="s">
        <v>307</v>
      </c>
      <c r="B352" s="3229" t="s">
        <v>2955</v>
      </c>
      <c r="C352" s="3229">
        <v>3670</v>
      </c>
      <c r="D352" s="3229">
        <v>3630</v>
      </c>
      <c r="E352" s="3229">
        <v>4000</v>
      </c>
      <c r="F352" s="3229">
        <v>750</v>
      </c>
      <c r="G352" s="3229">
        <v>2180</v>
      </c>
    </row>
    <row r="353" spans="1:7" s="3222" customFormat="1">
      <c r="A353" s="3229" t="s">
        <v>307</v>
      </c>
      <c r="B353" s="3229" t="s">
        <v>3167</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2975</v>
      </c>
      <c r="C355" s="3229">
        <v>3650</v>
      </c>
      <c r="D355" s="3229">
        <v>3610</v>
      </c>
      <c r="E355" s="3229">
        <v>4200</v>
      </c>
      <c r="F355" s="3229">
        <v>640</v>
      </c>
      <c r="G355" s="3229">
        <v>2160</v>
      </c>
    </row>
    <row r="356" spans="1:7" s="3222" customFormat="1">
      <c r="A356" s="3229" t="s">
        <v>307</v>
      </c>
      <c r="B356" s="3229" t="s">
        <v>2982</v>
      </c>
      <c r="C356" s="3229">
        <v>3260</v>
      </c>
      <c r="D356" s="3229">
        <v>3230</v>
      </c>
      <c r="E356" s="3229">
        <v>3740</v>
      </c>
      <c r="F356" s="3229">
        <v>600</v>
      </c>
      <c r="G356" s="3229">
        <v>1930</v>
      </c>
    </row>
    <row r="357" spans="1:7" s="3222" customFormat="1" ht="12" thickBot="1">
      <c r="A357" s="3237" t="s">
        <v>307</v>
      </c>
      <c r="B357" s="3240" t="s">
        <v>3168</v>
      </c>
      <c r="C357" s="3240">
        <v>3690</v>
      </c>
      <c r="D357" s="3240">
        <v>3650</v>
      </c>
      <c r="E357" s="3240">
        <v>4020</v>
      </c>
      <c r="F357" s="3240">
        <v>700</v>
      </c>
      <c r="G357" s="3240">
        <v>2190</v>
      </c>
    </row>
    <row r="358" spans="1:7" s="3222" customFormat="1">
      <c r="A358" s="3234" t="s">
        <v>3169</v>
      </c>
      <c r="B358" s="3225" t="s">
        <v>3170</v>
      </c>
      <c r="C358" s="3225">
        <v>2080</v>
      </c>
      <c r="D358" s="3225">
        <v>2040</v>
      </c>
      <c r="E358" s="3225">
        <v>2010</v>
      </c>
      <c r="F358" s="3225">
        <v>530</v>
      </c>
      <c r="G358" s="3241">
        <v>1230</v>
      </c>
    </row>
    <row r="359" spans="1:7" s="3222" customFormat="1">
      <c r="A359" s="3229" t="s">
        <v>3169</v>
      </c>
      <c r="B359" s="3229" t="s">
        <v>3171</v>
      </c>
      <c r="C359" s="3229">
        <v>1850</v>
      </c>
      <c r="D359" s="3229">
        <v>1820</v>
      </c>
      <c r="E359" s="3229">
        <v>1780</v>
      </c>
      <c r="F359" s="3229">
        <v>520</v>
      </c>
      <c r="G359" s="3242">
        <v>1100</v>
      </c>
    </row>
    <row r="360" spans="1:7" s="3222" customFormat="1">
      <c r="A360" s="3229" t="s">
        <v>3169</v>
      </c>
      <c r="B360" s="3229" t="s">
        <v>3172</v>
      </c>
      <c r="C360" s="3229">
        <v>2020</v>
      </c>
      <c r="D360" s="3229">
        <v>1990</v>
      </c>
      <c r="E360" s="3229">
        <v>1950</v>
      </c>
      <c r="F360" s="3229">
        <v>500</v>
      </c>
      <c r="G360" s="3242">
        <v>1200</v>
      </c>
    </row>
    <row r="361" spans="1:7" s="3222" customFormat="1">
      <c r="A361" s="3229" t="s">
        <v>3169</v>
      </c>
      <c r="B361" s="3229" t="s">
        <v>153</v>
      </c>
      <c r="C361" s="3229">
        <v>2260</v>
      </c>
      <c r="D361" s="3229">
        <v>2220</v>
      </c>
      <c r="E361" s="3229">
        <v>2180</v>
      </c>
      <c r="F361" s="3229">
        <v>580</v>
      </c>
      <c r="G361" s="3242">
        <v>1340</v>
      </c>
    </row>
    <row r="362" spans="1:7" s="3222" customFormat="1">
      <c r="A362" s="3229" t="s">
        <v>3169</v>
      </c>
      <c r="B362" s="3229" t="s">
        <v>3173</v>
      </c>
      <c r="C362" s="3229">
        <v>2650</v>
      </c>
      <c r="D362" s="3229">
        <v>2610</v>
      </c>
      <c r="E362" s="3229">
        <v>2570</v>
      </c>
      <c r="F362" s="3229">
        <v>630</v>
      </c>
      <c r="G362" s="3242">
        <v>1570</v>
      </c>
    </row>
    <row r="363" spans="1:7" s="3222" customFormat="1">
      <c r="A363" s="3229" t="s">
        <v>3169</v>
      </c>
      <c r="B363" s="3229" t="s">
        <v>2894</v>
      </c>
      <c r="C363" s="3229">
        <v>2390</v>
      </c>
      <c r="D363" s="3229">
        <v>2360</v>
      </c>
      <c r="E363" s="3229">
        <v>2320</v>
      </c>
      <c r="F363" s="3229">
        <v>600</v>
      </c>
      <c r="G363" s="3242">
        <v>1420</v>
      </c>
    </row>
    <row r="364" spans="1:7" s="3222" customFormat="1">
      <c r="A364" s="3229" t="s">
        <v>3169</v>
      </c>
      <c r="B364" s="3229" t="s">
        <v>3174</v>
      </c>
      <c r="C364" s="3229">
        <v>2050</v>
      </c>
      <c r="D364" s="3229">
        <v>2030</v>
      </c>
      <c r="E364" s="3229">
        <v>1990</v>
      </c>
      <c r="F364" s="3229">
        <v>550</v>
      </c>
      <c r="G364" s="3242">
        <v>1220</v>
      </c>
    </row>
    <row r="365" spans="1:7" s="3222" customFormat="1">
      <c r="A365" s="3229" t="s">
        <v>3169</v>
      </c>
      <c r="B365" s="3229" t="s">
        <v>200</v>
      </c>
      <c r="C365" s="3229">
        <v>2140</v>
      </c>
      <c r="D365" s="3229">
        <v>2100</v>
      </c>
      <c r="E365" s="3229">
        <v>2060</v>
      </c>
      <c r="F365" s="3229">
        <v>540</v>
      </c>
      <c r="G365" s="3242">
        <v>1270</v>
      </c>
    </row>
    <row r="366" spans="1:7" s="3222" customFormat="1">
      <c r="A366" s="3229" t="s">
        <v>3169</v>
      </c>
      <c r="B366" s="3229" t="s">
        <v>2901</v>
      </c>
      <c r="C366" s="3229">
        <v>2410</v>
      </c>
      <c r="D366" s="3229">
        <v>2370</v>
      </c>
      <c r="E366" s="3229">
        <v>2330</v>
      </c>
      <c r="F366" s="3229">
        <v>570</v>
      </c>
      <c r="G366" s="3242">
        <v>1440</v>
      </c>
    </row>
    <row r="367" spans="1:7" s="3222" customFormat="1">
      <c r="A367" s="3229" t="s">
        <v>3169</v>
      </c>
      <c r="B367" s="3229" t="s">
        <v>3175</v>
      </c>
      <c r="C367" s="3229">
        <v>2300</v>
      </c>
      <c r="D367" s="3229">
        <v>2260</v>
      </c>
      <c r="E367" s="3229">
        <v>2220</v>
      </c>
      <c r="F367" s="3229">
        <v>560</v>
      </c>
      <c r="G367" s="3242">
        <v>1370</v>
      </c>
    </row>
    <row r="368" spans="1:7" s="3222" customFormat="1">
      <c r="A368" s="3229" t="s">
        <v>3169</v>
      </c>
      <c r="B368" s="3229" t="s">
        <v>3176</v>
      </c>
      <c r="C368" s="3229">
        <v>2430</v>
      </c>
      <c r="D368" s="3229">
        <v>2390</v>
      </c>
      <c r="E368" s="3229">
        <v>2350</v>
      </c>
      <c r="F368" s="3229">
        <v>570</v>
      </c>
      <c r="G368" s="3242">
        <v>1450</v>
      </c>
    </row>
    <row r="369" spans="1:7" s="3222" customFormat="1">
      <c r="A369" s="3229" t="s">
        <v>3169</v>
      </c>
      <c r="B369" s="3229" t="s">
        <v>214</v>
      </c>
      <c r="C369" s="3229">
        <v>2320</v>
      </c>
      <c r="D369" s="3229">
        <v>2290</v>
      </c>
      <c r="E369" s="3229">
        <v>2250</v>
      </c>
      <c r="F369" s="3229">
        <v>550</v>
      </c>
      <c r="G369" s="3242">
        <v>1380</v>
      </c>
    </row>
    <row r="370" spans="1:7" s="3222" customFormat="1">
      <c r="A370" s="3229" t="s">
        <v>3169</v>
      </c>
      <c r="B370" s="3229" t="s">
        <v>221</v>
      </c>
      <c r="C370" s="3229">
        <v>2190</v>
      </c>
      <c r="D370" s="3229">
        <v>2170</v>
      </c>
      <c r="E370" s="3229">
        <v>2130</v>
      </c>
      <c r="F370" s="3229">
        <v>530</v>
      </c>
      <c r="G370" s="3242">
        <v>1310</v>
      </c>
    </row>
    <row r="371" spans="1:7" s="3222" customFormat="1">
      <c r="A371" s="3229" t="s">
        <v>3169</v>
      </c>
      <c r="B371" s="3229" t="s">
        <v>229</v>
      </c>
      <c r="C371" s="3229">
        <v>2460</v>
      </c>
      <c r="D371" s="3229">
        <v>2420</v>
      </c>
      <c r="E371" s="3229">
        <v>2370</v>
      </c>
      <c r="F371" s="3229">
        <v>560</v>
      </c>
      <c r="G371" s="3242">
        <v>1470</v>
      </c>
    </row>
    <row r="372" spans="1:7" s="3222" customFormat="1">
      <c r="A372" s="3229" t="s">
        <v>3169</v>
      </c>
      <c r="B372" s="3229" t="s">
        <v>3177</v>
      </c>
      <c r="C372" s="3229">
        <v>2250</v>
      </c>
      <c r="D372" s="3229">
        <v>2210</v>
      </c>
      <c r="E372" s="3229">
        <v>2180</v>
      </c>
      <c r="F372" s="3229">
        <v>550</v>
      </c>
      <c r="G372" s="3242">
        <v>1340</v>
      </c>
    </row>
    <row r="373" spans="1:7" s="3222" customFormat="1">
      <c r="A373" s="3229" t="s">
        <v>3169</v>
      </c>
      <c r="B373" s="3229" t="s">
        <v>258</v>
      </c>
      <c r="C373" s="3229">
        <v>2210</v>
      </c>
      <c r="D373" s="3229">
        <v>2190</v>
      </c>
      <c r="E373" s="3229">
        <v>2150</v>
      </c>
      <c r="F373" s="3229">
        <v>530</v>
      </c>
      <c r="G373" s="3242">
        <v>1320</v>
      </c>
    </row>
    <row r="374" spans="1:7" s="3222" customFormat="1">
      <c r="A374" s="3229" t="s">
        <v>3169</v>
      </c>
      <c r="B374" s="3229" t="s">
        <v>266</v>
      </c>
      <c r="C374" s="3229">
        <v>2320</v>
      </c>
      <c r="D374" s="3229">
        <v>2280</v>
      </c>
      <c r="E374" s="3229">
        <v>2230</v>
      </c>
      <c r="F374" s="3229">
        <v>580</v>
      </c>
      <c r="G374" s="3242">
        <v>1380</v>
      </c>
    </row>
    <row r="375" spans="1:7" s="3222" customFormat="1">
      <c r="A375" s="3229" t="s">
        <v>3169</v>
      </c>
      <c r="B375" s="3229" t="s">
        <v>3178</v>
      </c>
      <c r="C375" s="3229">
        <v>2090</v>
      </c>
      <c r="D375" s="3229">
        <v>2050</v>
      </c>
      <c r="E375" s="3229">
        <v>2020</v>
      </c>
      <c r="F375" s="3229">
        <v>520</v>
      </c>
      <c r="G375" s="3242">
        <v>1240</v>
      </c>
    </row>
    <row r="376" spans="1:7" s="3222" customFormat="1">
      <c r="A376" s="3229" t="s">
        <v>3169</v>
      </c>
      <c r="B376" s="3229" t="s">
        <v>277</v>
      </c>
      <c r="C376" s="3229">
        <v>2010</v>
      </c>
      <c r="D376" s="3229">
        <v>1980</v>
      </c>
      <c r="E376" s="3229">
        <v>1940</v>
      </c>
      <c r="F376" s="3229">
        <v>540</v>
      </c>
      <c r="G376" s="3242">
        <v>1190</v>
      </c>
    </row>
    <row r="377" spans="1:7" s="3222" customFormat="1" ht="12" thickBot="1">
      <c r="A377" s="3237" t="s">
        <v>3169</v>
      </c>
      <c r="B377" s="3240" t="s">
        <v>2931</v>
      </c>
      <c r="C377" s="3240">
        <v>1930</v>
      </c>
      <c r="D377" s="3240">
        <v>1890</v>
      </c>
      <c r="E377" s="3240">
        <v>1860</v>
      </c>
      <c r="F377" s="3240">
        <v>530</v>
      </c>
      <c r="G377" s="3245">
        <v>1150</v>
      </c>
    </row>
    <row r="378" spans="1:7" s="3222" customFormat="1">
      <c r="A378" s="3246" t="s">
        <v>3179</v>
      </c>
      <c r="B378" s="3225" t="s">
        <v>3180</v>
      </c>
      <c r="C378" s="3225">
        <v>1520</v>
      </c>
      <c r="D378" s="3225">
        <v>1490</v>
      </c>
      <c r="E378" s="3225">
        <v>1460</v>
      </c>
      <c r="F378" s="3225">
        <v>460</v>
      </c>
      <c r="G378" s="3241">
        <v>940</v>
      </c>
    </row>
    <row r="379" spans="1:7" s="3222" customFormat="1">
      <c r="A379" s="3247" t="s">
        <v>3179</v>
      </c>
      <c r="B379" s="3229" t="s">
        <v>3181</v>
      </c>
      <c r="C379" s="3229">
        <v>1500</v>
      </c>
      <c r="D379" s="3229">
        <v>1470</v>
      </c>
      <c r="E379" s="3229">
        <v>1430</v>
      </c>
      <c r="F379" s="3229">
        <v>460</v>
      </c>
      <c r="G379" s="3242">
        <v>920</v>
      </c>
    </row>
    <row r="380" spans="1:7" s="3222" customFormat="1">
      <c r="A380" s="3247" t="s">
        <v>3179</v>
      </c>
      <c r="B380" s="3229" t="s">
        <v>3182</v>
      </c>
      <c r="C380" s="3229">
        <v>1620</v>
      </c>
      <c r="D380" s="3229">
        <v>1590</v>
      </c>
      <c r="E380" s="3229">
        <v>1560</v>
      </c>
      <c r="F380" s="3229">
        <v>480</v>
      </c>
      <c r="G380" s="3242">
        <v>1000</v>
      </c>
    </row>
    <row r="381" spans="1:7" s="3222" customFormat="1">
      <c r="A381" s="3247" t="s">
        <v>3179</v>
      </c>
      <c r="B381" s="3229" t="s">
        <v>3183</v>
      </c>
      <c r="C381" s="3229">
        <v>1460</v>
      </c>
      <c r="D381" s="3229">
        <v>1430</v>
      </c>
      <c r="E381" s="3229">
        <v>1390</v>
      </c>
      <c r="F381" s="3229">
        <v>450</v>
      </c>
      <c r="G381" s="3242">
        <v>900</v>
      </c>
    </row>
    <row r="382" spans="1:7" s="3222" customFormat="1">
      <c r="A382" s="3247" t="s">
        <v>3179</v>
      </c>
      <c r="B382" s="3229" t="s">
        <v>3184</v>
      </c>
      <c r="C382" s="3229">
        <v>1310</v>
      </c>
      <c r="D382" s="3229">
        <v>1280</v>
      </c>
      <c r="E382" s="3229">
        <v>1250</v>
      </c>
      <c r="F382" s="3229">
        <v>440</v>
      </c>
      <c r="G382" s="3242">
        <v>800</v>
      </c>
    </row>
    <row r="383" spans="1:7" s="3222" customFormat="1">
      <c r="A383" s="3247" t="s">
        <v>3179</v>
      </c>
      <c r="B383" s="3229" t="s">
        <v>3185</v>
      </c>
      <c r="C383" s="3229">
        <v>1260</v>
      </c>
      <c r="D383" s="3229">
        <v>1230</v>
      </c>
      <c r="E383" s="3229">
        <v>1200</v>
      </c>
      <c r="F383" s="3229">
        <v>420</v>
      </c>
      <c r="G383" s="3242">
        <v>770</v>
      </c>
    </row>
    <row r="384" spans="1:7" s="3222" customFormat="1" ht="12" thickBot="1">
      <c r="A384" s="3248" t="s">
        <v>3179</v>
      </c>
      <c r="B384" s="3236" t="s">
        <v>3186</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40" t="s">
        <v>3187</v>
      </c>
      <c r="B1" s="3840"/>
    </row>
    <row r="2" spans="1:7" ht="14.25" thickBot="1">
      <c r="A2" s="3251"/>
      <c r="B2" s="3251"/>
    </row>
    <row r="3" spans="1:7" ht="14.25" thickBot="1">
      <c r="A3" s="3251"/>
      <c r="B3" s="3251"/>
      <c r="C3" s="3252" t="s">
        <v>2813</v>
      </c>
      <c r="D3" s="3252" t="s">
        <v>2873</v>
      </c>
      <c r="E3" s="3252" t="s">
        <v>2815</v>
      </c>
      <c r="F3" s="3252" t="s">
        <v>2874</v>
      </c>
      <c r="G3" s="3252" t="s">
        <v>2633</v>
      </c>
    </row>
    <row r="4" spans="1:7" ht="14.25" thickBot="1">
      <c r="A4" s="3253" t="s">
        <v>2872</v>
      </c>
      <c r="B4" s="3254" t="s">
        <v>2878</v>
      </c>
      <c r="C4" s="3252"/>
      <c r="D4" s="3252"/>
      <c r="E4" s="3252"/>
      <c r="F4" s="3252"/>
      <c r="G4" s="3252"/>
    </row>
    <row r="5" spans="1:7">
      <c r="A5" s="3255" t="s">
        <v>2846</v>
      </c>
      <c r="B5" s="3256" t="s">
        <v>2860</v>
      </c>
      <c r="C5" s="3257">
        <v>9.8000000000000004E-2</v>
      </c>
      <c r="D5" s="3257">
        <v>8.6999999999999994E-2</v>
      </c>
      <c r="E5" s="3257">
        <v>8.6999999999999994E-2</v>
      </c>
      <c r="F5" s="3257">
        <v>9.8000000000000004E-2</v>
      </c>
      <c r="G5" s="3258">
        <v>9.5000000000000001E-2</v>
      </c>
    </row>
    <row r="6" spans="1:7">
      <c r="A6" s="3259" t="s">
        <v>144</v>
      </c>
      <c r="B6" s="3260" t="s">
        <v>2875</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2861</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2911</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2929</v>
      </c>
      <c r="C29" s="3269"/>
      <c r="D29" s="3265">
        <v>5.1999999999999998E-2</v>
      </c>
      <c r="E29" s="3265">
        <v>7.0000000000000007E-2</v>
      </c>
      <c r="F29" s="3269"/>
      <c r="G29" s="3267">
        <v>7.0999999999999994E-2</v>
      </c>
    </row>
    <row r="30" spans="1:7">
      <c r="A30" s="3270" t="s">
        <v>296</v>
      </c>
      <c r="B30" s="3256" t="s">
        <v>2862</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2848</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2932</v>
      </c>
      <c r="C50" s="3261">
        <v>9.8000000000000004E-2</v>
      </c>
      <c r="D50" s="3261">
        <v>7.2999999999999995E-2</v>
      </c>
      <c r="E50" s="3261">
        <v>7.0999999999999994E-2</v>
      </c>
      <c r="F50" s="3272"/>
      <c r="G50" s="3262">
        <v>7.2999999999999995E-2</v>
      </c>
    </row>
    <row r="51" spans="1:7">
      <c r="A51" s="3271" t="s">
        <v>296</v>
      </c>
      <c r="B51" s="3260" t="s">
        <v>2934</v>
      </c>
      <c r="C51" s="3261">
        <v>9.9000000000000005E-2</v>
      </c>
      <c r="D51" s="3261">
        <v>8.5000000000000006E-2</v>
      </c>
      <c r="E51" s="3261">
        <v>6.3E-2</v>
      </c>
      <c r="F51" s="3272"/>
      <c r="G51" s="3262">
        <v>9.6000000000000002E-2</v>
      </c>
    </row>
    <row r="52" spans="1:7">
      <c r="A52" s="3271" t="s">
        <v>296</v>
      </c>
      <c r="B52" s="3260" t="s">
        <v>2938</v>
      </c>
      <c r="C52" s="3261">
        <v>7.3999999999999996E-2</v>
      </c>
      <c r="D52" s="3261">
        <v>9.6000000000000002E-2</v>
      </c>
      <c r="E52" s="3261">
        <v>0.05</v>
      </c>
      <c r="F52" s="3272"/>
      <c r="G52" s="3262">
        <v>9.8000000000000004E-2</v>
      </c>
    </row>
    <row r="53" spans="1:7">
      <c r="A53" s="3271" t="s">
        <v>296</v>
      </c>
      <c r="B53" s="3260" t="s">
        <v>2943</v>
      </c>
      <c r="C53" s="3261">
        <v>8.5999999999999993E-2</v>
      </c>
      <c r="D53" s="3272"/>
      <c r="E53" s="3261">
        <v>9.1999999999999998E-2</v>
      </c>
      <c r="F53" s="3272"/>
      <c r="G53" s="3273"/>
    </row>
    <row r="54" spans="1:7" ht="14.25" thickBot="1">
      <c r="A54" s="3274" t="s">
        <v>296</v>
      </c>
      <c r="B54" s="3264" t="s">
        <v>2946</v>
      </c>
      <c r="C54" s="3265">
        <v>9.6000000000000002E-2</v>
      </c>
      <c r="D54" s="3266"/>
      <c r="E54" s="3275"/>
      <c r="F54" s="3266"/>
      <c r="G54" s="3276"/>
    </row>
    <row r="55" spans="1:7">
      <c r="A55" s="3270" t="s">
        <v>110</v>
      </c>
      <c r="B55" s="3256" t="s">
        <v>2863</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2944</v>
      </c>
      <c r="C78" s="3261">
        <v>0.1</v>
      </c>
      <c r="D78" s="3261">
        <v>8.5000000000000006E-2</v>
      </c>
      <c r="E78" s="3261">
        <v>9.6000000000000002E-2</v>
      </c>
      <c r="F78" s="3272"/>
      <c r="G78" s="3262">
        <v>9.6000000000000002E-2</v>
      </c>
    </row>
    <row r="79" spans="1:7">
      <c r="A79" s="3271" t="s">
        <v>110</v>
      </c>
      <c r="B79" s="3260" t="s">
        <v>2947</v>
      </c>
      <c r="C79" s="3261">
        <v>0.05</v>
      </c>
      <c r="D79" s="3261">
        <v>9.6000000000000002E-2</v>
      </c>
      <c r="E79" s="3261">
        <v>9.5000000000000001E-2</v>
      </c>
      <c r="F79" s="3272"/>
      <c r="G79" s="3262">
        <v>9.8000000000000004E-2</v>
      </c>
    </row>
    <row r="80" spans="1:7">
      <c r="A80" s="3271" t="s">
        <v>110</v>
      </c>
      <c r="B80" s="3260" t="s">
        <v>2951</v>
      </c>
      <c r="C80" s="3261">
        <v>8.5999999999999993E-2</v>
      </c>
      <c r="D80" s="3277"/>
      <c r="E80" s="3261">
        <v>0.1</v>
      </c>
      <c r="F80" s="3272"/>
      <c r="G80" s="3273"/>
    </row>
    <row r="81" spans="1:7">
      <c r="A81" s="3271" t="s">
        <v>110</v>
      </c>
      <c r="B81" s="3260" t="s">
        <v>2956</v>
      </c>
      <c r="C81" s="3261">
        <v>9.6000000000000002E-2</v>
      </c>
      <c r="D81" s="3272"/>
      <c r="E81" s="3261">
        <v>9.8000000000000004E-2</v>
      </c>
      <c r="F81" s="3272"/>
      <c r="G81" s="3273"/>
    </row>
    <row r="82" spans="1:7">
      <c r="A82" s="3271" t="s">
        <v>110</v>
      </c>
      <c r="B82" s="3260" t="s">
        <v>2963</v>
      </c>
      <c r="C82" s="3277"/>
      <c r="D82" s="3272"/>
      <c r="E82" s="3261">
        <v>7.6999999999999999E-2</v>
      </c>
      <c r="F82" s="3272"/>
      <c r="G82" s="3273"/>
    </row>
    <row r="83" spans="1:7">
      <c r="A83" s="3271" t="s">
        <v>110</v>
      </c>
      <c r="B83" s="3260" t="s">
        <v>2969</v>
      </c>
      <c r="C83" s="3272"/>
      <c r="D83" s="3272"/>
      <c r="E83" s="3272"/>
      <c r="F83" s="3261">
        <v>0.1</v>
      </c>
      <c r="G83" s="3278"/>
    </row>
    <row r="84" spans="1:7">
      <c r="A84" s="3271" t="s">
        <v>110</v>
      </c>
      <c r="B84" s="3260" t="s">
        <v>2976</v>
      </c>
      <c r="C84" s="3272"/>
      <c r="D84" s="3272"/>
      <c r="E84" s="3272"/>
      <c r="F84" s="3261">
        <v>0.1</v>
      </c>
      <c r="G84" s="3278"/>
    </row>
    <row r="85" spans="1:7">
      <c r="A85" s="3271" t="s">
        <v>110</v>
      </c>
      <c r="B85" s="3260" t="s">
        <v>2983</v>
      </c>
      <c r="C85" s="3272"/>
      <c r="D85" s="3272"/>
      <c r="E85" s="3272"/>
      <c r="F85" s="3261">
        <v>0.1</v>
      </c>
      <c r="G85" s="3278"/>
    </row>
    <row r="86" spans="1:7" ht="14.25" thickBot="1">
      <c r="A86" s="3274" t="s">
        <v>110</v>
      </c>
      <c r="B86" s="3264" t="s">
        <v>2988</v>
      </c>
      <c r="C86" s="3265">
        <v>9.8000000000000004E-2</v>
      </c>
      <c r="D86" s="3265">
        <v>9.8000000000000004E-2</v>
      </c>
      <c r="E86" s="3265">
        <v>9.6000000000000002E-2</v>
      </c>
      <c r="F86" s="3275"/>
      <c r="G86" s="3267">
        <v>0.1</v>
      </c>
    </row>
    <row r="87" spans="1:7">
      <c r="A87" s="3270" t="s">
        <v>303</v>
      </c>
      <c r="B87" s="3256" t="s">
        <v>2864</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2957</v>
      </c>
      <c r="C113" s="3261">
        <v>0.1</v>
      </c>
      <c r="D113" s="3261">
        <v>0.1</v>
      </c>
      <c r="E113" s="3272"/>
      <c r="F113" s="3272"/>
      <c r="G113" s="3262">
        <v>0.1</v>
      </c>
    </row>
    <row r="114" spans="1:7">
      <c r="A114" s="3271" t="s">
        <v>303</v>
      </c>
      <c r="B114" s="3260" t="s">
        <v>2964</v>
      </c>
      <c r="C114" s="3261">
        <v>9.7000000000000003E-2</v>
      </c>
      <c r="D114" s="3261">
        <v>9.7000000000000003E-2</v>
      </c>
      <c r="E114" s="3272"/>
      <c r="F114" s="3272"/>
      <c r="G114" s="3262">
        <v>9.9000000000000005E-2</v>
      </c>
    </row>
    <row r="115" spans="1:7">
      <c r="A115" s="3271" t="s">
        <v>303</v>
      </c>
      <c r="B115" s="3260" t="s">
        <v>2970</v>
      </c>
      <c r="C115" s="3261">
        <v>0.1</v>
      </c>
      <c r="D115" s="3261">
        <v>0.1</v>
      </c>
      <c r="E115" s="3272"/>
      <c r="F115" s="3272"/>
      <c r="G115" s="3262">
        <v>0.1</v>
      </c>
    </row>
    <row r="116" spans="1:7">
      <c r="A116" s="3271" t="s">
        <v>303</v>
      </c>
      <c r="B116" s="3260" t="s">
        <v>2977</v>
      </c>
      <c r="C116" s="3261">
        <v>0.1</v>
      </c>
      <c r="D116" s="3261">
        <v>0.1</v>
      </c>
      <c r="E116" s="3272"/>
      <c r="F116" s="3272"/>
      <c r="G116" s="3262">
        <v>0.1</v>
      </c>
    </row>
    <row r="117" spans="1:7">
      <c r="A117" s="3271" t="s">
        <v>303</v>
      </c>
      <c r="B117" s="3260" t="s">
        <v>2984</v>
      </c>
      <c r="C117" s="3261">
        <v>9.7000000000000003E-2</v>
      </c>
      <c r="D117" s="3261">
        <v>9.7000000000000003E-2</v>
      </c>
      <c r="E117" s="3272"/>
      <c r="F117" s="3272"/>
      <c r="G117" s="3262">
        <v>9.7000000000000003E-2</v>
      </c>
    </row>
    <row r="118" spans="1:7">
      <c r="A118" s="3271" t="s">
        <v>303</v>
      </c>
      <c r="B118" s="3260" t="s">
        <v>2989</v>
      </c>
      <c r="C118" s="3261">
        <v>0.1</v>
      </c>
      <c r="D118" s="3261">
        <v>0.1</v>
      </c>
      <c r="E118" s="3272"/>
      <c r="F118" s="3272"/>
      <c r="G118" s="3262">
        <v>0.1</v>
      </c>
    </row>
    <row r="119" spans="1:7">
      <c r="A119" s="3271" t="s">
        <v>303</v>
      </c>
      <c r="B119" s="3260" t="s">
        <v>2993</v>
      </c>
      <c r="C119" s="3261">
        <v>5.0999999999999997E-2</v>
      </c>
      <c r="D119" s="3261">
        <v>5.1999999999999998E-2</v>
      </c>
      <c r="E119" s="3272"/>
      <c r="F119" s="3277"/>
      <c r="G119" s="3262">
        <v>0.06</v>
      </c>
    </row>
    <row r="120" spans="1:7">
      <c r="A120" s="3271" t="s">
        <v>303</v>
      </c>
      <c r="B120" s="3260" t="s">
        <v>2997</v>
      </c>
      <c r="C120" s="3272"/>
      <c r="D120" s="3272"/>
      <c r="E120" s="3272"/>
      <c r="F120" s="3261">
        <v>0.1</v>
      </c>
      <c r="G120" s="3278"/>
    </row>
    <row r="121" spans="1:7">
      <c r="A121" s="3271" t="s">
        <v>303</v>
      </c>
      <c r="B121" s="3260" t="s">
        <v>3002</v>
      </c>
      <c r="C121" s="3272"/>
      <c r="D121" s="3272"/>
      <c r="E121" s="3272"/>
      <c r="F121" s="3261">
        <v>0.1</v>
      </c>
      <c r="G121" s="3278"/>
    </row>
    <row r="122" spans="1:7">
      <c r="A122" s="3271" t="s">
        <v>303</v>
      </c>
      <c r="B122" s="3260" t="s">
        <v>3007</v>
      </c>
      <c r="C122" s="3261">
        <v>0.1</v>
      </c>
      <c r="D122" s="3261">
        <v>0.1</v>
      </c>
      <c r="E122" s="3261">
        <v>9.8000000000000004E-2</v>
      </c>
      <c r="F122" s="3261">
        <v>0.1</v>
      </c>
      <c r="G122" s="3262">
        <v>0.1</v>
      </c>
    </row>
    <row r="123" spans="1:7">
      <c r="A123" s="3271" t="s">
        <v>303</v>
      </c>
      <c r="B123" s="3260" t="s">
        <v>3012</v>
      </c>
      <c r="C123" s="3261">
        <v>0.1</v>
      </c>
      <c r="D123" s="3261">
        <v>0.1</v>
      </c>
      <c r="E123" s="3261">
        <v>9.8000000000000004E-2</v>
      </c>
      <c r="F123" s="3261">
        <v>0.1</v>
      </c>
      <c r="G123" s="3262">
        <v>0.1</v>
      </c>
    </row>
    <row r="124" spans="1:7">
      <c r="A124" s="3271" t="s">
        <v>303</v>
      </c>
      <c r="B124" s="3260" t="s">
        <v>3017</v>
      </c>
      <c r="C124" s="3261">
        <v>0.1</v>
      </c>
      <c r="D124" s="3261">
        <v>0.1</v>
      </c>
      <c r="E124" s="3261">
        <v>9.8000000000000004E-2</v>
      </c>
      <c r="F124" s="3277"/>
      <c r="G124" s="3262">
        <v>0.1</v>
      </c>
    </row>
    <row r="125" spans="1:7">
      <c r="A125" s="3271" t="s">
        <v>303</v>
      </c>
      <c r="B125" s="3260" t="s">
        <v>3022</v>
      </c>
      <c r="C125" s="3261">
        <v>9.8000000000000004E-2</v>
      </c>
      <c r="D125" s="3261">
        <v>9.8000000000000004E-2</v>
      </c>
      <c r="E125" s="3261">
        <v>9.6000000000000002E-2</v>
      </c>
      <c r="F125" s="3277"/>
      <c r="G125" s="3262">
        <v>0.1</v>
      </c>
    </row>
    <row r="126" spans="1:7" ht="14.25" thickBot="1">
      <c r="A126" s="3274" t="s">
        <v>303</v>
      </c>
      <c r="B126" s="3264" t="s">
        <v>3188</v>
      </c>
      <c r="C126" s="3265">
        <v>0.1</v>
      </c>
      <c r="D126" s="3265">
        <v>0.1</v>
      </c>
      <c r="E126" s="3265">
        <v>9.8000000000000004E-2</v>
      </c>
      <c r="F126" s="3265">
        <v>0.1</v>
      </c>
      <c r="G126" s="3267">
        <v>0.1</v>
      </c>
    </row>
    <row r="127" spans="1:7">
      <c r="A127" s="3270" t="s">
        <v>29</v>
      </c>
      <c r="B127" s="3256" t="s">
        <v>2865</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2935</v>
      </c>
      <c r="C148" s="3261">
        <v>0.13</v>
      </c>
      <c r="D148" s="3261">
        <v>0.13</v>
      </c>
      <c r="E148" s="3261">
        <v>0.13</v>
      </c>
      <c r="F148" s="3272"/>
      <c r="G148" s="3262">
        <v>0.13</v>
      </c>
    </row>
    <row r="149" spans="1:7">
      <c r="A149" s="3271" t="s">
        <v>29</v>
      </c>
      <c r="B149" s="3260" t="s">
        <v>2939</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2958</v>
      </c>
      <c r="C153" s="3261">
        <v>0.13</v>
      </c>
      <c r="D153" s="3261">
        <v>0.13</v>
      </c>
      <c r="E153" s="3261">
        <v>0.13</v>
      </c>
      <c r="F153" s="3261">
        <v>0.13</v>
      </c>
      <c r="G153" s="3262">
        <v>0.13</v>
      </c>
    </row>
    <row r="154" spans="1:7">
      <c r="A154" s="3271" t="s">
        <v>29</v>
      </c>
      <c r="B154" s="3260" t="s">
        <v>2965</v>
      </c>
      <c r="C154" s="3261">
        <v>0.121</v>
      </c>
      <c r="D154" s="3261">
        <v>0.121</v>
      </c>
      <c r="E154" s="3261">
        <v>0.105</v>
      </c>
      <c r="F154" s="3261">
        <v>0.121</v>
      </c>
      <c r="G154" s="3262">
        <v>0.123</v>
      </c>
    </row>
    <row r="155" spans="1:7">
      <c r="A155" s="3271" t="s">
        <v>29</v>
      </c>
      <c r="B155" s="3260" t="s">
        <v>2971</v>
      </c>
      <c r="C155" s="3261">
        <v>0.1</v>
      </c>
      <c r="D155" s="3261">
        <v>0.1</v>
      </c>
      <c r="E155" s="3261">
        <v>0.1</v>
      </c>
      <c r="F155" s="3261">
        <v>0.1</v>
      </c>
      <c r="G155" s="3262">
        <v>0.1</v>
      </c>
    </row>
    <row r="156" spans="1:7">
      <c r="A156" s="3271" t="s">
        <v>29</v>
      </c>
      <c r="B156" s="3260" t="s">
        <v>2978</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2998</v>
      </c>
      <c r="C160" s="3261">
        <v>0.13</v>
      </c>
      <c r="D160" s="3261">
        <v>0.13</v>
      </c>
      <c r="E160" s="3261">
        <v>0.124</v>
      </c>
      <c r="F160" s="3261">
        <v>0.126</v>
      </c>
      <c r="G160" s="3262">
        <v>0.13</v>
      </c>
    </row>
    <row r="161" spans="1:7">
      <c r="A161" s="3271" t="s">
        <v>29</v>
      </c>
      <c r="B161" s="3260" t="s">
        <v>3003</v>
      </c>
      <c r="C161" s="3261">
        <v>0.13</v>
      </c>
      <c r="D161" s="3261">
        <v>0.13</v>
      </c>
      <c r="E161" s="3261">
        <v>0.124</v>
      </c>
      <c r="F161" s="3261">
        <v>0.127</v>
      </c>
      <c r="G161" s="3262">
        <v>0.13</v>
      </c>
    </row>
    <row r="162" spans="1:7">
      <c r="A162" s="3271" t="s">
        <v>29</v>
      </c>
      <c r="B162" s="3260" t="s">
        <v>3008</v>
      </c>
      <c r="C162" s="3261">
        <v>0.1</v>
      </c>
      <c r="D162" s="3261">
        <v>0.1</v>
      </c>
      <c r="E162" s="3261">
        <v>0.1</v>
      </c>
      <c r="F162" s="3261">
        <v>0.121</v>
      </c>
      <c r="G162" s="3262">
        <v>0.105</v>
      </c>
    </row>
    <row r="163" spans="1:7">
      <c r="A163" s="3271" t="s">
        <v>29</v>
      </c>
      <c r="B163" s="3260" t="s">
        <v>3013</v>
      </c>
      <c r="C163" s="3261">
        <v>0.1</v>
      </c>
      <c r="D163" s="3261">
        <v>0.1</v>
      </c>
      <c r="E163" s="3261">
        <v>0.1</v>
      </c>
      <c r="F163" s="3261">
        <v>0.1</v>
      </c>
      <c r="G163" s="3262">
        <v>0.1</v>
      </c>
    </row>
    <row r="164" spans="1:7">
      <c r="A164" s="3271" t="s">
        <v>29</v>
      </c>
      <c r="B164" s="3260" t="s">
        <v>3018</v>
      </c>
      <c r="C164" s="3277"/>
      <c r="D164" s="3277"/>
      <c r="E164" s="3277"/>
      <c r="F164" s="3261">
        <v>0.1</v>
      </c>
      <c r="G164" s="3273"/>
    </row>
    <row r="165" spans="1:7">
      <c r="A165" s="3271" t="s">
        <v>29</v>
      </c>
      <c r="B165" s="3260" t="s">
        <v>3189</v>
      </c>
      <c r="C165" s="3261">
        <v>0.126</v>
      </c>
      <c r="D165" s="3261">
        <v>0.126</v>
      </c>
      <c r="E165" s="3261">
        <v>0.11899999999999999</v>
      </c>
      <c r="F165" s="3261">
        <v>0.13</v>
      </c>
      <c r="G165" s="3262">
        <v>0.128</v>
      </c>
    </row>
    <row r="166" spans="1:7">
      <c r="A166" s="3271" t="s">
        <v>29</v>
      </c>
      <c r="B166" s="3260" t="s">
        <v>3028</v>
      </c>
      <c r="C166" s="3261">
        <v>0.129</v>
      </c>
      <c r="D166" s="3261">
        <v>0.129</v>
      </c>
      <c r="E166" s="3261">
        <v>0.123</v>
      </c>
      <c r="F166" s="3261">
        <v>0.128</v>
      </c>
      <c r="G166" s="3262">
        <v>0.13</v>
      </c>
    </row>
    <row r="167" spans="1:7">
      <c r="A167" s="3271" t="s">
        <v>29</v>
      </c>
      <c r="B167" s="3260" t="s">
        <v>3032</v>
      </c>
      <c r="C167" s="3261">
        <v>0.125</v>
      </c>
      <c r="D167" s="3261">
        <v>0.125</v>
      </c>
      <c r="E167" s="3261">
        <v>0.11700000000000001</v>
      </c>
      <c r="F167" s="3261">
        <v>0.13</v>
      </c>
      <c r="G167" s="3262">
        <v>0.126</v>
      </c>
    </row>
    <row r="168" spans="1:7">
      <c r="A168" s="3271" t="s">
        <v>29</v>
      </c>
      <c r="B168" s="3260" t="s">
        <v>3037</v>
      </c>
      <c r="C168" s="3261">
        <v>0.128</v>
      </c>
      <c r="D168" s="3261">
        <v>0.128</v>
      </c>
      <c r="E168" s="3261">
        <v>0.123</v>
      </c>
      <c r="F168" s="3272"/>
      <c r="G168" s="3262">
        <v>0.13</v>
      </c>
    </row>
    <row r="169" spans="1:7">
      <c r="A169" s="3271" t="s">
        <v>29</v>
      </c>
      <c r="B169" s="3260" t="s">
        <v>3190</v>
      </c>
      <c r="C169" s="3277"/>
      <c r="D169" s="3277"/>
      <c r="E169" s="3277"/>
      <c r="F169" s="3261">
        <v>0.05</v>
      </c>
      <c r="G169" s="3273"/>
    </row>
    <row r="170" spans="1:7">
      <c r="A170" s="3271" t="s">
        <v>29</v>
      </c>
      <c r="B170" s="3260" t="s">
        <v>3191</v>
      </c>
      <c r="C170" s="3277"/>
      <c r="D170" s="3277"/>
      <c r="E170" s="3277"/>
      <c r="F170" s="3261">
        <v>0.05</v>
      </c>
      <c r="G170" s="3273"/>
    </row>
    <row r="171" spans="1:7">
      <c r="A171" s="3271" t="s">
        <v>29</v>
      </c>
      <c r="B171" s="3260" t="s">
        <v>3192</v>
      </c>
      <c r="C171" s="3277"/>
      <c r="D171" s="3277"/>
      <c r="E171" s="3277"/>
      <c r="F171" s="3261">
        <v>0.05</v>
      </c>
      <c r="G171" s="3278"/>
    </row>
    <row r="172" spans="1:7">
      <c r="A172" s="3271" t="s">
        <v>29</v>
      </c>
      <c r="B172" s="3260" t="s">
        <v>3193</v>
      </c>
      <c r="C172" s="3277"/>
      <c r="D172" s="3277"/>
      <c r="E172" s="3277"/>
      <c r="F172" s="3261">
        <v>0.05</v>
      </c>
      <c r="G172" s="3278"/>
    </row>
    <row r="173" spans="1:7">
      <c r="A173" s="3271" t="s">
        <v>29</v>
      </c>
      <c r="B173" s="3260" t="s">
        <v>3194</v>
      </c>
      <c r="C173" s="3277"/>
      <c r="D173" s="3277"/>
      <c r="E173" s="3277"/>
      <c r="F173" s="3261">
        <v>0.05</v>
      </c>
      <c r="G173" s="3273"/>
    </row>
    <row r="174" spans="1:7">
      <c r="A174" s="3271" t="s">
        <v>29</v>
      </c>
      <c r="B174" s="3260" t="s">
        <v>3195</v>
      </c>
      <c r="C174" s="3277"/>
      <c r="D174" s="3277"/>
      <c r="E174" s="3277"/>
      <c r="F174" s="3261">
        <v>0.05</v>
      </c>
      <c r="G174" s="3273"/>
    </row>
    <row r="175" spans="1:7">
      <c r="A175" s="3271" t="s">
        <v>29</v>
      </c>
      <c r="B175" s="3260" t="s">
        <v>3196</v>
      </c>
      <c r="C175" s="3277"/>
      <c r="D175" s="3277"/>
      <c r="E175" s="3277"/>
      <c r="F175" s="3261">
        <v>0.05</v>
      </c>
      <c r="G175" s="3273"/>
    </row>
    <row r="176" spans="1:7">
      <c r="A176" s="3271" t="s">
        <v>29</v>
      </c>
      <c r="B176" s="3260" t="s">
        <v>3197</v>
      </c>
      <c r="C176" s="3277"/>
      <c r="D176" s="3277"/>
      <c r="E176" s="3277"/>
      <c r="F176" s="3261">
        <v>0.05</v>
      </c>
      <c r="G176" s="3273"/>
    </row>
    <row r="177" spans="1:7">
      <c r="A177" s="3271" t="s">
        <v>29</v>
      </c>
      <c r="B177" s="3260" t="s">
        <v>3198</v>
      </c>
      <c r="C177" s="3272"/>
      <c r="D177" s="3272"/>
      <c r="E177" s="3272"/>
      <c r="F177" s="3261">
        <v>0.05</v>
      </c>
      <c r="G177" s="3278"/>
    </row>
    <row r="178" spans="1:7">
      <c r="A178" s="3271" t="s">
        <v>29</v>
      </c>
      <c r="B178" s="3260" t="s">
        <v>3199</v>
      </c>
      <c r="C178" s="3272"/>
      <c r="D178" s="3272"/>
      <c r="E178" s="3272"/>
      <c r="F178" s="3261">
        <v>0.05</v>
      </c>
      <c r="G178" s="3278"/>
    </row>
    <row r="179" spans="1:7">
      <c r="A179" s="3271" t="s">
        <v>29</v>
      </c>
      <c r="B179" s="3260" t="s">
        <v>3200</v>
      </c>
      <c r="C179" s="3272"/>
      <c r="D179" s="3272"/>
      <c r="E179" s="3272"/>
      <c r="F179" s="3261">
        <v>0.05</v>
      </c>
      <c r="G179" s="3278"/>
    </row>
    <row r="180" spans="1:7">
      <c r="A180" s="3271" t="s">
        <v>29</v>
      </c>
      <c r="B180" s="3260" t="s">
        <v>3201</v>
      </c>
      <c r="C180" s="3272"/>
      <c r="D180" s="3272"/>
      <c r="E180" s="3272"/>
      <c r="F180" s="3261">
        <v>0.05</v>
      </c>
      <c r="G180" s="3278"/>
    </row>
    <row r="181" spans="1:7">
      <c r="A181" s="3271" t="s">
        <v>29</v>
      </c>
      <c r="B181" s="3260" t="s">
        <v>3202</v>
      </c>
      <c r="C181" s="3272"/>
      <c r="D181" s="3272"/>
      <c r="E181" s="3272"/>
      <c r="F181" s="3261">
        <v>0.05</v>
      </c>
      <c r="G181" s="3278"/>
    </row>
    <row r="182" spans="1:7">
      <c r="A182" s="3271" t="s">
        <v>29</v>
      </c>
      <c r="B182" s="3260" t="s">
        <v>3203</v>
      </c>
      <c r="C182" s="3272"/>
      <c r="D182" s="3272"/>
      <c r="E182" s="3272"/>
      <c r="F182" s="3261">
        <v>0.05</v>
      </c>
      <c r="G182" s="3278"/>
    </row>
    <row r="183" spans="1:7">
      <c r="A183" s="3271" t="s">
        <v>29</v>
      </c>
      <c r="B183" s="3260" t="s">
        <v>3204</v>
      </c>
      <c r="C183" s="3272"/>
      <c r="D183" s="3272"/>
      <c r="E183" s="3272"/>
      <c r="F183" s="3261">
        <v>0.05</v>
      </c>
      <c r="G183" s="3278"/>
    </row>
    <row r="184" spans="1:7">
      <c r="A184" s="3271" t="s">
        <v>29</v>
      </c>
      <c r="B184" s="3260" t="s">
        <v>3205</v>
      </c>
      <c r="C184" s="3272"/>
      <c r="D184" s="3272"/>
      <c r="E184" s="3272"/>
      <c r="F184" s="3261">
        <v>0.05</v>
      </c>
      <c r="G184" s="3278"/>
    </row>
    <row r="185" spans="1:7">
      <c r="A185" s="3271" t="s">
        <v>29</v>
      </c>
      <c r="B185" s="3260" t="s">
        <v>3206</v>
      </c>
      <c r="C185" s="3272"/>
      <c r="D185" s="3272"/>
      <c r="E185" s="3272"/>
      <c r="F185" s="3261">
        <v>0.05</v>
      </c>
      <c r="G185" s="3278"/>
    </row>
    <row r="186" spans="1:7">
      <c r="A186" s="3271" t="s">
        <v>29</v>
      </c>
      <c r="B186" s="3260" t="s">
        <v>3207</v>
      </c>
      <c r="C186" s="3272"/>
      <c r="D186" s="3272"/>
      <c r="E186" s="3272"/>
      <c r="F186" s="3261">
        <v>0.05</v>
      </c>
      <c r="G186" s="3278"/>
    </row>
    <row r="187" spans="1:7">
      <c r="A187" s="3271" t="s">
        <v>29</v>
      </c>
      <c r="B187" s="3260" t="s">
        <v>3208</v>
      </c>
      <c r="C187" s="3272"/>
      <c r="D187" s="3272"/>
      <c r="E187" s="3272"/>
      <c r="F187" s="3261">
        <v>0.05</v>
      </c>
      <c r="G187" s="3278"/>
    </row>
    <row r="188" spans="1:7">
      <c r="A188" s="3271" t="s">
        <v>29</v>
      </c>
      <c r="B188" s="3260" t="s">
        <v>3209</v>
      </c>
      <c r="C188" s="3272"/>
      <c r="D188" s="3272"/>
      <c r="E188" s="3272"/>
      <c r="F188" s="3261">
        <v>0.05</v>
      </c>
      <c r="G188" s="3278"/>
    </row>
    <row r="189" spans="1:7" ht="14.25" thickBot="1">
      <c r="A189" s="3274" t="s">
        <v>29</v>
      </c>
      <c r="B189" s="3264" t="s">
        <v>3210</v>
      </c>
      <c r="C189" s="3266"/>
      <c r="D189" s="3266"/>
      <c r="E189" s="3266"/>
      <c r="F189" s="3265">
        <v>0.05</v>
      </c>
      <c r="G189" s="3279"/>
    </row>
    <row r="190" spans="1:7">
      <c r="A190" s="3270" t="s">
        <v>304</v>
      </c>
      <c r="B190" s="3256" t="s">
        <v>2866</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2902</v>
      </c>
      <c r="C199" s="3261">
        <v>0.13</v>
      </c>
      <c r="D199" s="3261">
        <v>0.13</v>
      </c>
      <c r="E199" s="3261">
        <v>0.13</v>
      </c>
      <c r="F199" s="3261">
        <v>0.13</v>
      </c>
      <c r="G199" s="3262">
        <v>0.13</v>
      </c>
    </row>
    <row r="200" spans="1:7">
      <c r="A200" s="3271" t="s">
        <v>304</v>
      </c>
      <c r="B200" s="3260" t="s">
        <v>2905</v>
      </c>
      <c r="C200" s="3277"/>
      <c r="D200" s="3277"/>
      <c r="E200" s="3277"/>
      <c r="F200" s="3261">
        <v>0.13</v>
      </c>
      <c r="G200" s="3273"/>
    </row>
    <row r="201" spans="1:7">
      <c r="A201" s="3271" t="s">
        <v>304</v>
      </c>
      <c r="B201" s="3260" t="s">
        <v>2910</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2913</v>
      </c>
      <c r="C203" s="3261">
        <v>0.129</v>
      </c>
      <c r="D203" s="3261">
        <v>0.129</v>
      </c>
      <c r="E203" s="3261">
        <v>0.13</v>
      </c>
      <c r="F203" s="3261">
        <v>0.13</v>
      </c>
      <c r="G203" s="3262">
        <v>0.13</v>
      </c>
    </row>
    <row r="204" spans="1:7">
      <c r="A204" s="3271" t="s">
        <v>304</v>
      </c>
      <c r="B204" s="3260" t="s">
        <v>2916</v>
      </c>
      <c r="C204" s="3261">
        <v>0.129</v>
      </c>
      <c r="D204" s="3261">
        <v>0.129</v>
      </c>
      <c r="E204" s="3261">
        <v>0.123</v>
      </c>
      <c r="F204" s="3261">
        <v>0.13</v>
      </c>
      <c r="G204" s="3262">
        <v>0.13</v>
      </c>
    </row>
    <row r="205" spans="1:7">
      <c r="A205" s="3271" t="s">
        <v>304</v>
      </c>
      <c r="B205" s="3260" t="s">
        <v>2918</v>
      </c>
      <c r="C205" s="3261">
        <v>0.13</v>
      </c>
      <c r="D205" s="3261">
        <v>0.13</v>
      </c>
      <c r="E205" s="3261">
        <v>0.13</v>
      </c>
      <c r="F205" s="3261">
        <v>0.13</v>
      </c>
      <c r="G205" s="3262">
        <v>0.13</v>
      </c>
    </row>
    <row r="206" spans="1:7">
      <c r="A206" s="3271" t="s">
        <v>304</v>
      </c>
      <c r="B206" s="3260" t="s">
        <v>2921</v>
      </c>
      <c r="C206" s="3261">
        <v>0.13</v>
      </c>
      <c r="D206" s="3261">
        <v>0.13</v>
      </c>
      <c r="E206" s="3261">
        <v>0.13</v>
      </c>
      <c r="F206" s="3261">
        <v>0.128</v>
      </c>
      <c r="G206" s="3262">
        <v>0.13</v>
      </c>
    </row>
    <row r="207" spans="1:7">
      <c r="A207" s="3271" t="s">
        <v>304</v>
      </c>
      <c r="B207" s="3260" t="s">
        <v>2923</v>
      </c>
      <c r="C207" s="3261">
        <v>0.13</v>
      </c>
      <c r="D207" s="3261">
        <v>0.13</v>
      </c>
      <c r="E207" s="3261">
        <v>0.13</v>
      </c>
      <c r="F207" s="3261">
        <v>0.13</v>
      </c>
      <c r="G207" s="3262">
        <v>0.13</v>
      </c>
    </row>
    <row r="208" spans="1:7">
      <c r="A208" s="3271" t="s">
        <v>304</v>
      </c>
      <c r="B208" s="3260" t="s">
        <v>2926</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2933</v>
      </c>
      <c r="C210" s="3261">
        <v>0.121</v>
      </c>
      <c r="D210" s="3261">
        <v>0.121</v>
      </c>
      <c r="E210" s="3261">
        <v>0.125</v>
      </c>
      <c r="F210" s="3261">
        <v>0.13</v>
      </c>
      <c r="G210" s="3262">
        <v>0.123</v>
      </c>
    </row>
    <row r="211" spans="1:7">
      <c r="A211" s="3271" t="s">
        <v>304</v>
      </c>
      <c r="B211" s="3260" t="s">
        <v>2936</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2948</v>
      </c>
      <c r="C214" s="3261">
        <v>0.128</v>
      </c>
      <c r="D214" s="3261">
        <v>0.128</v>
      </c>
      <c r="E214" s="3261">
        <v>0.13</v>
      </c>
      <c r="F214" s="3261">
        <v>0.13</v>
      </c>
      <c r="G214" s="3262">
        <v>0.13</v>
      </c>
    </row>
    <row r="215" spans="1:7">
      <c r="A215" s="3271" t="s">
        <v>304</v>
      </c>
      <c r="B215" s="3260" t="s">
        <v>2952</v>
      </c>
      <c r="C215" s="3261">
        <v>0.13</v>
      </c>
      <c r="D215" s="3261">
        <v>0.13</v>
      </c>
      <c r="E215" s="3261">
        <v>0.13</v>
      </c>
      <c r="F215" s="3261">
        <v>0.129</v>
      </c>
      <c r="G215" s="3262">
        <v>0.13</v>
      </c>
    </row>
    <row r="216" spans="1:7">
      <c r="A216" s="3271" t="s">
        <v>304</v>
      </c>
      <c r="B216" s="3260" t="s">
        <v>2959</v>
      </c>
      <c r="C216" s="3261">
        <v>0.13</v>
      </c>
      <c r="D216" s="3261">
        <v>0.13</v>
      </c>
      <c r="E216" s="3261">
        <v>0.13</v>
      </c>
      <c r="F216" s="3261">
        <v>0.13</v>
      </c>
      <c r="G216" s="3262">
        <v>0.13</v>
      </c>
    </row>
    <row r="217" spans="1:7">
      <c r="A217" s="3271" t="s">
        <v>304</v>
      </c>
      <c r="B217" s="3260" t="s">
        <v>2966</v>
      </c>
      <c r="C217" s="3261">
        <v>0.129</v>
      </c>
      <c r="D217" s="3261">
        <v>0.129</v>
      </c>
      <c r="E217" s="3261">
        <v>0.13</v>
      </c>
      <c r="F217" s="3261">
        <v>0.13</v>
      </c>
      <c r="G217" s="3262">
        <v>0.13</v>
      </c>
    </row>
    <row r="218" spans="1:7">
      <c r="A218" s="3271" t="s">
        <v>304</v>
      </c>
      <c r="B218" s="3260" t="s">
        <v>2972</v>
      </c>
      <c r="C218" s="3272"/>
      <c r="D218" s="3272"/>
      <c r="E218" s="3272"/>
      <c r="F218" s="3261">
        <v>0.05</v>
      </c>
      <c r="G218" s="3278"/>
    </row>
    <row r="219" spans="1:7">
      <c r="A219" s="3271" t="s">
        <v>304</v>
      </c>
      <c r="B219" s="3260" t="s">
        <v>2979</v>
      </c>
      <c r="C219" s="3272"/>
      <c r="D219" s="3272"/>
      <c r="E219" s="3272"/>
      <c r="F219" s="3261">
        <v>0.05</v>
      </c>
      <c r="G219" s="3278"/>
    </row>
    <row r="220" spans="1:7">
      <c r="A220" s="3271" t="s">
        <v>304</v>
      </c>
      <c r="B220" s="3260" t="s">
        <v>2985</v>
      </c>
      <c r="C220" s="3272"/>
      <c r="D220" s="3272"/>
      <c r="E220" s="3272"/>
      <c r="F220" s="3261">
        <v>0.05</v>
      </c>
      <c r="G220" s="3278"/>
    </row>
    <row r="221" spans="1:7">
      <c r="A221" s="3271" t="s">
        <v>304</v>
      </c>
      <c r="B221" s="3260" t="s">
        <v>2990</v>
      </c>
      <c r="C221" s="3272"/>
      <c r="D221" s="3272"/>
      <c r="E221" s="3272"/>
      <c r="F221" s="3261">
        <v>0.05</v>
      </c>
      <c r="G221" s="3278"/>
    </row>
    <row r="222" spans="1:7">
      <c r="A222" s="3271" t="s">
        <v>304</v>
      </c>
      <c r="B222" s="3260" t="s">
        <v>2994</v>
      </c>
      <c r="C222" s="3272"/>
      <c r="D222" s="3272"/>
      <c r="E222" s="3272"/>
      <c r="F222" s="3261">
        <v>0.05</v>
      </c>
      <c r="G222" s="3278"/>
    </row>
    <row r="223" spans="1:7">
      <c r="A223" s="3271" t="s">
        <v>304</v>
      </c>
      <c r="B223" s="3260" t="s">
        <v>2999</v>
      </c>
      <c r="C223" s="3272"/>
      <c r="D223" s="3272"/>
      <c r="E223" s="3272"/>
      <c r="F223" s="3261">
        <v>0.05</v>
      </c>
      <c r="G223" s="3278"/>
    </row>
    <row r="224" spans="1:7">
      <c r="A224" s="3271" t="s">
        <v>304</v>
      </c>
      <c r="B224" s="3260" t="s">
        <v>3004</v>
      </c>
      <c r="C224" s="3272"/>
      <c r="D224" s="3272"/>
      <c r="E224" s="3272"/>
      <c r="F224" s="3261">
        <v>0.05</v>
      </c>
      <c r="G224" s="3278"/>
    </row>
    <row r="225" spans="1:7">
      <c r="A225" s="3271" t="s">
        <v>304</v>
      </c>
      <c r="B225" s="3260" t="s">
        <v>3009</v>
      </c>
      <c r="C225" s="3272"/>
      <c r="D225" s="3272"/>
      <c r="E225" s="3272"/>
      <c r="F225" s="3261">
        <v>0.05</v>
      </c>
      <c r="G225" s="3278"/>
    </row>
    <row r="226" spans="1:7">
      <c r="A226" s="3271" t="s">
        <v>304</v>
      </c>
      <c r="B226" s="3260" t="s">
        <v>3211</v>
      </c>
      <c r="C226" s="3272"/>
      <c r="D226" s="3272"/>
      <c r="E226" s="3272"/>
      <c r="F226" s="3261">
        <v>0.05</v>
      </c>
      <c r="G226" s="3278"/>
    </row>
    <row r="227" spans="1:7">
      <c r="A227" s="3271" t="s">
        <v>304</v>
      </c>
      <c r="B227" s="3260" t="s">
        <v>3212</v>
      </c>
      <c r="C227" s="3272"/>
      <c r="D227" s="3272"/>
      <c r="E227" s="3272"/>
      <c r="F227" s="3261">
        <v>0.05</v>
      </c>
      <c r="G227" s="3278"/>
    </row>
    <row r="228" spans="1:7">
      <c r="A228" s="3271" t="s">
        <v>304</v>
      </c>
      <c r="B228" s="3260" t="s">
        <v>3213</v>
      </c>
      <c r="C228" s="3272"/>
      <c r="D228" s="3272"/>
      <c r="E228" s="3272"/>
      <c r="F228" s="3261">
        <v>0.05</v>
      </c>
      <c r="G228" s="3278"/>
    </row>
    <row r="229" spans="1:7">
      <c r="A229" s="3271" t="s">
        <v>304</v>
      </c>
      <c r="B229" s="3260" t="s">
        <v>3214</v>
      </c>
      <c r="C229" s="3272"/>
      <c r="D229" s="3272"/>
      <c r="E229" s="3272"/>
      <c r="F229" s="3261">
        <v>0.05</v>
      </c>
      <c r="G229" s="3278"/>
    </row>
    <row r="230" spans="1:7">
      <c r="A230" s="3271" t="s">
        <v>304</v>
      </c>
      <c r="B230" s="3260" t="s">
        <v>3215</v>
      </c>
      <c r="C230" s="3272"/>
      <c r="D230" s="3272"/>
      <c r="E230" s="3272"/>
      <c r="F230" s="3261">
        <v>0.05</v>
      </c>
      <c r="G230" s="3278"/>
    </row>
    <row r="231" spans="1:7">
      <c r="A231" s="3271" t="s">
        <v>304</v>
      </c>
      <c r="B231" s="3260" t="s">
        <v>3216</v>
      </c>
      <c r="C231" s="3272"/>
      <c r="D231" s="3272"/>
      <c r="E231" s="3272"/>
      <c r="F231" s="3261">
        <v>0.05</v>
      </c>
      <c r="G231" s="3278"/>
    </row>
    <row r="232" spans="1:7">
      <c r="A232" s="3271" t="s">
        <v>304</v>
      </c>
      <c r="B232" s="3260" t="s">
        <v>3217</v>
      </c>
      <c r="C232" s="3272"/>
      <c r="D232" s="3272"/>
      <c r="E232" s="3272"/>
      <c r="F232" s="3261">
        <v>0.05</v>
      </c>
      <c r="G232" s="3278"/>
    </row>
    <row r="233" spans="1:7" ht="14.25" thickBot="1">
      <c r="A233" s="3274" t="s">
        <v>304</v>
      </c>
      <c r="B233" s="3264" t="s">
        <v>3218</v>
      </c>
      <c r="C233" s="3266"/>
      <c r="D233" s="3266"/>
      <c r="E233" s="3266"/>
      <c r="F233" s="3265">
        <v>0.05</v>
      </c>
      <c r="G233" s="3279"/>
    </row>
    <row r="234" spans="1:7">
      <c r="A234" s="3270" t="s">
        <v>305</v>
      </c>
      <c r="B234" s="3256" t="s">
        <v>2867</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2887</v>
      </c>
      <c r="C238" s="3261">
        <v>0.14899999999999999</v>
      </c>
      <c r="D238" s="3261">
        <v>0.14899999999999999</v>
      </c>
      <c r="E238" s="3261">
        <v>0.15</v>
      </c>
      <c r="F238" s="3261">
        <v>0.15</v>
      </c>
      <c r="G238" s="3262">
        <v>0.15</v>
      </c>
    </row>
    <row r="239" spans="1:7">
      <c r="A239" s="3271" t="s">
        <v>305</v>
      </c>
      <c r="B239" s="3260" t="s">
        <v>2891</v>
      </c>
      <c r="C239" s="3261">
        <v>0.15</v>
      </c>
      <c r="D239" s="3261">
        <v>0.15</v>
      </c>
      <c r="E239" s="3261">
        <v>0.15</v>
      </c>
      <c r="F239" s="3261">
        <v>0.15</v>
      </c>
      <c r="G239" s="3262">
        <v>0.15</v>
      </c>
    </row>
    <row r="240" spans="1:7">
      <c r="A240" s="3271" t="s">
        <v>305</v>
      </c>
      <c r="B240" s="3260" t="s">
        <v>2896</v>
      </c>
      <c r="C240" s="3261">
        <v>0.15</v>
      </c>
      <c r="D240" s="3261">
        <v>0.15</v>
      </c>
      <c r="E240" s="3261">
        <v>0.15</v>
      </c>
      <c r="F240" s="3261">
        <v>0.15</v>
      </c>
      <c r="G240" s="3262">
        <v>0.15</v>
      </c>
    </row>
    <row r="241" spans="1:7">
      <c r="A241" s="3271" t="s">
        <v>305</v>
      </c>
      <c r="B241" s="3260" t="s">
        <v>2900</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2906</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2914</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2919</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2927</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2940</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2949</v>
      </c>
      <c r="C258" s="3261">
        <v>0.14299999999999999</v>
      </c>
      <c r="D258" s="3261">
        <v>0.14299999999999999</v>
      </c>
      <c r="E258" s="3261">
        <v>0.15</v>
      </c>
      <c r="F258" s="3261">
        <v>0.14799999999999999</v>
      </c>
      <c r="G258" s="3262">
        <v>0.14599999999999999</v>
      </c>
    </row>
    <row r="259" spans="1:7">
      <c r="A259" s="3271" t="s">
        <v>305</v>
      </c>
      <c r="B259" s="3260" t="s">
        <v>2953</v>
      </c>
      <c r="C259" s="3261">
        <v>0.14399999999999999</v>
      </c>
      <c r="D259" s="3261">
        <v>0.14399999999999999</v>
      </c>
      <c r="E259" s="3261">
        <v>0.14899999999999999</v>
      </c>
      <c r="F259" s="3261">
        <v>0.14699999999999999</v>
      </c>
      <c r="G259" s="3262">
        <v>0.14599999999999999</v>
      </c>
    </row>
    <row r="260" spans="1:7">
      <c r="A260" s="3271" t="s">
        <v>305</v>
      </c>
      <c r="B260" s="3260" t="s">
        <v>2960</v>
      </c>
      <c r="C260" s="3261">
        <v>0.109</v>
      </c>
      <c r="D260" s="3261">
        <v>0.111</v>
      </c>
      <c r="E260" s="3261">
        <v>0.13100000000000001</v>
      </c>
      <c r="F260" s="3261">
        <v>0.126</v>
      </c>
      <c r="G260" s="3262">
        <v>0.11899999999999999</v>
      </c>
    </row>
    <row r="261" spans="1:7">
      <c r="A261" s="3271" t="s">
        <v>305</v>
      </c>
      <c r="B261" s="3260" t="s">
        <v>2967</v>
      </c>
      <c r="C261" s="3261">
        <v>0.1</v>
      </c>
      <c r="D261" s="3261">
        <v>0.1</v>
      </c>
      <c r="E261" s="3261">
        <v>0.11799999999999999</v>
      </c>
      <c r="F261" s="3261">
        <v>0.108</v>
      </c>
      <c r="G261" s="3262">
        <v>0.107</v>
      </c>
    </row>
    <row r="262" spans="1:7">
      <c r="A262" s="3271" t="s">
        <v>305</v>
      </c>
      <c r="B262" s="3260" t="s">
        <v>2973</v>
      </c>
      <c r="C262" s="3261">
        <v>0.1</v>
      </c>
      <c r="D262" s="3261">
        <v>0.1</v>
      </c>
      <c r="E262" s="3261">
        <v>0.1</v>
      </c>
      <c r="F262" s="3261">
        <v>0.14099999999999999</v>
      </c>
      <c r="G262" s="3262">
        <v>0.1</v>
      </c>
    </row>
    <row r="263" spans="1:7">
      <c r="A263" s="3271" t="s">
        <v>305</v>
      </c>
      <c r="B263" s="3260" t="s">
        <v>2980</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2991</v>
      </c>
      <c r="C265" s="3272"/>
      <c r="D265" s="3272"/>
      <c r="E265" s="3272"/>
      <c r="F265" s="3261">
        <v>0.05</v>
      </c>
      <c r="G265" s="3278"/>
    </row>
    <row r="266" spans="1:7">
      <c r="A266" s="3271" t="s">
        <v>305</v>
      </c>
      <c r="B266" s="3260" t="s">
        <v>2995</v>
      </c>
      <c r="C266" s="3272"/>
      <c r="D266" s="3272"/>
      <c r="E266" s="3272"/>
      <c r="F266" s="3261">
        <v>0.05</v>
      </c>
      <c r="G266" s="3278"/>
    </row>
    <row r="267" spans="1:7">
      <c r="A267" s="3271" t="s">
        <v>305</v>
      </c>
      <c r="B267" s="3260" t="s">
        <v>3000</v>
      </c>
      <c r="C267" s="3272"/>
      <c r="D267" s="3272"/>
      <c r="E267" s="3272"/>
      <c r="F267" s="3261">
        <v>0.05</v>
      </c>
      <c r="G267" s="3278"/>
    </row>
    <row r="268" spans="1:7">
      <c r="A268" s="3271" t="s">
        <v>305</v>
      </c>
      <c r="B268" s="3260" t="s">
        <v>3005</v>
      </c>
      <c r="C268" s="3272"/>
      <c r="D268" s="3272"/>
      <c r="E268" s="3272"/>
      <c r="F268" s="3261">
        <v>0.05</v>
      </c>
      <c r="G268" s="3278"/>
    </row>
    <row r="269" spans="1:7">
      <c r="A269" s="3271" t="s">
        <v>305</v>
      </c>
      <c r="B269" s="3260" t="s">
        <v>3010</v>
      </c>
      <c r="C269" s="3272"/>
      <c r="D269" s="3272"/>
      <c r="E269" s="3272"/>
      <c r="F269" s="3261">
        <v>0.05</v>
      </c>
      <c r="G269" s="3278"/>
    </row>
    <row r="270" spans="1:7">
      <c r="A270" s="3271" t="s">
        <v>305</v>
      </c>
      <c r="B270" s="3260" t="s">
        <v>3015</v>
      </c>
      <c r="C270" s="3272"/>
      <c r="D270" s="3272"/>
      <c r="E270" s="3272"/>
      <c r="F270" s="3261">
        <v>0.05</v>
      </c>
      <c r="G270" s="3278"/>
    </row>
    <row r="271" spans="1:7">
      <c r="A271" s="3271" t="s">
        <v>305</v>
      </c>
      <c r="B271" s="3260" t="s">
        <v>3219</v>
      </c>
      <c r="C271" s="3272"/>
      <c r="D271" s="3272"/>
      <c r="E271" s="3272"/>
      <c r="F271" s="3261">
        <v>0.05</v>
      </c>
      <c r="G271" s="3278"/>
    </row>
    <row r="272" spans="1:7">
      <c r="A272" s="3271" t="s">
        <v>305</v>
      </c>
      <c r="B272" s="3260" t="s">
        <v>3220</v>
      </c>
      <c r="C272" s="3272"/>
      <c r="D272" s="3272"/>
      <c r="E272" s="3272"/>
      <c r="F272" s="3261">
        <v>0.05</v>
      </c>
      <c r="G272" s="3278"/>
    </row>
    <row r="273" spans="1:7">
      <c r="A273" s="3271" t="s">
        <v>305</v>
      </c>
      <c r="B273" s="3260" t="s">
        <v>3221</v>
      </c>
      <c r="C273" s="3272"/>
      <c r="D273" s="3272"/>
      <c r="E273" s="3272"/>
      <c r="F273" s="3261">
        <v>0.05</v>
      </c>
      <c r="G273" s="3278"/>
    </row>
    <row r="274" spans="1:7">
      <c r="A274" s="3271" t="s">
        <v>305</v>
      </c>
      <c r="B274" s="3260" t="s">
        <v>3222</v>
      </c>
      <c r="C274" s="3272"/>
      <c r="D274" s="3272"/>
      <c r="E274" s="3272"/>
      <c r="F274" s="3261">
        <v>0.05</v>
      </c>
      <c r="G274" s="3278"/>
    </row>
    <row r="275" spans="1:7">
      <c r="A275" s="3271" t="s">
        <v>305</v>
      </c>
      <c r="B275" s="3260" t="s">
        <v>3223</v>
      </c>
      <c r="C275" s="3272"/>
      <c r="D275" s="3272"/>
      <c r="E275" s="3272"/>
      <c r="F275" s="3261">
        <v>0.05</v>
      </c>
      <c r="G275" s="3278"/>
    </row>
    <row r="276" spans="1:7" ht="14.25" thickBot="1">
      <c r="A276" s="3274" t="s">
        <v>305</v>
      </c>
      <c r="B276" s="3264" t="s">
        <v>3224</v>
      </c>
      <c r="C276" s="3266"/>
      <c r="D276" s="3266"/>
      <c r="E276" s="3266"/>
      <c r="F276" s="3265">
        <v>0.05</v>
      </c>
      <c r="G276" s="3279"/>
    </row>
    <row r="277" spans="1:7">
      <c r="A277" s="3270" t="s">
        <v>306</v>
      </c>
      <c r="B277" s="3256" t="s">
        <v>2868</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2880</v>
      </c>
      <c r="C279" s="3261">
        <v>0.15</v>
      </c>
      <c r="D279" s="3261">
        <v>0.15</v>
      </c>
      <c r="E279" s="3261">
        <v>0.15</v>
      </c>
      <c r="F279" s="3261">
        <v>0.15</v>
      </c>
      <c r="G279" s="3262">
        <v>0.15</v>
      </c>
    </row>
    <row r="280" spans="1:7">
      <c r="A280" s="3271" t="s">
        <v>306</v>
      </c>
      <c r="B280" s="3260" t="s">
        <v>2884</v>
      </c>
      <c r="C280" s="3261">
        <v>0.15</v>
      </c>
      <c r="D280" s="3261">
        <v>0.15</v>
      </c>
      <c r="E280" s="3261">
        <v>0.15</v>
      </c>
      <c r="F280" s="3261">
        <v>0.15</v>
      </c>
      <c r="G280" s="3262">
        <v>0.15</v>
      </c>
    </row>
    <row r="281" spans="1:7">
      <c r="A281" s="3271" t="s">
        <v>306</v>
      </c>
      <c r="B281" s="3260" t="s">
        <v>2888</v>
      </c>
      <c r="C281" s="3261">
        <v>0.15</v>
      </c>
      <c r="D281" s="3261">
        <v>0.15</v>
      </c>
      <c r="E281" s="3261">
        <v>0.15</v>
      </c>
      <c r="F281" s="3261">
        <v>0.15</v>
      </c>
      <c r="G281" s="3262">
        <v>0.15</v>
      </c>
    </row>
    <row r="282" spans="1:7">
      <c r="A282" s="3271" t="s">
        <v>306</v>
      </c>
      <c r="B282" s="3260" t="s">
        <v>2892</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2907</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2912</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2922</v>
      </c>
      <c r="C293" s="3261">
        <v>0.15</v>
      </c>
      <c r="D293" s="3261">
        <v>0.15</v>
      </c>
      <c r="E293" s="3261">
        <v>0.15</v>
      </c>
      <c r="F293" s="3261">
        <v>0.14499999999999999</v>
      </c>
      <c r="G293" s="3262">
        <v>0.15</v>
      </c>
    </row>
    <row r="294" spans="1:7">
      <c r="A294" s="3271" t="s">
        <v>306</v>
      </c>
      <c r="B294" s="3260" t="s">
        <v>2924</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2941</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2954</v>
      </c>
      <c r="C302" s="3261">
        <v>0.15</v>
      </c>
      <c r="D302" s="3261">
        <v>0.15</v>
      </c>
      <c r="E302" s="3261">
        <v>0.15</v>
      </c>
      <c r="F302" s="3261">
        <v>0.14699999999999999</v>
      </c>
      <c r="G302" s="3262">
        <v>0.15</v>
      </c>
    </row>
    <row r="303" spans="1:7">
      <c r="A303" s="3271" t="s">
        <v>306</v>
      </c>
      <c r="B303" s="3260" t="s">
        <v>2961</v>
      </c>
      <c r="C303" s="3261">
        <v>0.15</v>
      </c>
      <c r="D303" s="3261">
        <v>0.15</v>
      </c>
      <c r="E303" s="3261">
        <v>0.15</v>
      </c>
      <c r="F303" s="3261">
        <v>0.14199999999999999</v>
      </c>
      <c r="G303" s="3262">
        <v>0.15</v>
      </c>
    </row>
    <row r="304" spans="1:7">
      <c r="A304" s="3271" t="s">
        <v>306</v>
      </c>
      <c r="B304" s="3260" t="s">
        <v>2968</v>
      </c>
      <c r="C304" s="3261">
        <v>0.15</v>
      </c>
      <c r="D304" s="3261">
        <v>0.15</v>
      </c>
      <c r="E304" s="3261">
        <v>0.15</v>
      </c>
      <c r="F304" s="3261">
        <v>0.14499999999999999</v>
      </c>
      <c r="G304" s="3262">
        <v>0.15</v>
      </c>
    </row>
    <row r="305" spans="1:7">
      <c r="A305" s="3271" t="s">
        <v>306</v>
      </c>
      <c r="B305" s="3260" t="s">
        <v>2974</v>
      </c>
      <c r="C305" s="3261">
        <v>0.15</v>
      </c>
      <c r="D305" s="3261">
        <v>0.15</v>
      </c>
      <c r="E305" s="3261">
        <v>0.15</v>
      </c>
      <c r="F305" s="3261">
        <v>0.111</v>
      </c>
      <c r="G305" s="3262">
        <v>0.15</v>
      </c>
    </row>
    <row r="306" spans="1:7">
      <c r="A306" s="3271" t="s">
        <v>306</v>
      </c>
      <c r="B306" s="3260" t="s">
        <v>2981</v>
      </c>
      <c r="C306" s="3261">
        <v>0.15</v>
      </c>
      <c r="D306" s="3261">
        <v>0.15</v>
      </c>
      <c r="E306" s="3261">
        <v>0.15</v>
      </c>
      <c r="F306" s="3261">
        <v>0.126</v>
      </c>
      <c r="G306" s="3262">
        <v>0.15</v>
      </c>
    </row>
    <row r="307" spans="1:7">
      <c r="A307" s="3271" t="s">
        <v>306</v>
      </c>
      <c r="B307" s="3260" t="s">
        <v>2986</v>
      </c>
      <c r="C307" s="3261">
        <v>0.15</v>
      </c>
      <c r="D307" s="3261">
        <v>0.15</v>
      </c>
      <c r="E307" s="3261">
        <v>0.15</v>
      </c>
      <c r="F307" s="3261">
        <v>0.12</v>
      </c>
      <c r="G307" s="3262">
        <v>0.15</v>
      </c>
    </row>
    <row r="308" spans="1:7">
      <c r="A308" s="3271" t="s">
        <v>306</v>
      </c>
      <c r="B308" s="3260" t="s">
        <v>2992</v>
      </c>
      <c r="C308" s="3261">
        <v>0.15</v>
      </c>
      <c r="D308" s="3261">
        <v>0.15</v>
      </c>
      <c r="E308" s="3261">
        <v>0.15</v>
      </c>
      <c r="F308" s="3261">
        <v>0.13</v>
      </c>
      <c r="G308" s="3262">
        <v>0.15</v>
      </c>
    </row>
    <row r="309" spans="1:7">
      <c r="A309" s="3271" t="s">
        <v>306</v>
      </c>
      <c r="B309" s="3260" t="s">
        <v>2996</v>
      </c>
      <c r="C309" s="3261">
        <v>0.15</v>
      </c>
      <c r="D309" s="3261">
        <v>0.15</v>
      </c>
      <c r="E309" s="3261">
        <v>0.15</v>
      </c>
      <c r="F309" s="3261">
        <v>0.14099999999999999</v>
      </c>
      <c r="G309" s="3262">
        <v>0.15</v>
      </c>
    </row>
    <row r="310" spans="1:7">
      <c r="A310" s="3271" t="s">
        <v>306</v>
      </c>
      <c r="B310" s="3260" t="s">
        <v>3001</v>
      </c>
      <c r="C310" s="3261">
        <v>0.15</v>
      </c>
      <c r="D310" s="3261">
        <v>0.15</v>
      </c>
      <c r="E310" s="3261">
        <v>0.15</v>
      </c>
      <c r="F310" s="3261">
        <v>0.15</v>
      </c>
      <c r="G310" s="3262">
        <v>0.15</v>
      </c>
    </row>
    <row r="311" spans="1:7">
      <c r="A311" s="3271" t="s">
        <v>306</v>
      </c>
      <c r="B311" s="3260" t="s">
        <v>3006</v>
      </c>
      <c r="C311" s="3261">
        <v>0.13200000000000001</v>
      </c>
      <c r="D311" s="3261">
        <v>0.13300000000000001</v>
      </c>
      <c r="E311" s="3261">
        <v>0.14499999999999999</v>
      </c>
      <c r="F311" s="3261">
        <v>0.14199999999999999</v>
      </c>
      <c r="G311" s="3262">
        <v>0.14000000000000001</v>
      </c>
    </row>
    <row r="312" spans="1:7">
      <c r="A312" s="3271" t="s">
        <v>306</v>
      </c>
      <c r="B312" s="3260" t="s">
        <v>3011</v>
      </c>
      <c r="C312" s="3261">
        <v>0.13800000000000001</v>
      </c>
      <c r="D312" s="3261">
        <v>0.14000000000000001</v>
      </c>
      <c r="E312" s="3261">
        <v>0.14599999999999999</v>
      </c>
      <c r="F312" s="3261">
        <v>0.14899999999999999</v>
      </c>
      <c r="G312" s="3262">
        <v>0.14199999999999999</v>
      </c>
    </row>
    <row r="313" spans="1:7">
      <c r="A313" s="3271" t="s">
        <v>306</v>
      </c>
      <c r="B313" s="3260" t="s">
        <v>3016</v>
      </c>
      <c r="C313" s="3261">
        <v>0.125</v>
      </c>
      <c r="D313" s="3261">
        <v>0.127</v>
      </c>
      <c r="E313" s="3261">
        <v>0.14399999999999999</v>
      </c>
      <c r="F313" s="3261">
        <v>0.115</v>
      </c>
      <c r="G313" s="3262">
        <v>0.13600000000000001</v>
      </c>
    </row>
    <row r="314" spans="1:7">
      <c r="A314" s="3271" t="s">
        <v>306</v>
      </c>
      <c r="B314" s="3260" t="s">
        <v>3225</v>
      </c>
      <c r="C314" s="3277"/>
      <c r="D314" s="3277"/>
      <c r="E314" s="3277"/>
      <c r="F314" s="3261">
        <v>0.05</v>
      </c>
      <c r="G314" s="3278"/>
    </row>
    <row r="315" spans="1:7">
      <c r="A315" s="3271" t="s">
        <v>306</v>
      </c>
      <c r="B315" s="3260" t="s">
        <v>3226</v>
      </c>
      <c r="C315" s="3277"/>
      <c r="D315" s="3277"/>
      <c r="E315" s="3277"/>
      <c r="F315" s="3261">
        <v>0.05</v>
      </c>
      <c r="G315" s="3278"/>
    </row>
    <row r="316" spans="1:7">
      <c r="A316" s="3271" t="s">
        <v>306</v>
      </c>
      <c r="B316" s="3260" t="s">
        <v>3227</v>
      </c>
      <c r="C316" s="3272"/>
      <c r="D316" s="3272"/>
      <c r="E316" s="3272"/>
      <c r="F316" s="3261">
        <v>0.05</v>
      </c>
      <c r="G316" s="3278"/>
    </row>
    <row r="317" spans="1:7">
      <c r="A317" s="3271" t="s">
        <v>306</v>
      </c>
      <c r="B317" s="3260" t="s">
        <v>3228</v>
      </c>
      <c r="C317" s="3272"/>
      <c r="D317" s="3272"/>
      <c r="E317" s="3272"/>
      <c r="F317" s="3261">
        <v>0.05</v>
      </c>
      <c r="G317" s="3278"/>
    </row>
    <row r="318" spans="1:7">
      <c r="A318" s="3271" t="s">
        <v>306</v>
      </c>
      <c r="B318" s="3260" t="s">
        <v>3229</v>
      </c>
      <c r="C318" s="3272"/>
      <c r="D318" s="3272"/>
      <c r="E318" s="3272"/>
      <c r="F318" s="3261">
        <v>0.05</v>
      </c>
      <c r="G318" s="3278"/>
    </row>
    <row r="319" spans="1:7">
      <c r="A319" s="3271" t="s">
        <v>306</v>
      </c>
      <c r="B319" s="3260" t="s">
        <v>3230</v>
      </c>
      <c r="C319" s="3272"/>
      <c r="D319" s="3272"/>
      <c r="E319" s="3272"/>
      <c r="F319" s="3261">
        <v>0.05</v>
      </c>
      <c r="G319" s="3278"/>
    </row>
    <row r="320" spans="1:7">
      <c r="A320" s="3271" t="s">
        <v>306</v>
      </c>
      <c r="B320" s="3260" t="s">
        <v>3231</v>
      </c>
      <c r="C320" s="3272"/>
      <c r="D320" s="3272"/>
      <c r="E320" s="3272"/>
      <c r="F320" s="3261">
        <v>0.05</v>
      </c>
      <c r="G320" s="3278"/>
    </row>
    <row r="321" spans="1:7">
      <c r="A321" s="3271" t="s">
        <v>306</v>
      </c>
      <c r="B321" s="3260" t="s">
        <v>3232</v>
      </c>
      <c r="C321" s="3272"/>
      <c r="D321" s="3272"/>
      <c r="E321" s="3272"/>
      <c r="F321" s="3261">
        <v>0.05</v>
      </c>
      <c r="G321" s="3278"/>
    </row>
    <row r="322" spans="1:7">
      <c r="A322" s="3271" t="s">
        <v>306</v>
      </c>
      <c r="B322" s="3260" t="s">
        <v>3233</v>
      </c>
      <c r="C322" s="3272"/>
      <c r="D322" s="3272"/>
      <c r="E322" s="3272"/>
      <c r="F322" s="3261">
        <v>0.05</v>
      </c>
      <c r="G322" s="3278"/>
    </row>
    <row r="323" spans="1:7">
      <c r="A323" s="3271" t="s">
        <v>306</v>
      </c>
      <c r="B323" s="3260" t="s">
        <v>3234</v>
      </c>
      <c r="C323" s="3272"/>
      <c r="D323" s="3272"/>
      <c r="E323" s="3272"/>
      <c r="F323" s="3261">
        <v>0.05</v>
      </c>
      <c r="G323" s="3278"/>
    </row>
    <row r="324" spans="1:7">
      <c r="A324" s="3271" t="s">
        <v>306</v>
      </c>
      <c r="B324" s="3260" t="s">
        <v>3235</v>
      </c>
      <c r="C324" s="3272"/>
      <c r="D324" s="3272"/>
      <c r="E324" s="3272"/>
      <c r="F324" s="3261">
        <v>0.05</v>
      </c>
      <c r="G324" s="3278"/>
    </row>
    <row r="325" spans="1:7">
      <c r="A325" s="3271" t="s">
        <v>306</v>
      </c>
      <c r="B325" s="3260" t="s">
        <v>3236</v>
      </c>
      <c r="C325" s="3272"/>
      <c r="D325" s="3272"/>
      <c r="E325" s="3272"/>
      <c r="F325" s="3261">
        <v>0.05</v>
      </c>
      <c r="G325" s="3278"/>
    </row>
    <row r="326" spans="1:7" ht="14.25" thickBot="1">
      <c r="A326" s="3274" t="s">
        <v>306</v>
      </c>
      <c r="B326" s="3264" t="s">
        <v>3237</v>
      </c>
      <c r="C326" s="3266"/>
      <c r="D326" s="3266"/>
      <c r="E326" s="3266"/>
      <c r="F326" s="3265">
        <v>0.05</v>
      </c>
      <c r="G326" s="3279"/>
    </row>
    <row r="327" spans="1:7">
      <c r="A327" s="3270" t="s">
        <v>307</v>
      </c>
      <c r="B327" s="3256" t="s">
        <v>2869</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2881</v>
      </c>
      <c r="C329" s="3261">
        <v>0.15</v>
      </c>
      <c r="D329" s="3261">
        <v>0.15</v>
      </c>
      <c r="E329" s="3261">
        <v>0.15</v>
      </c>
      <c r="F329" s="3261">
        <v>0.15</v>
      </c>
      <c r="G329" s="3262">
        <v>0.15</v>
      </c>
    </row>
    <row r="330" spans="1:7">
      <c r="A330" s="3271" t="s">
        <v>307</v>
      </c>
      <c r="B330" s="3260" t="s">
        <v>2885</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2893</v>
      </c>
      <c r="C332" s="3261">
        <v>0.15</v>
      </c>
      <c r="D332" s="3261">
        <v>0.15</v>
      </c>
      <c r="E332" s="3261">
        <v>0.15</v>
      </c>
      <c r="F332" s="3261">
        <v>0.15</v>
      </c>
      <c r="G332" s="3262">
        <v>0.15</v>
      </c>
    </row>
    <row r="333" spans="1:7">
      <c r="A333" s="3271" t="s">
        <v>307</v>
      </c>
      <c r="B333" s="3260" t="s">
        <v>2897</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2903</v>
      </c>
      <c r="C336" s="3261">
        <v>0.15</v>
      </c>
      <c r="D336" s="3261">
        <v>0.15</v>
      </c>
      <c r="E336" s="3261">
        <v>0.15</v>
      </c>
      <c r="F336" s="3261">
        <v>0.14199999999999999</v>
      </c>
      <c r="G336" s="3262">
        <v>0.15</v>
      </c>
    </row>
    <row r="337" spans="1:7">
      <c r="A337" s="3271" t="s">
        <v>307</v>
      </c>
      <c r="B337" s="3260" t="s">
        <v>2908</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2915</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2920</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2928</v>
      </c>
      <c r="C345" s="3261">
        <v>0.15</v>
      </c>
      <c r="D345" s="3261">
        <v>0.15</v>
      </c>
      <c r="E345" s="3261">
        <v>0.15</v>
      </c>
      <c r="F345" s="3261">
        <v>0.13800000000000001</v>
      </c>
      <c r="G345" s="3262">
        <v>0.15</v>
      </c>
    </row>
    <row r="346" spans="1:7">
      <c r="A346" s="3271" t="s">
        <v>307</v>
      </c>
      <c r="B346" s="3260" t="s">
        <v>2930</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2937</v>
      </c>
      <c r="C348" s="3261">
        <v>0.15</v>
      </c>
      <c r="D348" s="3261">
        <v>0.15</v>
      </c>
      <c r="E348" s="3261">
        <v>0.15</v>
      </c>
      <c r="F348" s="3261">
        <v>0.14399999999999999</v>
      </c>
      <c r="G348" s="3262">
        <v>0.15</v>
      </c>
    </row>
    <row r="349" spans="1:7">
      <c r="A349" s="3271" t="s">
        <v>307</v>
      </c>
      <c r="B349" s="3260" t="s">
        <v>2942</v>
      </c>
      <c r="C349" s="3261">
        <v>0.15</v>
      </c>
      <c r="D349" s="3261">
        <v>0.15</v>
      </c>
      <c r="E349" s="3261">
        <v>0.15</v>
      </c>
      <c r="F349" s="3261">
        <v>0.15</v>
      </c>
      <c r="G349" s="3262">
        <v>0.15</v>
      </c>
    </row>
    <row r="350" spans="1:7">
      <c r="A350" s="3271" t="s">
        <v>307</v>
      </c>
      <c r="B350" s="3260" t="s">
        <v>2945</v>
      </c>
      <c r="C350" s="3261">
        <v>0.15</v>
      </c>
      <c r="D350" s="3261">
        <v>0.15</v>
      </c>
      <c r="E350" s="3261">
        <v>0.15</v>
      </c>
      <c r="F350" s="3261">
        <v>0.14699999999999999</v>
      </c>
      <c r="G350" s="3262">
        <v>0.15</v>
      </c>
    </row>
    <row r="351" spans="1:7">
      <c r="A351" s="3271" t="s">
        <v>307</v>
      </c>
      <c r="B351" s="3260" t="s">
        <v>2950</v>
      </c>
      <c r="C351" s="3261">
        <v>0.15</v>
      </c>
      <c r="D351" s="3261">
        <v>0.15</v>
      </c>
      <c r="E351" s="3261">
        <v>0.15</v>
      </c>
      <c r="F351" s="3261">
        <v>0.13</v>
      </c>
      <c r="G351" s="3262">
        <v>0.15</v>
      </c>
    </row>
    <row r="352" spans="1:7">
      <c r="A352" s="3271" t="s">
        <v>307</v>
      </c>
      <c r="B352" s="3260" t="s">
        <v>2955</v>
      </c>
      <c r="C352" s="3261">
        <v>0.15</v>
      </c>
      <c r="D352" s="3261">
        <v>0.15</v>
      </c>
      <c r="E352" s="3261">
        <v>0.15</v>
      </c>
      <c r="F352" s="3261">
        <v>0.14599999999999999</v>
      </c>
      <c r="G352" s="3262">
        <v>0.15</v>
      </c>
    </row>
    <row r="353" spans="1:7">
      <c r="A353" s="3271" t="s">
        <v>307</v>
      </c>
      <c r="B353" s="3260" t="s">
        <v>2962</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2975</v>
      </c>
      <c r="C355" s="3261">
        <v>0.15</v>
      </c>
      <c r="D355" s="3261">
        <v>0.15</v>
      </c>
      <c r="E355" s="3261">
        <v>0.15</v>
      </c>
      <c r="F355" s="3261">
        <v>0.15</v>
      </c>
      <c r="G355" s="3262">
        <v>0.15</v>
      </c>
    </row>
    <row r="356" spans="1:7">
      <c r="A356" s="3271" t="s">
        <v>307</v>
      </c>
      <c r="B356" s="3260" t="s">
        <v>2982</v>
      </c>
      <c r="C356" s="3261">
        <v>0.15</v>
      </c>
      <c r="D356" s="3261">
        <v>0.15</v>
      </c>
      <c r="E356" s="3261">
        <v>0.15</v>
      </c>
      <c r="F356" s="3261">
        <v>0.15</v>
      </c>
      <c r="G356" s="3262">
        <v>0.15</v>
      </c>
    </row>
    <row r="357" spans="1:7" ht="14.25" thickBot="1">
      <c r="A357" s="3274" t="s">
        <v>307</v>
      </c>
      <c r="B357" s="3264" t="s">
        <v>2987</v>
      </c>
      <c r="C357" s="3265">
        <v>0.126</v>
      </c>
      <c r="D357" s="3265">
        <v>0.127</v>
      </c>
      <c r="E357" s="3265">
        <v>0.14299999999999999</v>
      </c>
      <c r="F357" s="3265">
        <v>0.125</v>
      </c>
      <c r="G357" s="3267">
        <v>0.129</v>
      </c>
    </row>
    <row r="358" spans="1:7">
      <c r="A358" s="3270" t="s">
        <v>2856</v>
      </c>
      <c r="B358" s="3256" t="s">
        <v>2870</v>
      </c>
      <c r="C358" s="3257">
        <v>0.15</v>
      </c>
      <c r="D358" s="3257">
        <v>0.15</v>
      </c>
      <c r="E358" s="3257">
        <v>0.15</v>
      </c>
      <c r="F358" s="3257">
        <v>0.15</v>
      </c>
      <c r="G358" s="3258">
        <v>0.15</v>
      </c>
    </row>
    <row r="359" spans="1:7">
      <c r="A359" s="3271" t="s">
        <v>2856</v>
      </c>
      <c r="B359" s="3260" t="s">
        <v>2876</v>
      </c>
      <c r="C359" s="3261">
        <v>0.1</v>
      </c>
      <c r="D359" s="3261">
        <v>0.1</v>
      </c>
      <c r="E359" s="3261">
        <v>0.1</v>
      </c>
      <c r="F359" s="3261">
        <v>0.1</v>
      </c>
      <c r="G359" s="3262">
        <v>0.1</v>
      </c>
    </row>
    <row r="360" spans="1:7">
      <c r="A360" s="3271" t="s">
        <v>2856</v>
      </c>
      <c r="B360" s="3260" t="s">
        <v>2882</v>
      </c>
      <c r="C360" s="3261">
        <v>0.15</v>
      </c>
      <c r="D360" s="3261">
        <v>0.15</v>
      </c>
      <c r="E360" s="3261">
        <v>0.15</v>
      </c>
      <c r="F360" s="3261">
        <v>0.14899999999999999</v>
      </c>
      <c r="G360" s="3262">
        <v>0.15</v>
      </c>
    </row>
    <row r="361" spans="1:7">
      <c r="A361" s="3271" t="s">
        <v>2856</v>
      </c>
      <c r="B361" s="3260" t="s">
        <v>153</v>
      </c>
      <c r="C361" s="3261">
        <v>0.15</v>
      </c>
      <c r="D361" s="3261">
        <v>0.15</v>
      </c>
      <c r="E361" s="3261">
        <v>0.15</v>
      </c>
      <c r="F361" s="3261">
        <v>0.115</v>
      </c>
      <c r="G361" s="3262">
        <v>0.15</v>
      </c>
    </row>
    <row r="362" spans="1:7">
      <c r="A362" s="3271" t="s">
        <v>2856</v>
      </c>
      <c r="B362" s="3260" t="s">
        <v>2889</v>
      </c>
      <c r="C362" s="3261">
        <v>0.15</v>
      </c>
      <c r="D362" s="3261">
        <v>0.15</v>
      </c>
      <c r="E362" s="3261">
        <v>0.15</v>
      </c>
      <c r="F362" s="3261">
        <v>0.106</v>
      </c>
      <c r="G362" s="3262">
        <v>0.15</v>
      </c>
    </row>
    <row r="363" spans="1:7">
      <c r="A363" s="3271" t="s">
        <v>2856</v>
      </c>
      <c r="B363" s="3260" t="s">
        <v>2894</v>
      </c>
      <c r="C363" s="3261">
        <v>0.15</v>
      </c>
      <c r="D363" s="3261">
        <v>0.15</v>
      </c>
      <c r="E363" s="3261">
        <v>0.15</v>
      </c>
      <c r="F363" s="3261">
        <v>0.14699999999999999</v>
      </c>
      <c r="G363" s="3262">
        <v>0.15</v>
      </c>
    </row>
    <row r="364" spans="1:7">
      <c r="A364" s="3271" t="s">
        <v>2856</v>
      </c>
      <c r="B364" s="3260" t="s">
        <v>2898</v>
      </c>
      <c r="C364" s="3261">
        <v>0.15</v>
      </c>
      <c r="D364" s="3261">
        <v>0.15</v>
      </c>
      <c r="E364" s="3261">
        <v>0.15</v>
      </c>
      <c r="F364" s="3261">
        <v>0.14799999999999999</v>
      </c>
      <c r="G364" s="3262">
        <v>0.15</v>
      </c>
    </row>
    <row r="365" spans="1:7">
      <c r="A365" s="3271" t="s">
        <v>2856</v>
      </c>
      <c r="B365" s="3260" t="s">
        <v>200</v>
      </c>
      <c r="C365" s="3261">
        <v>0.15</v>
      </c>
      <c r="D365" s="3261">
        <v>0.15</v>
      </c>
      <c r="E365" s="3261">
        <v>0.15</v>
      </c>
      <c r="F365" s="3261">
        <v>0.15</v>
      </c>
      <c r="G365" s="3262">
        <v>0.15</v>
      </c>
    </row>
    <row r="366" spans="1:7">
      <c r="A366" s="3271" t="s">
        <v>2856</v>
      </c>
      <c r="B366" s="3260" t="s">
        <v>2901</v>
      </c>
      <c r="C366" s="3261">
        <v>0.15</v>
      </c>
      <c r="D366" s="3261">
        <v>0.15</v>
      </c>
      <c r="E366" s="3261">
        <v>0.15</v>
      </c>
      <c r="F366" s="3261">
        <v>0.15</v>
      </c>
      <c r="G366" s="3262">
        <v>0.15</v>
      </c>
    </row>
    <row r="367" spans="1:7">
      <c r="A367" s="3271" t="s">
        <v>2856</v>
      </c>
      <c r="B367" s="3260" t="s">
        <v>2904</v>
      </c>
      <c r="C367" s="3261">
        <v>0.15</v>
      </c>
      <c r="D367" s="3261">
        <v>0.15</v>
      </c>
      <c r="E367" s="3261">
        <v>0.15</v>
      </c>
      <c r="F367" s="3261">
        <v>0.14699999999999999</v>
      </c>
      <c r="G367" s="3262">
        <v>0.15</v>
      </c>
    </row>
    <row r="368" spans="1:7">
      <c r="A368" s="3271" t="s">
        <v>2856</v>
      </c>
      <c r="B368" s="3260" t="s">
        <v>2909</v>
      </c>
      <c r="C368" s="3261">
        <v>0.15</v>
      </c>
      <c r="D368" s="3261">
        <v>0.15</v>
      </c>
      <c r="E368" s="3261">
        <v>0.15</v>
      </c>
      <c r="F368" s="3261">
        <v>0.13600000000000001</v>
      </c>
      <c r="G368" s="3262">
        <v>0.15</v>
      </c>
    </row>
    <row r="369" spans="1:7">
      <c r="A369" s="3271" t="s">
        <v>2856</v>
      </c>
      <c r="B369" s="3260" t="s">
        <v>214</v>
      </c>
      <c r="C369" s="3261">
        <v>0.15</v>
      </c>
      <c r="D369" s="3261">
        <v>0.15</v>
      </c>
      <c r="E369" s="3261">
        <v>0.15</v>
      </c>
      <c r="F369" s="3261">
        <v>0.14399999999999999</v>
      </c>
      <c r="G369" s="3262">
        <v>0.15</v>
      </c>
    </row>
    <row r="370" spans="1:7">
      <c r="A370" s="3271" t="s">
        <v>2856</v>
      </c>
      <c r="B370" s="3260" t="s">
        <v>221</v>
      </c>
      <c r="C370" s="3261">
        <v>0.15</v>
      </c>
      <c r="D370" s="3261">
        <v>0.15</v>
      </c>
      <c r="E370" s="3261">
        <v>0.15</v>
      </c>
      <c r="F370" s="3261">
        <v>0.14599999999999999</v>
      </c>
      <c r="G370" s="3262">
        <v>0.15</v>
      </c>
    </row>
    <row r="371" spans="1:7">
      <c r="A371" s="3271" t="s">
        <v>2856</v>
      </c>
      <c r="B371" s="3260" t="s">
        <v>229</v>
      </c>
      <c r="C371" s="3261">
        <v>0.15</v>
      </c>
      <c r="D371" s="3261">
        <v>0.15</v>
      </c>
      <c r="E371" s="3261">
        <v>0.15</v>
      </c>
      <c r="F371" s="3261">
        <v>0.12</v>
      </c>
      <c r="G371" s="3262">
        <v>0.15</v>
      </c>
    </row>
    <row r="372" spans="1:7">
      <c r="A372" s="3271" t="s">
        <v>2856</v>
      </c>
      <c r="B372" s="3260" t="s">
        <v>2917</v>
      </c>
      <c r="C372" s="3261">
        <v>0.15</v>
      </c>
      <c r="D372" s="3261">
        <v>0.15</v>
      </c>
      <c r="E372" s="3261">
        <v>0.15</v>
      </c>
      <c r="F372" s="3261">
        <v>0.14299999999999999</v>
      </c>
      <c r="G372" s="3262">
        <v>0.15</v>
      </c>
    </row>
    <row r="373" spans="1:7">
      <c r="A373" s="3271" t="s">
        <v>2856</v>
      </c>
      <c r="B373" s="3260" t="s">
        <v>258</v>
      </c>
      <c r="C373" s="3261">
        <v>0.15</v>
      </c>
      <c r="D373" s="3261">
        <v>0.15</v>
      </c>
      <c r="E373" s="3261">
        <v>0.15</v>
      </c>
      <c r="F373" s="3261">
        <v>0.14599999999999999</v>
      </c>
      <c r="G373" s="3262">
        <v>0.15</v>
      </c>
    </row>
    <row r="374" spans="1:7">
      <c r="A374" s="3271" t="s">
        <v>2856</v>
      </c>
      <c r="B374" s="3260" t="s">
        <v>266</v>
      </c>
      <c r="C374" s="3261">
        <v>0.15</v>
      </c>
      <c r="D374" s="3261">
        <v>0.15</v>
      </c>
      <c r="E374" s="3261">
        <v>0.15</v>
      </c>
      <c r="F374" s="3261">
        <v>0.14399999999999999</v>
      </c>
      <c r="G374" s="3262">
        <v>0.15</v>
      </c>
    </row>
    <row r="375" spans="1:7">
      <c r="A375" s="3271" t="s">
        <v>2856</v>
      </c>
      <c r="B375" s="3260" t="s">
        <v>2925</v>
      </c>
      <c r="C375" s="3261">
        <v>0.15</v>
      </c>
      <c r="D375" s="3261">
        <v>0.15</v>
      </c>
      <c r="E375" s="3261">
        <v>0.15</v>
      </c>
      <c r="F375" s="3261">
        <v>0.13</v>
      </c>
      <c r="G375" s="3262">
        <v>0.15</v>
      </c>
    </row>
    <row r="376" spans="1:7">
      <c r="A376" s="3271" t="s">
        <v>2856</v>
      </c>
      <c r="B376" s="3260" t="s">
        <v>277</v>
      </c>
      <c r="C376" s="3261">
        <v>0.15</v>
      </c>
      <c r="D376" s="3261">
        <v>0.15</v>
      </c>
      <c r="E376" s="3261">
        <v>0.15</v>
      </c>
      <c r="F376" s="3261">
        <v>0.14199999999999999</v>
      </c>
      <c r="G376" s="3262">
        <v>0.15</v>
      </c>
    </row>
    <row r="377" spans="1:7" ht="14.25" thickBot="1">
      <c r="A377" s="3274" t="s">
        <v>2856</v>
      </c>
      <c r="B377" s="3264" t="s">
        <v>2931</v>
      </c>
      <c r="C377" s="3265">
        <v>0.15</v>
      </c>
      <c r="D377" s="3265">
        <v>0.15</v>
      </c>
      <c r="E377" s="3265">
        <v>0.15</v>
      </c>
      <c r="F377" s="3265">
        <v>0.14000000000000001</v>
      </c>
      <c r="G377" s="3267">
        <v>0.15</v>
      </c>
    </row>
    <row r="378" spans="1:7">
      <c r="A378" s="3270" t="s">
        <v>2857</v>
      </c>
      <c r="B378" s="3256" t="s">
        <v>2871</v>
      </c>
      <c r="C378" s="3257">
        <v>0.15</v>
      </c>
      <c r="D378" s="3257">
        <v>0.15</v>
      </c>
      <c r="E378" s="3257">
        <v>0.15</v>
      </c>
      <c r="F378" s="3257">
        <v>0.107</v>
      </c>
      <c r="G378" s="3258">
        <v>0.15</v>
      </c>
    </row>
    <row r="379" spans="1:7">
      <c r="A379" s="3271" t="s">
        <v>2857</v>
      </c>
      <c r="B379" s="3260" t="s">
        <v>2877</v>
      </c>
      <c r="C379" s="3261">
        <v>0.15</v>
      </c>
      <c r="D379" s="3261">
        <v>0.15</v>
      </c>
      <c r="E379" s="3261">
        <v>0.15</v>
      </c>
      <c r="F379" s="3261">
        <v>0.115</v>
      </c>
      <c r="G379" s="3262">
        <v>0.14899999999999999</v>
      </c>
    </row>
    <row r="380" spans="1:7">
      <c r="A380" s="3271" t="s">
        <v>2857</v>
      </c>
      <c r="B380" s="3260" t="s">
        <v>2883</v>
      </c>
      <c r="C380" s="3261">
        <v>0.15</v>
      </c>
      <c r="D380" s="3261">
        <v>0.15</v>
      </c>
      <c r="E380" s="3261">
        <v>0.15</v>
      </c>
      <c r="F380" s="3261">
        <v>0.1</v>
      </c>
      <c r="G380" s="3262">
        <v>0.14799999999999999</v>
      </c>
    </row>
    <row r="381" spans="1:7">
      <c r="A381" s="3271" t="s">
        <v>2857</v>
      </c>
      <c r="B381" s="3260" t="s">
        <v>2886</v>
      </c>
      <c r="C381" s="3261">
        <v>0.15</v>
      </c>
      <c r="D381" s="3261">
        <v>0.15</v>
      </c>
      <c r="E381" s="3261">
        <v>0.15</v>
      </c>
      <c r="F381" s="3261">
        <v>0.126</v>
      </c>
      <c r="G381" s="3262">
        <v>0.15</v>
      </c>
    </row>
    <row r="382" spans="1:7">
      <c r="A382" s="3271" t="s">
        <v>2857</v>
      </c>
      <c r="B382" s="3260" t="s">
        <v>2890</v>
      </c>
      <c r="C382" s="3261">
        <v>0.15</v>
      </c>
      <c r="D382" s="3261">
        <v>0.15</v>
      </c>
      <c r="E382" s="3261">
        <v>0.15</v>
      </c>
      <c r="F382" s="3261">
        <v>0.15</v>
      </c>
      <c r="G382" s="3262">
        <v>0.15</v>
      </c>
    </row>
    <row r="383" spans="1:7">
      <c r="A383" s="3271" t="s">
        <v>2857</v>
      </c>
      <c r="B383" s="3260" t="s">
        <v>2895</v>
      </c>
      <c r="C383" s="3261">
        <v>0.15</v>
      </c>
      <c r="D383" s="3261">
        <v>0.15</v>
      </c>
      <c r="E383" s="3261">
        <v>0.15</v>
      </c>
      <c r="F383" s="3261">
        <v>0.14699999999999999</v>
      </c>
      <c r="G383" s="3262">
        <v>0.15</v>
      </c>
    </row>
    <row r="384" spans="1:7" ht="14.25" thickBot="1">
      <c r="A384" s="3281" t="s">
        <v>2857</v>
      </c>
      <c r="B384" s="3282" t="s">
        <v>2899</v>
      </c>
      <c r="C384" s="3283">
        <v>0.15</v>
      </c>
      <c r="D384" s="3283">
        <v>0.15</v>
      </c>
      <c r="E384" s="3283">
        <v>0.15</v>
      </c>
      <c r="F384" s="3283">
        <v>0.15</v>
      </c>
      <c r="G384" s="3284">
        <v>0.15</v>
      </c>
    </row>
  </sheetData>
  <sheetProtection password="CEE9" sheet="1" objects="1" scenarios="1"/>
  <mergeCells count="1">
    <mergeCell ref="A1:B1"/>
  </mergeCells>
  <phoneticPr fontId="9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ht="15">
      <c r="A1" s="3841" t="s">
        <v>3238</v>
      </c>
      <c r="B1" s="3841"/>
      <c r="C1" s="3841"/>
      <c r="D1" s="3841"/>
      <c r="E1" s="3841"/>
      <c r="F1" s="3842"/>
    </row>
    <row r="2" spans="1:6" ht="15">
      <c r="A2" s="3287" t="s">
        <v>3239</v>
      </c>
      <c r="B2" s="3288"/>
      <c r="C2" s="3288"/>
      <c r="D2" s="3288"/>
      <c r="E2" s="3288"/>
      <c r="F2" s="3288"/>
    </row>
    <row r="3" spans="1:6" ht="15">
      <c r="A3" s="3287" t="s">
        <v>3240</v>
      </c>
      <c r="B3" s="3288"/>
      <c r="C3" s="3288"/>
      <c r="D3" s="3288"/>
      <c r="E3" s="3288"/>
      <c r="F3" s="3289" t="s">
        <v>3241</v>
      </c>
    </row>
    <row r="4" spans="1:6">
      <c r="A4" s="3290" t="s">
        <v>672</v>
      </c>
      <c r="B4" s="3290" t="s">
        <v>673</v>
      </c>
      <c r="C4" s="3290" t="s">
        <v>21</v>
      </c>
      <c r="D4" s="3290" t="s">
        <v>674</v>
      </c>
      <c r="E4" s="3290" t="s">
        <v>3</v>
      </c>
      <c r="F4" s="3290" t="s">
        <v>3242</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V41" sqref="V41"/>
    </sheetView>
  </sheetViews>
  <sheetFormatPr defaultRowHeight="13.5"/>
  <cols>
    <col min="1" max="1" width="13.875" customWidth="1"/>
    <col min="11" max="17" width="0" hidden="1" customWidth="1"/>
    <col min="25" max="30" width="0" hidden="1" customWidth="1"/>
  </cols>
  <sheetData>
    <row r="1" spans="1:30">
      <c r="A1" s="3217">
        <f>基准地价修正!G23</f>
        <v>45005</v>
      </c>
      <c r="B1" s="3206" t="s">
        <v>2844</v>
      </c>
      <c r="C1" s="3207"/>
      <c r="D1" s="3207"/>
      <c r="E1" s="3207"/>
      <c r="F1" s="3207"/>
      <c r="G1" s="3207"/>
      <c r="H1" s="3207"/>
      <c r="I1" s="3207"/>
      <c r="J1" s="3161"/>
      <c r="K1" s="3207" t="s">
        <v>454</v>
      </c>
      <c r="L1" s="3207"/>
      <c r="M1" s="3207"/>
      <c r="N1" s="3207"/>
      <c r="O1" s="3207"/>
      <c r="P1" s="3207"/>
      <c r="Q1" s="3161"/>
      <c r="R1" s="3843" t="s">
        <v>456</v>
      </c>
      <c r="S1" s="3844"/>
      <c r="T1" s="3844"/>
      <c r="U1" s="3844"/>
      <c r="V1" s="3844"/>
      <c r="W1" s="3844"/>
      <c r="X1" s="3161"/>
      <c r="Y1" s="3843" t="s">
        <v>457</v>
      </c>
      <c r="Z1" s="3844"/>
      <c r="AA1" s="3844"/>
      <c r="AB1" s="3844"/>
      <c r="AC1" s="3844"/>
      <c r="AD1" s="3844"/>
    </row>
    <row r="2" spans="1:30" s="3139" customFormat="1" ht="14.25" thickBot="1">
      <c r="B2" s="3140"/>
      <c r="C2" s="3141"/>
      <c r="D2" s="3142" t="s">
        <v>2812</v>
      </c>
      <c r="E2" s="3143" t="s">
        <v>2813</v>
      </c>
      <c r="F2" s="3143" t="s">
        <v>2814</v>
      </c>
      <c r="G2" s="3143" t="s">
        <v>2815</v>
      </c>
      <c r="H2" s="3143" t="s">
        <v>2816</v>
      </c>
      <c r="I2" s="3143" t="s">
        <v>2633</v>
      </c>
      <c r="J2" s="3144"/>
      <c r="K2" s="3142" t="s">
        <v>2812</v>
      </c>
      <c r="L2" s="3143" t="s">
        <v>2813</v>
      </c>
      <c r="M2" s="3143" t="s">
        <v>2814</v>
      </c>
      <c r="N2" s="3143" t="s">
        <v>2815</v>
      </c>
      <c r="O2" s="3143" t="s">
        <v>2817</v>
      </c>
      <c r="P2" s="3143" t="s">
        <v>2633</v>
      </c>
      <c r="Q2" s="3144"/>
      <c r="R2" s="3142" t="s">
        <v>2812</v>
      </c>
      <c r="S2" s="3143" t="s">
        <v>2813</v>
      </c>
      <c r="T2" s="3143" t="s">
        <v>2814</v>
      </c>
      <c r="U2" s="3143" t="s">
        <v>2818</v>
      </c>
      <c r="V2" s="3143" t="s">
        <v>2819</v>
      </c>
      <c r="W2" s="3143" t="s">
        <v>2633</v>
      </c>
      <c r="X2" s="3144"/>
      <c r="Y2" s="3142" t="s">
        <v>2812</v>
      </c>
      <c r="Z2" s="3143" t="s">
        <v>2813</v>
      </c>
      <c r="AA2" s="3143" t="s">
        <v>2814</v>
      </c>
      <c r="AB2" s="3143" t="s">
        <v>2820</v>
      </c>
      <c r="AC2" s="3143" t="s">
        <v>2819</v>
      </c>
      <c r="AD2" s="3143" t="s">
        <v>2633</v>
      </c>
    </row>
    <row r="3" spans="1:30" s="3157" customFormat="1" ht="12.75">
      <c r="A3" s="3145" t="s">
        <v>2821</v>
      </c>
      <c r="B3" s="3146"/>
      <c r="C3" s="3147"/>
      <c r="D3" s="3147">
        <f>ROUND(AVERAGEIF(D4:D16,"&lt;&gt;0"),2)</f>
        <v>0.81</v>
      </c>
      <c r="E3" s="3147">
        <f t="shared" ref="E3:H3" si="0">ROUND(AVERAGEIF(E4:E16,"&lt;&gt;0"),2)</f>
        <v>0.33</v>
      </c>
      <c r="F3" s="3147">
        <f t="shared" si="0"/>
        <v>0.15</v>
      </c>
      <c r="G3" s="3147">
        <f t="shared" si="0"/>
        <v>0.89</v>
      </c>
      <c r="H3" s="3147">
        <f t="shared" si="0"/>
        <v>0.66</v>
      </c>
      <c r="I3" s="3147">
        <f>F3</f>
        <v>0.15</v>
      </c>
      <c r="J3" s="3148"/>
      <c r="K3" s="3149">
        <f>ROUND(AVERAGEIF(K4:K16,"&lt;&gt;0"),4)</f>
        <v>8.0999999999999996E-3</v>
      </c>
      <c r="L3" s="3150">
        <f t="shared" ref="L3:O3" si="1">ROUND(AVERAGEIF(L4:L16,"&lt;&gt;0"),4)</f>
        <v>3.3E-3</v>
      </c>
      <c r="M3" s="3150">
        <f t="shared" si="1"/>
        <v>1.5E-3</v>
      </c>
      <c r="N3" s="3150">
        <f t="shared" si="1"/>
        <v>8.8999999999999999E-3</v>
      </c>
      <c r="O3" s="3150">
        <f t="shared" si="1"/>
        <v>6.6E-3</v>
      </c>
      <c r="P3" s="3150">
        <f>M3</f>
        <v>1.5E-3</v>
      </c>
      <c r="Q3" s="3148"/>
      <c r="R3" s="3151">
        <f>ROUND(SUMPRODUCT(PRODUCT(1+K4:K16)),4)</f>
        <v>1.0668</v>
      </c>
      <c r="S3" s="3152">
        <f t="shared" ref="S3:V3" si="2">ROUND(SUMPRODUCT(PRODUCT(1+L4:L16)),4)</f>
        <v>1.0266999999999999</v>
      </c>
      <c r="T3" s="3152">
        <f t="shared" si="2"/>
        <v>1.0119</v>
      </c>
      <c r="U3" s="3152">
        <f t="shared" si="2"/>
        <v>1.0734999999999999</v>
      </c>
      <c r="V3" s="3152">
        <f t="shared" si="2"/>
        <v>1.054</v>
      </c>
      <c r="W3" s="3151">
        <f>T3</f>
        <v>1.0119</v>
      </c>
      <c r="X3" s="3148"/>
      <c r="Y3" s="3153">
        <f>ROUND(AVERAGEIF(Y5:Y16,"&lt;&gt;0"),4)</f>
        <v>8.6999999999999994E-3</v>
      </c>
      <c r="Z3" s="3154">
        <f t="shared" ref="Z3:AC3" si="3">ROUND(AVERAGEIF(Z5:Z16,"&lt;&gt;0"),4)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3172" t="s">
        <v>3375</v>
      </c>
      <c r="B5" s="3173">
        <v>2023</v>
      </c>
      <c r="C5" s="3174">
        <v>4</v>
      </c>
      <c r="D5" s="3175">
        <v>0</v>
      </c>
      <c r="E5" s="3175">
        <v>0</v>
      </c>
      <c r="F5" s="3175">
        <v>0</v>
      </c>
      <c r="G5" s="3175">
        <v>0</v>
      </c>
      <c r="H5" s="3175">
        <v>0</v>
      </c>
      <c r="I5" s="3176">
        <f t="shared" ref="I5:I16" si="4">F5</f>
        <v>0</v>
      </c>
      <c r="J5" s="3177"/>
      <c r="K5" s="3178">
        <f t="shared" ref="K5:O16" si="5">D5/100</f>
        <v>0</v>
      </c>
      <c r="L5" s="3168">
        <f t="shared" si="5"/>
        <v>0</v>
      </c>
      <c r="M5" s="3168">
        <f t="shared" si="5"/>
        <v>0</v>
      </c>
      <c r="N5" s="3168">
        <f t="shared" si="5"/>
        <v>0</v>
      </c>
      <c r="O5" s="3168">
        <f t="shared" si="5"/>
        <v>0</v>
      </c>
      <c r="P5" s="3168">
        <f>M5</f>
        <v>0</v>
      </c>
      <c r="Q5" s="3177"/>
      <c r="R5" s="3179">
        <f>ROUND(IF(项目基本情况!$B$8="出让",SUMPRODUCT(PRODUCT(1+K5:$K$16)),SUMPRODUCT(PRODUCT(1+K5:$K$15))),4)</f>
        <v>1.0565</v>
      </c>
      <c r="S5" s="3179">
        <f>ROUND(IF(项目基本情况!$B$8="出让",SUMPRODUCT(PRODUCT(1+L5:$L$16)),SUMPRODUCT(PRODUCT(1+L5:$L$15))),4)</f>
        <v>1.0250999999999999</v>
      </c>
      <c r="T5" s="3179">
        <f>ROUND(IF(项目基本情况!$B$8="出让",SUMPRODUCT(PRODUCT(1+M5:$M$16)),SUMPRODUCT(PRODUCT(1+M5:$M$15))),4)</f>
        <v>1.0145</v>
      </c>
      <c r="U5" s="3179">
        <f>ROUND(IF(项目基本情况!$B$8="出让",SUMPRODUCT(PRODUCT(1+N5:$N$16)),SUMPRODUCT(PRODUCT(1+N5:$N$15))),4)</f>
        <v>1.0618000000000001</v>
      </c>
      <c r="V5" s="3179">
        <f>ROUND(IF(项目基本情况!$B$8="出让",SUMPRODUCT(PRODUCT(1+O5:$O$16)),SUMPRODUCT(PRODUCT(1+O5:$O$15))),4)</f>
        <v>1.0502</v>
      </c>
      <c r="W5" s="3179">
        <f>T5</f>
        <v>1.0145</v>
      </c>
      <c r="X5" s="3177"/>
      <c r="Y5" s="3180">
        <f>IF(D5=0,0,ROUND(AVERAGE(D5:D16)/100,4))</f>
        <v>0</v>
      </c>
      <c r="Z5" s="3180">
        <f t="shared" ref="Z5:AC5" si="6">IF(E5=0,0,ROUND(AVERAGE(E5:E16)/100,4))</f>
        <v>0</v>
      </c>
      <c r="AA5" s="3180">
        <f t="shared" si="6"/>
        <v>0</v>
      </c>
      <c r="AB5" s="3180">
        <f t="shared" si="6"/>
        <v>0</v>
      </c>
      <c r="AC5" s="3180">
        <f t="shared" si="6"/>
        <v>0</v>
      </c>
      <c r="AD5" s="3180">
        <f t="shared" ref="AD5:AD15" si="7">AA5</f>
        <v>0</v>
      </c>
    </row>
    <row r="6" spans="1:30" s="3181" customFormat="1" ht="12.75">
      <c r="A6" s="3172" t="s">
        <v>3376</v>
      </c>
      <c r="B6" s="3173">
        <v>2023</v>
      </c>
      <c r="C6" s="3174">
        <v>3</v>
      </c>
      <c r="D6" s="3175">
        <v>0</v>
      </c>
      <c r="E6" s="3175">
        <v>0</v>
      </c>
      <c r="F6" s="3175">
        <v>0</v>
      </c>
      <c r="G6" s="3175">
        <v>0</v>
      </c>
      <c r="H6" s="3175">
        <v>0</v>
      </c>
      <c r="I6" s="3176">
        <f t="shared" si="4"/>
        <v>0</v>
      </c>
      <c r="J6" s="3177"/>
      <c r="K6" s="3178">
        <f t="shared" ref="K6:K8" si="8">D6/100</f>
        <v>0</v>
      </c>
      <c r="L6" s="3168">
        <f t="shared" ref="L6:L8" si="9">E6/100</f>
        <v>0</v>
      </c>
      <c r="M6" s="3168">
        <f t="shared" ref="M6:M8" si="10">F6/100</f>
        <v>0</v>
      </c>
      <c r="N6" s="3168">
        <f t="shared" ref="N6:N8" si="11">G6/100</f>
        <v>0</v>
      </c>
      <c r="O6" s="3168">
        <f t="shared" ref="O6:O8" si="12">H6/100</f>
        <v>0</v>
      </c>
      <c r="P6" s="3168">
        <f t="shared" ref="P6:P8" si="13">M6</f>
        <v>0</v>
      </c>
      <c r="Q6" s="3177"/>
      <c r="R6" s="3179">
        <f>ROUND(IF(项目基本情况!$B$8="出让",SUMPRODUCT(PRODUCT(1+K6:$K$16)),SUMPRODUCT(PRODUCT(1+K6:$K$15))),4)</f>
        <v>1.0565</v>
      </c>
      <c r="S6" s="3179">
        <f>ROUND(IF(项目基本情况!$B$8="出让",SUMPRODUCT(PRODUCT(1+L6:$L$16)),SUMPRODUCT(PRODUCT(1+L6:$L$15))),4)</f>
        <v>1.0250999999999999</v>
      </c>
      <c r="T6" s="3179">
        <f>ROUND(IF(项目基本情况!$B$8="出让",SUMPRODUCT(PRODUCT(1+M6:$M$16)),SUMPRODUCT(PRODUCT(1+M6:$M$15))),4)</f>
        <v>1.0145</v>
      </c>
      <c r="U6" s="3179">
        <f>ROUND(IF(项目基本情况!$B$8="出让",SUMPRODUCT(PRODUCT(1+N6:$N$16)),SUMPRODUCT(PRODUCT(1+N6:$N$15))),4)</f>
        <v>1.0618000000000001</v>
      </c>
      <c r="V6" s="3179">
        <f>ROUND(IF(项目基本情况!$B$8="出让",SUMPRODUCT(PRODUCT(1+O6:$O$16)),SUMPRODUCT(PRODUCT(1+O6:$O$15))),4)</f>
        <v>1.0502</v>
      </c>
      <c r="W6" s="3179">
        <f t="shared" ref="W6:W8" si="14">T6</f>
        <v>1.0145</v>
      </c>
      <c r="X6" s="3177"/>
      <c r="Y6" s="3180"/>
      <c r="Z6" s="3180"/>
      <c r="AA6" s="3180"/>
      <c r="AB6" s="3180"/>
      <c r="AC6" s="3180"/>
      <c r="AD6" s="3180"/>
    </row>
    <row r="7" spans="1:30" s="3181" customFormat="1" ht="12.75">
      <c r="A7" s="3172" t="s">
        <v>3374</v>
      </c>
      <c r="B7" s="3173">
        <v>2023</v>
      </c>
      <c r="C7" s="3174">
        <v>2</v>
      </c>
      <c r="D7" s="3175">
        <v>0</v>
      </c>
      <c r="E7" s="3175">
        <v>0</v>
      </c>
      <c r="F7" s="3175">
        <v>0</v>
      </c>
      <c r="G7" s="3175">
        <v>0</v>
      </c>
      <c r="H7" s="3175">
        <v>0</v>
      </c>
      <c r="I7" s="3176">
        <f t="shared" si="4"/>
        <v>0</v>
      </c>
      <c r="J7" s="3177"/>
      <c r="K7" s="3178">
        <f t="shared" si="8"/>
        <v>0</v>
      </c>
      <c r="L7" s="3168">
        <f t="shared" si="9"/>
        <v>0</v>
      </c>
      <c r="M7" s="3168">
        <f t="shared" si="10"/>
        <v>0</v>
      </c>
      <c r="N7" s="3168">
        <f t="shared" si="11"/>
        <v>0</v>
      </c>
      <c r="O7" s="3168">
        <f t="shared" si="12"/>
        <v>0</v>
      </c>
      <c r="P7" s="3168">
        <f t="shared" si="13"/>
        <v>0</v>
      </c>
      <c r="Q7" s="3177"/>
      <c r="R7" s="3179">
        <f>ROUND(IF(项目基本情况!$B$8="出让",SUMPRODUCT(PRODUCT(1+K7:$K$16)),SUMPRODUCT(PRODUCT(1+K7:$K$15))),4)</f>
        <v>1.0565</v>
      </c>
      <c r="S7" s="3179">
        <f>ROUND(IF(项目基本情况!$B$8="出让",SUMPRODUCT(PRODUCT(1+L7:$L$16)),SUMPRODUCT(PRODUCT(1+L7:$L$15))),4)</f>
        <v>1.0250999999999999</v>
      </c>
      <c r="T7" s="3179">
        <f>ROUND(IF(项目基本情况!$B$8="出让",SUMPRODUCT(PRODUCT(1+M7:$M$16)),SUMPRODUCT(PRODUCT(1+M7:$M$15))),4)</f>
        <v>1.0145</v>
      </c>
      <c r="U7" s="3179">
        <f>ROUND(IF(项目基本情况!$B$8="出让",SUMPRODUCT(PRODUCT(1+N7:$N$16)),SUMPRODUCT(PRODUCT(1+N7:$N$15))),4)</f>
        <v>1.0618000000000001</v>
      </c>
      <c r="V7" s="3179">
        <f>ROUND(IF(项目基本情况!$B$8="出让",SUMPRODUCT(PRODUCT(1+O7:$O$16)),SUMPRODUCT(PRODUCT(1+O7:$O$15))),4)</f>
        <v>1.0502</v>
      </c>
      <c r="W7" s="3179">
        <f t="shared" si="14"/>
        <v>1.0145</v>
      </c>
      <c r="X7" s="3177"/>
      <c r="Y7" s="3180"/>
      <c r="Z7" s="3180"/>
      <c r="AA7" s="3180"/>
      <c r="AB7" s="3180"/>
      <c r="AC7" s="3180"/>
      <c r="AD7" s="3180"/>
    </row>
    <row r="8" spans="1:30" s="3181" customFormat="1" ht="12.75">
      <c r="A8" s="3172" t="s">
        <v>2822</v>
      </c>
      <c r="B8" s="3173">
        <v>2023</v>
      </c>
      <c r="C8" s="3174">
        <v>1</v>
      </c>
      <c r="D8" s="3175">
        <v>0</v>
      </c>
      <c r="E8" s="3175">
        <v>0</v>
      </c>
      <c r="F8" s="3175">
        <v>0</v>
      </c>
      <c r="G8" s="3175">
        <v>0</v>
      </c>
      <c r="H8" s="3175">
        <v>0</v>
      </c>
      <c r="I8" s="3176">
        <f t="shared" si="4"/>
        <v>0</v>
      </c>
      <c r="J8" s="3177"/>
      <c r="K8" s="3178">
        <f t="shared" si="8"/>
        <v>0</v>
      </c>
      <c r="L8" s="3168">
        <f t="shared" si="9"/>
        <v>0</v>
      </c>
      <c r="M8" s="3168">
        <f t="shared" si="10"/>
        <v>0</v>
      </c>
      <c r="N8" s="3168">
        <f t="shared" si="11"/>
        <v>0</v>
      </c>
      <c r="O8" s="3168">
        <f t="shared" si="12"/>
        <v>0</v>
      </c>
      <c r="P8" s="3168">
        <f t="shared" si="13"/>
        <v>0</v>
      </c>
      <c r="Q8" s="3177"/>
      <c r="R8" s="3179">
        <f>ROUND(IF(项目基本情况!$B$8="出让",SUMPRODUCT(PRODUCT(1+K8:$K$16)),SUMPRODUCT(PRODUCT(1+K8:$K$15))),4)</f>
        <v>1.0565</v>
      </c>
      <c r="S8" s="3179">
        <f>ROUND(IF(项目基本情况!$B$8="出让",SUMPRODUCT(PRODUCT(1+L8:$L$16)),SUMPRODUCT(PRODUCT(1+L8:$L$15))),4)</f>
        <v>1.0250999999999999</v>
      </c>
      <c r="T8" s="3179">
        <f>ROUND(IF(项目基本情况!$B$8="出让",SUMPRODUCT(PRODUCT(1+M8:$M$16)),SUMPRODUCT(PRODUCT(1+M8:$M$15))),4)</f>
        <v>1.0145</v>
      </c>
      <c r="U8" s="3179">
        <f>ROUND(IF(项目基本情况!$B$8="出让",SUMPRODUCT(PRODUCT(1+N8:$N$16)),SUMPRODUCT(PRODUCT(1+N8:$N$15))),4)</f>
        <v>1.0618000000000001</v>
      </c>
      <c r="V8" s="3179">
        <f>ROUND(IF(项目基本情况!$B$8="出让",SUMPRODUCT(PRODUCT(1+O8:$O$16)),SUMPRODUCT(PRODUCT(1+O8:$O$15))),4)</f>
        <v>1.0502</v>
      </c>
      <c r="W8" s="3179">
        <f t="shared" si="14"/>
        <v>1.0145</v>
      </c>
      <c r="X8" s="3177"/>
      <c r="Y8" s="3180"/>
      <c r="Z8" s="3180"/>
      <c r="AA8" s="3180"/>
      <c r="AB8" s="3180"/>
      <c r="AC8" s="3180"/>
      <c r="AD8" s="3180"/>
    </row>
    <row r="9" spans="1:30" s="3191" customFormat="1" ht="12.75">
      <c r="A9" s="3182" t="s">
        <v>2823</v>
      </c>
      <c r="B9" s="3183">
        <v>2022</v>
      </c>
      <c r="C9" s="3184">
        <v>4</v>
      </c>
      <c r="D9" s="3185">
        <v>0.62</v>
      </c>
      <c r="E9" s="3185">
        <v>0.2</v>
      </c>
      <c r="F9" s="3185">
        <v>0.11</v>
      </c>
      <c r="G9" s="3185">
        <v>0.69</v>
      </c>
      <c r="H9" s="3186">
        <v>0.53</v>
      </c>
      <c r="I9" s="3187">
        <f t="shared" si="4"/>
        <v>0.11</v>
      </c>
      <c r="J9" s="3188"/>
      <c r="K9" s="3189">
        <f t="shared" si="5"/>
        <v>6.1999999999999998E-3</v>
      </c>
      <c r="L9" s="3190">
        <f t="shared" si="5"/>
        <v>2E-3</v>
      </c>
      <c r="M9" s="3190">
        <f t="shared" si="5"/>
        <v>1.1000000000000001E-3</v>
      </c>
      <c r="N9" s="3190">
        <f t="shared" si="5"/>
        <v>6.8999999999999999E-3</v>
      </c>
      <c r="O9" s="3190">
        <f t="shared" si="5"/>
        <v>5.3E-3</v>
      </c>
      <c r="P9" s="3190">
        <f t="shared" ref="P9:P16" si="15">M9</f>
        <v>1.1000000000000001E-3</v>
      </c>
      <c r="Q9" s="3188"/>
      <c r="R9" s="3188">
        <f>ROUND(IF([2]项目基本情况!B8="出让",SUMPRODUCT(PRODUCT(1+K9:K16)),SUMPRODUCT(PRODUCT(1+K9:K15))),4)</f>
        <v>1.0565</v>
      </c>
      <c r="S9" s="3188">
        <f>ROUND(IF([2]项目基本情况!B8="出让",SUMPRODUCT(PRODUCT(1+L9:L16)),SUMPRODUCT(PRODUCT(1+L9:L15))),4)</f>
        <v>1.0250999999999999</v>
      </c>
      <c r="T9" s="3188">
        <f>ROUND(IF([2]项目基本情况!B8="出让",SUMPRODUCT(PRODUCT(1+M9:M16)),SUMPRODUCT(PRODUCT(1+M9:M15))),4)</f>
        <v>1.0145</v>
      </c>
      <c r="U9" s="3188">
        <f>ROUND(IF([2]项目基本情况!B8="出让",SUMPRODUCT(PRODUCT(1+N9:N16)),SUMPRODUCT(PRODUCT(1+N9:N15))),4)</f>
        <v>1.0618000000000001</v>
      </c>
      <c r="V9" s="3188">
        <f>ROUND(IF([2]项目基本情况!B8="出让",SUMPRODUCT(PRODUCT(1+O9:O16)),SUMPRODUCT(PRODUCT(1+O9:O15))),4)</f>
        <v>1.0502</v>
      </c>
      <c r="W9" s="3188">
        <f t="shared" ref="W9:W16" si="16">T9</f>
        <v>1.0145</v>
      </c>
      <c r="X9" s="3188"/>
      <c r="Y9" s="3190">
        <f>IF(D9=0,0,ROUND(AVERAGE(D9:D17)/100,4))</f>
        <v>8.0999999999999996E-3</v>
      </c>
      <c r="Z9" s="3190">
        <f t="shared" ref="Z9:AC9" si="17">IF(E9=0,0,ROUND(AVERAGE(E9:E16)/100,4))</f>
        <v>3.3E-3</v>
      </c>
      <c r="AA9" s="3190">
        <f t="shared" si="17"/>
        <v>1.5E-3</v>
      </c>
      <c r="AB9" s="3190">
        <f t="shared" si="17"/>
        <v>8.8999999999999999E-3</v>
      </c>
      <c r="AC9" s="3190">
        <f t="shared" si="17"/>
        <v>6.6E-3</v>
      </c>
      <c r="AD9" s="3190">
        <f t="shared" si="7"/>
        <v>1.5E-3</v>
      </c>
    </row>
    <row r="10" spans="1:30" s="3181" customFormat="1" ht="12.75">
      <c r="A10" s="3172" t="s">
        <v>3369</v>
      </c>
      <c r="B10" s="3173">
        <v>2022</v>
      </c>
      <c r="C10" s="3174">
        <v>3</v>
      </c>
      <c r="D10" s="3175">
        <v>0.66</v>
      </c>
      <c r="E10" s="3175">
        <v>0.32</v>
      </c>
      <c r="F10" s="3175">
        <v>0.23</v>
      </c>
      <c r="G10" s="3175">
        <v>0.72</v>
      </c>
      <c r="H10" s="3192">
        <v>0.63</v>
      </c>
      <c r="I10" s="3176">
        <f t="shared" si="4"/>
        <v>0.23</v>
      </c>
      <c r="J10" s="3177"/>
      <c r="K10" s="3178">
        <f t="shared" si="5"/>
        <v>6.6E-3</v>
      </c>
      <c r="L10" s="3168">
        <f t="shared" si="5"/>
        <v>3.2000000000000002E-3</v>
      </c>
      <c r="M10" s="3168">
        <f t="shared" si="5"/>
        <v>2.3E-3</v>
      </c>
      <c r="N10" s="3168">
        <f t="shared" si="5"/>
        <v>7.1999999999999998E-3</v>
      </c>
      <c r="O10" s="3168">
        <f t="shared" si="5"/>
        <v>6.3E-3</v>
      </c>
      <c r="P10" s="3168">
        <f t="shared" si="15"/>
        <v>2.3E-3</v>
      </c>
      <c r="Q10" s="3177"/>
      <c r="R10" s="3179">
        <f>ROUND(IF([2]项目基本情况!B8="出让",SUMPRODUCT(PRODUCT(1+K10:K16)),SUMPRODUCT(PRODUCT(1+K10:K15))),4)</f>
        <v>1.05</v>
      </c>
      <c r="S10" s="3179">
        <f>ROUND(IF([2]项目基本情况!B8="出让",SUMPRODUCT(PRODUCT(1+L10:L16)),SUMPRODUCT(PRODUCT(1+L10:L15))),4)</f>
        <v>1.0229999999999999</v>
      </c>
      <c r="T10" s="3179">
        <f>ROUND(IF([2]项目基本情况!B8="出让",SUMPRODUCT(PRODUCT(1+M10:M16)),SUMPRODUCT(PRODUCT(1+M10:M15))),4)</f>
        <v>1.0134000000000001</v>
      </c>
      <c r="U10" s="3179">
        <f>ROUND(IF([2]项目基本情况!B8="出让",SUMPRODUCT(PRODUCT(1+N10:N16)),SUMPRODUCT(PRODUCT(1+N10:N15))),4)</f>
        <v>1.0545</v>
      </c>
      <c r="V10" s="3179">
        <f>ROUND(IF([2]项目基本情况!B8="出让",SUMPRODUCT(PRODUCT(1+O10:O16)),SUMPRODUCT(PRODUCT(1+O10:O15))),4)</f>
        <v>1.0447</v>
      </c>
      <c r="W10" s="3179">
        <f t="shared" si="16"/>
        <v>1.0134000000000001</v>
      </c>
      <c r="X10" s="3177"/>
      <c r="Y10" s="3180">
        <f>IF(D10=0,0,ROUND(AVERAGE(D10:D16)/100,4))</f>
        <v>8.3999999999999995E-3</v>
      </c>
      <c r="Z10" s="3180">
        <f t="shared" ref="Z10:AC10" si="18">IF(E10=0,0,ROUND(AVERAGE(E10:E16)/100,4))</f>
        <v>3.5000000000000001E-3</v>
      </c>
      <c r="AA10" s="3180">
        <f t="shared" si="18"/>
        <v>1.5E-3</v>
      </c>
      <c r="AB10" s="3180">
        <f t="shared" si="18"/>
        <v>9.1999999999999998E-3</v>
      </c>
      <c r="AC10" s="3180">
        <f t="shared" si="18"/>
        <v>6.7999999999999996E-3</v>
      </c>
      <c r="AD10" s="3180">
        <f t="shared" si="7"/>
        <v>1.5E-3</v>
      </c>
    </row>
    <row r="11" spans="1:30" s="3181" customFormat="1" ht="12.75">
      <c r="A11" s="3172" t="s">
        <v>3360</v>
      </c>
      <c r="B11" s="3173">
        <v>2022</v>
      </c>
      <c r="C11" s="3174">
        <v>2</v>
      </c>
      <c r="D11" s="3175">
        <v>0.93</v>
      </c>
      <c r="E11" s="3175">
        <v>0.15</v>
      </c>
      <c r="F11" s="3175">
        <v>0.01</v>
      </c>
      <c r="G11" s="3175">
        <v>1.05</v>
      </c>
      <c r="H11" s="3192">
        <v>1.08</v>
      </c>
      <c r="I11" s="3176">
        <f t="shared" si="4"/>
        <v>0.01</v>
      </c>
      <c r="J11" s="3177"/>
      <c r="K11" s="3178">
        <f t="shared" si="5"/>
        <v>9.300000000000001E-3</v>
      </c>
      <c r="L11" s="3168">
        <f t="shared" si="5"/>
        <v>1.5E-3</v>
      </c>
      <c r="M11" s="3168">
        <f t="shared" si="5"/>
        <v>1E-4</v>
      </c>
      <c r="N11" s="3168">
        <f t="shared" si="5"/>
        <v>1.0500000000000001E-2</v>
      </c>
      <c r="O11" s="3168">
        <f t="shared" si="5"/>
        <v>1.0800000000000001E-2</v>
      </c>
      <c r="P11" s="3168">
        <f t="shared" si="15"/>
        <v>1E-4</v>
      </c>
      <c r="Q11" s="3177"/>
      <c r="R11" s="3179">
        <f>ROUND(IF([2]项目基本情况!B8="出让",SUMPRODUCT(PRODUCT(1+K11:K16)),SUMPRODUCT(PRODUCT(1+K11:K15))),4)</f>
        <v>1.0430999999999999</v>
      </c>
      <c r="S11" s="3179">
        <f>ROUND(IF([2]项目基本情况!B8="出让",SUMPRODUCT(PRODUCT(1+L11:L16)),SUMPRODUCT(PRODUCT(1+L11:L15))),4)</f>
        <v>1.0197000000000001</v>
      </c>
      <c r="T11" s="3179">
        <f>ROUND(IF([2]项目基本情况!B8="出让",SUMPRODUCT(PRODUCT(1+M11:M16)),SUMPRODUCT(PRODUCT(1+M11:M15))),4)</f>
        <v>1.0109999999999999</v>
      </c>
      <c r="U11" s="3179">
        <f>ROUND(IF([2]项目基本情况!B8="出让",SUMPRODUCT(PRODUCT(1+N11:N16)),SUMPRODUCT(PRODUCT(1+N11:N15))),4)</f>
        <v>1.0468999999999999</v>
      </c>
      <c r="V11" s="3179">
        <f>ROUND(IF([2]项目基本情况!B8="出让",SUMPRODUCT(PRODUCT(1+O11:O16)),SUMPRODUCT(PRODUCT(1+O11:O15))),4)</f>
        <v>1.0382</v>
      </c>
      <c r="W11" s="3179">
        <f t="shared" si="16"/>
        <v>1.0109999999999999</v>
      </c>
      <c r="X11" s="3177"/>
      <c r="Y11" s="3180">
        <f>IF(D11=0,0,ROUND(AVERAGE(D11:D16)/100,4))</f>
        <v>8.6999999999999994E-3</v>
      </c>
      <c r="Z11" s="3180">
        <f t="shared" ref="Z11:AC11" si="19">IF(E11=0,0,ROUND(AVERAGE(E11:E16)/100,4))</f>
        <v>3.5000000000000001E-3</v>
      </c>
      <c r="AA11" s="3180">
        <f t="shared" si="19"/>
        <v>1.4E-3</v>
      </c>
      <c r="AB11" s="3180">
        <f t="shared" si="19"/>
        <v>9.4999999999999998E-3</v>
      </c>
      <c r="AC11" s="3180">
        <f t="shared" si="19"/>
        <v>6.8999999999999999E-3</v>
      </c>
      <c r="AD11" s="3180">
        <f t="shared" si="7"/>
        <v>1.4E-3</v>
      </c>
    </row>
    <row r="12" spans="1:30" s="3181" customFormat="1" ht="12.75">
      <c r="A12" s="3172" t="s">
        <v>2824</v>
      </c>
      <c r="B12" s="3173">
        <v>2022</v>
      </c>
      <c r="C12" s="3174">
        <v>1</v>
      </c>
      <c r="D12" s="3175">
        <v>0.89</v>
      </c>
      <c r="E12" s="3175">
        <v>0.44</v>
      </c>
      <c r="F12" s="3175">
        <v>0.37</v>
      </c>
      <c r="G12" s="3175">
        <v>0.96</v>
      </c>
      <c r="H12" s="3192">
        <v>0.64</v>
      </c>
      <c r="I12" s="3176">
        <f t="shared" si="4"/>
        <v>0.37</v>
      </c>
      <c r="J12" s="3177"/>
      <c r="K12" s="3178">
        <f t="shared" si="5"/>
        <v>8.8999999999999999E-3</v>
      </c>
      <c r="L12" s="3168">
        <f t="shared" si="5"/>
        <v>4.4000000000000003E-3</v>
      </c>
      <c r="M12" s="3168">
        <f t="shared" si="5"/>
        <v>3.7000000000000002E-3</v>
      </c>
      <c r="N12" s="3168">
        <f t="shared" si="5"/>
        <v>9.5999999999999992E-3</v>
      </c>
      <c r="O12" s="3168">
        <f t="shared" si="5"/>
        <v>6.4000000000000003E-3</v>
      </c>
      <c r="P12" s="3168">
        <f t="shared" si="15"/>
        <v>3.7000000000000002E-3</v>
      </c>
      <c r="Q12" s="3177"/>
      <c r="R12" s="3179">
        <f>ROUND(IF([2]项目基本情况!B8="出让",SUMPRODUCT(PRODUCT(1+K12:K16)),SUMPRODUCT(PRODUCT(1+K12:K15))),4)</f>
        <v>1.0335000000000001</v>
      </c>
      <c r="S12" s="3179">
        <f>ROUND(IF([2]项目基本情况!B8="出让",SUMPRODUCT(PRODUCT(1+L12:L16)),SUMPRODUCT(PRODUCT(1+L12:L15))),4)</f>
        <v>1.0182</v>
      </c>
      <c r="T12" s="3179">
        <f>ROUND(IF([2]项目基本情况!B8="出让",SUMPRODUCT(PRODUCT(1+M12:M16)),SUMPRODUCT(PRODUCT(1+M12:M15))),4)</f>
        <v>1.0108999999999999</v>
      </c>
      <c r="U12" s="3179">
        <f>ROUND(IF([2]项目基本情况!B8="出让",SUMPRODUCT(PRODUCT(1+N12:N16)),SUMPRODUCT(PRODUCT(1+N12:N15))),4)</f>
        <v>1.0361</v>
      </c>
      <c r="V12" s="3179">
        <f>ROUND(IF([2]项目基本情况!B8="出让",SUMPRODUCT(PRODUCT(1+O12:O16)),SUMPRODUCT(PRODUCT(1+O12:O15))),4)</f>
        <v>1.0270999999999999</v>
      </c>
      <c r="W12" s="3179">
        <f t="shared" si="16"/>
        <v>1.0108999999999999</v>
      </c>
      <c r="X12" s="3177"/>
      <c r="Y12" s="3180">
        <f>IF(D12=0,0,ROUND(AVERAGE(D12:D16)/100,4))</f>
        <v>8.6E-3</v>
      </c>
      <c r="Z12" s="3180">
        <f t="shared" ref="Z12:AC12" si="20">IF(E12=0,0,ROUND(AVERAGE(E12:E16)/100,4))</f>
        <v>3.8999999999999998E-3</v>
      </c>
      <c r="AA12" s="3180">
        <f t="shared" si="20"/>
        <v>1.6999999999999999E-3</v>
      </c>
      <c r="AB12" s="3180">
        <f t="shared" si="20"/>
        <v>9.2999999999999992E-3</v>
      </c>
      <c r="AC12" s="3180">
        <f t="shared" si="20"/>
        <v>6.1000000000000004E-3</v>
      </c>
      <c r="AD12" s="3180">
        <f t="shared" si="7"/>
        <v>1.6999999999999999E-3</v>
      </c>
    </row>
    <row r="13" spans="1:30" s="3181" customFormat="1" ht="12.75">
      <c r="A13" s="3172" t="s">
        <v>2825</v>
      </c>
      <c r="B13" s="3173">
        <v>2021</v>
      </c>
      <c r="C13" s="3174">
        <v>4</v>
      </c>
      <c r="D13" s="3175">
        <v>1.03</v>
      </c>
      <c r="E13" s="3175">
        <v>0.24</v>
      </c>
      <c r="F13" s="3175">
        <v>7.0000000000000007E-2</v>
      </c>
      <c r="G13" s="3175">
        <v>1.17</v>
      </c>
      <c r="H13" s="3192">
        <v>0.55000000000000004</v>
      </c>
      <c r="I13" s="3176">
        <f t="shared" si="4"/>
        <v>7.0000000000000007E-2</v>
      </c>
      <c r="J13" s="3177"/>
      <c r="K13" s="3178">
        <f t="shared" si="5"/>
        <v>1.03E-2</v>
      </c>
      <c r="L13" s="3168">
        <f t="shared" si="5"/>
        <v>2.3999999999999998E-3</v>
      </c>
      <c r="M13" s="3168">
        <f t="shared" si="5"/>
        <v>7.000000000000001E-4</v>
      </c>
      <c r="N13" s="3168">
        <f t="shared" si="5"/>
        <v>1.1699999999999999E-2</v>
      </c>
      <c r="O13" s="3168">
        <f t="shared" si="5"/>
        <v>5.5000000000000005E-3</v>
      </c>
      <c r="P13" s="3168">
        <f t="shared" si="15"/>
        <v>7.000000000000001E-4</v>
      </c>
      <c r="Q13" s="3177"/>
      <c r="R13" s="3179">
        <f>ROUND(IF([2]项目基本情况!B8="出让",SUMPRODUCT(PRODUCT(1+K13:K16)),SUMPRODUCT(PRODUCT(1+K13:K15))),4)</f>
        <v>1.0244</v>
      </c>
      <c r="S13" s="3179">
        <f>ROUND(IF([2]项目基本情况!B8="出让",SUMPRODUCT(PRODUCT(1+L13:L16)),SUMPRODUCT(PRODUCT(1+L13:L15))),4)</f>
        <v>1.0138</v>
      </c>
      <c r="T13" s="3179">
        <f>ROUND(IF([2]项目基本情况!B8="出让",SUMPRODUCT(PRODUCT(1+M13:M16)),SUMPRODUCT(PRODUCT(1+M13:M15))),4)</f>
        <v>1.0072000000000001</v>
      </c>
      <c r="U13" s="3179">
        <f>ROUND(IF([2]项目基本情况!B8="出让",SUMPRODUCT(PRODUCT(1+N13:N16)),SUMPRODUCT(PRODUCT(1+N13:N15))),4)</f>
        <v>1.0262</v>
      </c>
      <c r="V13" s="3179">
        <f>ROUND(IF([2]项目基本情况!B8="出让",SUMPRODUCT(PRODUCT(1+O13:O16)),SUMPRODUCT(PRODUCT(1+O13:O15))),4)</f>
        <v>1.0205</v>
      </c>
      <c r="W13" s="3179">
        <f t="shared" si="16"/>
        <v>1.0072000000000001</v>
      </c>
      <c r="X13" s="3177"/>
      <c r="Y13" s="3180">
        <f>IF(D13=0,0,ROUND(AVERAGE(D13:D16)/100,4))</f>
        <v>8.5000000000000006E-3</v>
      </c>
      <c r="Z13" s="3180">
        <f t="shared" ref="Z13:AC13" si="21">IF(E13=0,0,ROUND(AVERAGE(E13:E16)/100,4))</f>
        <v>3.8E-3</v>
      </c>
      <c r="AA13" s="3180">
        <f t="shared" si="21"/>
        <v>1.1999999999999999E-3</v>
      </c>
      <c r="AB13" s="3180">
        <f t="shared" si="21"/>
        <v>9.2999999999999992E-3</v>
      </c>
      <c r="AC13" s="3180">
        <f t="shared" si="21"/>
        <v>6.0000000000000001E-3</v>
      </c>
      <c r="AD13" s="3180">
        <f t="shared" si="7"/>
        <v>1.1999999999999999E-3</v>
      </c>
    </row>
    <row r="14" spans="1:30" s="3181" customFormat="1" ht="12.75">
      <c r="A14" s="3172" t="s">
        <v>2826</v>
      </c>
      <c r="B14" s="3173">
        <v>2021</v>
      </c>
      <c r="C14" s="3174">
        <v>3</v>
      </c>
      <c r="D14" s="3175">
        <v>0.47</v>
      </c>
      <c r="E14" s="3175">
        <v>0.41</v>
      </c>
      <c r="F14" s="3175">
        <v>0.24</v>
      </c>
      <c r="G14" s="3175">
        <v>0.48</v>
      </c>
      <c r="H14" s="3192">
        <v>0.48</v>
      </c>
      <c r="I14" s="3176">
        <f t="shared" si="4"/>
        <v>0.24</v>
      </c>
      <c r="J14" s="3177"/>
      <c r="K14" s="3178">
        <f t="shared" si="5"/>
        <v>4.6999999999999993E-3</v>
      </c>
      <c r="L14" s="3168">
        <f t="shared" si="5"/>
        <v>4.0999999999999995E-3</v>
      </c>
      <c r="M14" s="3168">
        <f t="shared" si="5"/>
        <v>2.3999999999999998E-3</v>
      </c>
      <c r="N14" s="3168">
        <f t="shared" si="5"/>
        <v>4.7999999999999996E-3</v>
      </c>
      <c r="O14" s="3168">
        <f t="shared" si="5"/>
        <v>4.7999999999999996E-3</v>
      </c>
      <c r="P14" s="3168">
        <f t="shared" si="15"/>
        <v>2.3999999999999998E-3</v>
      </c>
      <c r="Q14" s="3177"/>
      <c r="R14" s="3179">
        <f>ROUND(IF([2]项目基本情况!B8="出让",SUMPRODUCT(PRODUCT(1+K14:K16)),SUMPRODUCT(PRODUCT(1+K14:K15))),4)</f>
        <v>1.0139</v>
      </c>
      <c r="S14" s="3179">
        <f>ROUND(IF([2]项目基本情况!B8="出让",SUMPRODUCT(PRODUCT(1+L14:L16)),SUMPRODUCT(PRODUCT(1+L14:L15))),4)</f>
        <v>1.0113000000000001</v>
      </c>
      <c r="T14" s="3179">
        <f>ROUND(IF([2]项目基本情况!B8="出让",SUMPRODUCT(PRODUCT(1+M14:M16)),SUMPRODUCT(PRODUCT(1+M14:M15))),4)</f>
        <v>1.0065</v>
      </c>
      <c r="U14" s="3179">
        <f>ROUND(IF([2]项目基本情况!B8="出让",SUMPRODUCT(PRODUCT(1+N14:N16)),SUMPRODUCT(PRODUCT(1+N14:N15))),4)</f>
        <v>1.0143</v>
      </c>
      <c r="V14" s="3179">
        <f>ROUND(IF([2]项目基本情况!B8="出让",SUMPRODUCT(PRODUCT(1+O14:O16)),SUMPRODUCT(PRODUCT(1+O14:O15))),4)</f>
        <v>1.0148999999999999</v>
      </c>
      <c r="W14" s="3179">
        <f t="shared" si="16"/>
        <v>1.0065</v>
      </c>
      <c r="X14" s="3177"/>
      <c r="Y14" s="3180">
        <f>IF(D14=0,0,ROUND(AVERAGE(D14:D16)/100,4))</f>
        <v>7.9000000000000008E-3</v>
      </c>
      <c r="Z14" s="3180">
        <f>IF(E14=0,0,ROUND(AVERAGE(E14:E16)/100,4))</f>
        <v>4.3E-3</v>
      </c>
      <c r="AA14" s="3180">
        <f>IF(F14=0,0,ROUND(AVERAGE(F14:F16)/100,4))</f>
        <v>1.2999999999999999E-3</v>
      </c>
      <c r="AB14" s="3180">
        <f>IF(G14=0,0,ROUND(AVERAGE(G14:G16)/100,4))</f>
        <v>8.5000000000000006E-3</v>
      </c>
      <c r="AC14" s="3180">
        <f>IF(H14=0,0,ROUND(AVERAGE(H14:H16)/100,4))</f>
        <v>6.1999999999999998E-3</v>
      </c>
      <c r="AD14" s="3180">
        <f t="shared" si="7"/>
        <v>1.2999999999999999E-3</v>
      </c>
    </row>
    <row r="15" spans="1:30" s="3181" customFormat="1" ht="12.75">
      <c r="A15" s="3172" t="s">
        <v>2827</v>
      </c>
      <c r="B15" s="3173">
        <v>2021</v>
      </c>
      <c r="C15" s="3174">
        <v>2</v>
      </c>
      <c r="D15" s="3175">
        <v>0.92</v>
      </c>
      <c r="E15" s="3175">
        <v>0.72</v>
      </c>
      <c r="F15" s="3175">
        <v>0.41</v>
      </c>
      <c r="G15" s="3175">
        <v>0.95</v>
      </c>
      <c r="H15" s="3192">
        <v>1.01</v>
      </c>
      <c r="I15" s="3176">
        <f t="shared" si="4"/>
        <v>0.41</v>
      </c>
      <c r="J15" s="3177"/>
      <c r="K15" s="3178">
        <f t="shared" si="5"/>
        <v>9.1999999999999998E-3</v>
      </c>
      <c r="L15" s="3168">
        <f t="shared" si="5"/>
        <v>7.1999999999999998E-3</v>
      </c>
      <c r="M15" s="3168">
        <f t="shared" si="5"/>
        <v>4.0999999999999995E-3</v>
      </c>
      <c r="N15" s="3168">
        <f t="shared" si="5"/>
        <v>9.4999999999999998E-3</v>
      </c>
      <c r="O15" s="3168">
        <f t="shared" si="5"/>
        <v>1.01E-2</v>
      </c>
      <c r="P15" s="3168">
        <f t="shared" si="15"/>
        <v>4.0999999999999995E-3</v>
      </c>
      <c r="Q15" s="3177"/>
      <c r="R15" s="3179">
        <f>ROUND(IF([2]项目基本情况!B8="出让",SUMPRODUCT(PRODUCT(1+K15:K16)),SUMPRODUCT(PRODUCT(1+K15:K15))),4)</f>
        <v>1.0092000000000001</v>
      </c>
      <c r="S15" s="3179">
        <f>ROUND(IF([2]项目基本情况!B8="出让",SUMPRODUCT(PRODUCT(1+L15:L16)),SUMPRODUCT(PRODUCT(1+L15:L15))),4)</f>
        <v>1.0072000000000001</v>
      </c>
      <c r="T15" s="3179">
        <f>ROUND(IF([2]项目基本情况!B8="出让",SUMPRODUCT(PRODUCT(1+M15:M16)),SUMPRODUCT(PRODUCT(1+M15:M15))),4)</f>
        <v>1.0041</v>
      </c>
      <c r="U15" s="3179">
        <f>ROUND(IF([2]项目基本情况!B8="出让",SUMPRODUCT(PRODUCT(1+N15:N16)),SUMPRODUCT(PRODUCT(1+N15:N15))),4)</f>
        <v>1.0095000000000001</v>
      </c>
      <c r="V15" s="3179">
        <f>ROUND(IF([2]项目基本情况!B8="出让",SUMPRODUCT(PRODUCT(1+O15:O16)),SUMPRODUCT(PRODUCT(1+O15:O15))),4)</f>
        <v>1.0101</v>
      </c>
      <c r="W15" s="3179">
        <f t="shared" si="16"/>
        <v>1.0041</v>
      </c>
      <c r="X15" s="3177"/>
      <c r="Y15" s="3180">
        <f>IF(D15=0,0,ROUND(AVERAGE(D15:D16)/100,4))</f>
        <v>9.4999999999999998E-3</v>
      </c>
      <c r="Z15" s="3180">
        <f>IF(E15=0,0,ROUND(AVERAGE(E15:E16)/100,4))</f>
        <v>4.4000000000000003E-3</v>
      </c>
      <c r="AA15" s="3180">
        <f>IF(F15=0,0,ROUND(AVERAGE(F15:F16)/100,4))</f>
        <v>8.0000000000000004E-4</v>
      </c>
      <c r="AB15" s="3180">
        <f>IF(G15=0,0,ROUND(AVERAGE(G15:G16)/100,4))</f>
        <v>1.03E-2</v>
      </c>
      <c r="AC15" s="3180">
        <f>IF(H15=0,0,ROUND(AVERAGE(H15:H16)/100,4))</f>
        <v>6.8999999999999999E-3</v>
      </c>
      <c r="AD15" s="3180">
        <f t="shared" si="7"/>
        <v>8.0000000000000004E-4</v>
      </c>
    </row>
    <row r="16" spans="1:30" s="3203" customFormat="1" thickBot="1">
      <c r="A16" s="3193" t="s">
        <v>2828</v>
      </c>
      <c r="B16" s="3194">
        <v>2021</v>
      </c>
      <c r="C16" s="3195">
        <v>1</v>
      </c>
      <c r="D16" s="3196">
        <v>0.97</v>
      </c>
      <c r="E16" s="3196">
        <v>0.16</v>
      </c>
      <c r="F16" s="3196">
        <v>-0.25</v>
      </c>
      <c r="G16" s="3196">
        <v>1.1100000000000001</v>
      </c>
      <c r="H16" s="3197">
        <v>0.36</v>
      </c>
      <c r="I16" s="3198">
        <f t="shared" si="4"/>
        <v>-0.25</v>
      </c>
      <c r="J16" s="3199"/>
      <c r="K16" s="3200">
        <f t="shared" si="5"/>
        <v>9.7000000000000003E-3</v>
      </c>
      <c r="L16" s="3201">
        <f t="shared" si="5"/>
        <v>1.6000000000000001E-3</v>
      </c>
      <c r="M16" s="3201">
        <f>F16/100</f>
        <v>-2.5000000000000001E-3</v>
      </c>
      <c r="N16" s="3201">
        <f t="shared" si="5"/>
        <v>1.11E-2</v>
      </c>
      <c r="O16" s="3201">
        <f t="shared" si="5"/>
        <v>3.5999999999999999E-3</v>
      </c>
      <c r="P16" s="3201">
        <f t="shared" si="15"/>
        <v>-2.5000000000000001E-3</v>
      </c>
      <c r="Q16" s="3199"/>
      <c r="R16" s="3202">
        <v>1</v>
      </c>
      <c r="S16" s="3202">
        <v>1</v>
      </c>
      <c r="T16" s="3202">
        <v>1</v>
      </c>
      <c r="U16" s="3202">
        <v>1</v>
      </c>
      <c r="V16" s="3202">
        <v>1</v>
      </c>
      <c r="W16" s="3202">
        <f t="shared" si="16"/>
        <v>1</v>
      </c>
      <c r="X16" s="3199"/>
      <c r="Y16" s="3201">
        <f>IF(D16=0,0,ROUND(AVERAGE(D16:D16)/100,4))</f>
        <v>9.7000000000000003E-3</v>
      </c>
      <c r="Z16" s="3201">
        <f>IF(E16=0,0,ROUND(AVERAGE(E16:E16)/100,4))</f>
        <v>1.6000000000000001E-3</v>
      </c>
      <c r="AA16" s="3201">
        <f>IF(F16=0,0,ROUND(AVERAGE(F16:F16)/100,4))</f>
        <v>-2.5000000000000001E-3</v>
      </c>
      <c r="AB16" s="3201">
        <f>IF(G16=0,0,ROUND(AVERAGE(G16:G16)/100,4))</f>
        <v>1.11E-2</v>
      </c>
      <c r="AC16" s="3201">
        <f>IF(H16=0,0,ROUND(AVERAGE(H16:H16)/100,4))</f>
        <v>3.5999999999999999E-3</v>
      </c>
      <c r="AD16" s="3201">
        <f>AA16</f>
        <v>-2.5000000000000001E-3</v>
      </c>
    </row>
    <row r="17" spans="1:30" s="3005" customFormat="1" ht="14.25" thickTop="1"/>
    <row r="18" spans="1:30" s="3005" customFormat="1">
      <c r="A18" s="3444" t="s">
        <v>3372</v>
      </c>
    </row>
    <row r="19" spans="1:30" s="3005" customFormat="1">
      <c r="I19" s="3204" t="s">
        <v>2829</v>
      </c>
    </row>
    <row r="20" spans="1:30" s="3005" customFormat="1"/>
    <row r="21" spans="1:30" s="3205" customFormat="1" ht="12.75">
      <c r="B21" s="3206" t="s">
        <v>2830</v>
      </c>
      <c r="C21" s="3207"/>
      <c r="D21" s="3207"/>
      <c r="E21" s="3207"/>
      <c r="F21" s="3207"/>
      <c r="G21" s="3207"/>
      <c r="H21" s="3207"/>
      <c r="I21" s="3207"/>
      <c r="J21" s="3161"/>
      <c r="K21" s="3207" t="s">
        <v>2831</v>
      </c>
      <c r="L21" s="3207"/>
      <c r="M21" s="3207"/>
      <c r="N21" s="3207"/>
      <c r="O21" s="3207"/>
      <c r="P21" s="3207"/>
      <c r="Q21" s="3161"/>
      <c r="R21" s="3843" t="s">
        <v>2832</v>
      </c>
      <c r="S21" s="3844"/>
      <c r="T21" s="3844"/>
      <c r="U21" s="3844"/>
      <c r="V21" s="3844"/>
      <c r="W21" s="3844"/>
      <c r="X21" s="3161"/>
      <c r="Y21" s="3843" t="s">
        <v>2833</v>
      </c>
      <c r="Z21" s="3844"/>
      <c r="AA21" s="3844"/>
      <c r="AB21" s="3844"/>
      <c r="AC21" s="3844"/>
      <c r="AD21" s="3844"/>
    </row>
    <row r="22" spans="1:30" s="3139" customFormat="1" ht="14.25" thickBot="1">
      <c r="B22" s="3140"/>
      <c r="C22" s="3141"/>
      <c r="D22" s="3142" t="s">
        <v>2834</v>
      </c>
      <c r="E22" s="3143" t="s">
        <v>2835</v>
      </c>
      <c r="F22" s="3143" t="s">
        <v>2836</v>
      </c>
      <c r="G22" s="3143" t="s">
        <v>2837</v>
      </c>
      <c r="H22" s="3143"/>
      <c r="I22" s="3143" t="s">
        <v>2838</v>
      </c>
      <c r="J22" s="3144"/>
      <c r="K22" s="3142" t="s">
        <v>2834</v>
      </c>
      <c r="L22" s="3143" t="s">
        <v>2835</v>
      </c>
      <c r="M22" s="3143" t="s">
        <v>2836</v>
      </c>
      <c r="N22" s="3143" t="s">
        <v>2837</v>
      </c>
      <c r="O22" s="3143"/>
      <c r="P22" s="3143" t="s">
        <v>2838</v>
      </c>
      <c r="Q22" s="3144"/>
      <c r="R22" s="3142" t="s">
        <v>2834</v>
      </c>
      <c r="S22" s="3143" t="s">
        <v>2835</v>
      </c>
      <c r="T22" s="3143" t="s">
        <v>2836</v>
      </c>
      <c r="U22" s="3143" t="s">
        <v>2837</v>
      </c>
      <c r="V22" s="3143"/>
      <c r="W22" s="3143" t="s">
        <v>2838</v>
      </c>
      <c r="X22" s="3144"/>
      <c r="Y22" s="3142" t="s">
        <v>2834</v>
      </c>
      <c r="Z22" s="3143" t="s">
        <v>2835</v>
      </c>
      <c r="AA22" s="3143" t="s">
        <v>2836</v>
      </c>
      <c r="AB22" s="3143" t="s">
        <v>2837</v>
      </c>
      <c r="AC22" s="3143"/>
      <c r="AD22" s="3143" t="s">
        <v>2838</v>
      </c>
    </row>
    <row r="23" spans="1:30" s="3157" customFormat="1" ht="12.75">
      <c r="A23" s="3145" t="s">
        <v>2839</v>
      </c>
      <c r="B23" s="3146"/>
      <c r="C23" s="3147"/>
      <c r="D23" s="3147"/>
      <c r="E23" s="3147">
        <f t="shared" ref="E23:G23" si="22">ROUND(AVERAGEIF(E24:E36,"&lt;&gt;0"),2)</f>
        <v>0.4</v>
      </c>
      <c r="F23" s="3147">
        <f t="shared" si="22"/>
        <v>0.26</v>
      </c>
      <c r="G23" s="3147">
        <f t="shared" si="22"/>
        <v>0.74</v>
      </c>
      <c r="H23" s="3147"/>
      <c r="I23" s="3147">
        <f>F23</f>
        <v>0.26</v>
      </c>
      <c r="J23" s="3148"/>
      <c r="K23" s="3149"/>
      <c r="L23" s="3150">
        <f t="shared" ref="L23:N23" si="23">ROUND(AVERAGEIF(L24:L36,"&lt;&gt;0"),4)</f>
        <v>4.0000000000000001E-3</v>
      </c>
      <c r="M23" s="3150">
        <f t="shared" si="23"/>
        <v>2.5999999999999999E-3</v>
      </c>
      <c r="N23" s="3150">
        <f t="shared" si="23"/>
        <v>7.4000000000000003E-3</v>
      </c>
      <c r="O23" s="3150"/>
      <c r="P23" s="3150">
        <f>M23</f>
        <v>2.5999999999999999E-3</v>
      </c>
      <c r="Q23" s="3148"/>
      <c r="R23" s="3151"/>
      <c r="S23" s="3152">
        <f>ROUND(SUMPRODUCT(PRODUCT(1+L24:L36)),4)</f>
        <v>1.0323</v>
      </c>
      <c r="T23" s="3152">
        <f t="shared" ref="T23:U23" si="24">ROUND(SUMPRODUCT(PRODUCT(1+M24:M36)),4)</f>
        <v>1.0213000000000001</v>
      </c>
      <c r="U23" s="3152">
        <f t="shared" si="24"/>
        <v>1.0609</v>
      </c>
      <c r="V23" s="3152"/>
      <c r="W23" s="3151">
        <f>T23</f>
        <v>1.0213000000000001</v>
      </c>
      <c r="X23" s="3148"/>
      <c r="Y23" s="3153"/>
      <c r="Z23" s="3154">
        <f t="shared" ref="Z23:AB23" si="25">ROUND(AVERAGEIF(Z24:Z36,"&lt;&gt;0"),4)</f>
        <v>4.3E-3</v>
      </c>
      <c r="AA23" s="3155">
        <f t="shared" si="25"/>
        <v>3.5999999999999999E-3</v>
      </c>
      <c r="AB23" s="3153">
        <f t="shared" si="25"/>
        <v>8.8999999999999999E-3</v>
      </c>
      <c r="AC23" s="3156"/>
      <c r="AD23" s="3153">
        <f>AA23</f>
        <v>3.5999999999999999E-3</v>
      </c>
    </row>
    <row r="24" spans="1:30" s="3158" customFormat="1" ht="12.75">
      <c r="B24" s="3159"/>
      <c r="C24" s="3160"/>
      <c r="D24" s="3160"/>
      <c r="E24" s="3160"/>
      <c r="F24" s="3160"/>
      <c r="G24" s="3160"/>
      <c r="H24" s="3160"/>
      <c r="I24" s="3160"/>
      <c r="J24" s="3161"/>
      <c r="K24" s="3162"/>
      <c r="L24" s="3163"/>
      <c r="M24" s="3163"/>
      <c r="N24" s="3163"/>
      <c r="O24" s="3163"/>
      <c r="P24" s="3163"/>
      <c r="Q24" s="3161"/>
      <c r="R24" s="3164"/>
      <c r="S24" s="3165"/>
      <c r="T24" s="3166"/>
      <c r="U24" s="3164"/>
      <c r="V24" s="3167"/>
      <c r="W24" s="3164"/>
      <c r="X24" s="3161"/>
      <c r="Y24" s="3168"/>
      <c r="Z24" s="3169"/>
      <c r="AA24" s="3170"/>
      <c r="AB24" s="3168"/>
      <c r="AC24" s="3171"/>
      <c r="AD24" s="3168"/>
    </row>
    <row r="25" spans="1:30" s="3181" customFormat="1" ht="12.75">
      <c r="A25" s="3172" t="s">
        <v>3375</v>
      </c>
      <c r="B25" s="3173">
        <v>2023</v>
      </c>
      <c r="C25" s="3174">
        <v>4</v>
      </c>
      <c r="D25" s="3175"/>
      <c r="E25" s="3175">
        <v>0</v>
      </c>
      <c r="F25" s="3175">
        <v>0</v>
      </c>
      <c r="G25" s="3175">
        <v>0</v>
      </c>
      <c r="H25" s="3175"/>
      <c r="I25" s="3176">
        <f t="shared" ref="I25:I36" si="26">F25</f>
        <v>0</v>
      </c>
      <c r="J25" s="3177"/>
      <c r="K25" s="3178"/>
      <c r="L25" s="3168">
        <f t="shared" ref="L25:N36" si="27">E25/100</f>
        <v>0</v>
      </c>
      <c r="M25" s="3168">
        <f t="shared" si="27"/>
        <v>0</v>
      </c>
      <c r="N25" s="3168">
        <f t="shared" si="27"/>
        <v>0</v>
      </c>
      <c r="O25" s="3168"/>
      <c r="P25" s="3168">
        <f>M25</f>
        <v>0</v>
      </c>
      <c r="Q25" s="3177"/>
      <c r="R25" s="3179"/>
      <c r="S25" s="3179">
        <f>ROUND(IF([2]项目基本情况!$B$8="出让",SUMPRODUCT(PRODUCT(1+L25:L$36)),SUMPRODUCT(PRODUCT(1+L25:L$35))),4)</f>
        <v>1.0286999999999999</v>
      </c>
      <c r="T25" s="3179">
        <f>ROUND(IF([2]项目基本情况!$B$8="出让",SUMPRODUCT(PRODUCT(1+M25:M$36)),SUMPRODUCT(PRODUCT(1+M25:M$35))),4)</f>
        <v>1.0164</v>
      </c>
      <c r="U25" s="3179">
        <f>ROUND(IF([2]项目基本情况!$B$8="出让",SUMPRODUCT(PRODUCT(1+N25:N$36)),SUMPRODUCT(PRODUCT(1+N25:N$35))),4)</f>
        <v>1.0506</v>
      </c>
      <c r="V25" s="3179"/>
      <c r="W25" s="3179">
        <f>T25</f>
        <v>1.0164</v>
      </c>
      <c r="X25" s="3177"/>
      <c r="Y25" s="3180"/>
      <c r="Z25" s="3208">
        <f>IF(E25=0,0,ROUND(AVERAGE(E25:E36)/100,4))</f>
        <v>0</v>
      </c>
      <c r="AA25" s="3208">
        <f>IF(F25=0,0,ROUND(AVERAGE(F25:F36)/100,4))</f>
        <v>0</v>
      </c>
      <c r="AB25" s="3208">
        <f>IF(G25=0,0,ROUND(AVERAGE(G25:G36)/100,4))</f>
        <v>0</v>
      </c>
      <c r="AC25" s="3209"/>
      <c r="AD25" s="3180">
        <f>IF(I25=0,0,ROUND(AVERAGE(I25:I36)/100,4))</f>
        <v>0</v>
      </c>
    </row>
    <row r="26" spans="1:30" s="3181" customFormat="1" ht="12.75">
      <c r="A26" s="3172" t="s">
        <v>3376</v>
      </c>
      <c r="B26" s="3173">
        <v>2023</v>
      </c>
      <c r="C26" s="3174">
        <v>3</v>
      </c>
      <c r="D26" s="3175"/>
      <c r="E26" s="3175">
        <v>0</v>
      </c>
      <c r="F26" s="3175">
        <v>0</v>
      </c>
      <c r="G26" s="3175">
        <v>0</v>
      </c>
      <c r="H26" s="3192"/>
      <c r="I26" s="3176">
        <f t="shared" si="26"/>
        <v>0</v>
      </c>
      <c r="J26" s="3177"/>
      <c r="K26" s="3178"/>
      <c r="L26" s="3168">
        <f t="shared" ref="L26:L28" si="28">E26/100</f>
        <v>0</v>
      </c>
      <c r="M26" s="3168">
        <f t="shared" ref="M26:M28" si="29">F26/100</f>
        <v>0</v>
      </c>
      <c r="N26" s="3168">
        <f t="shared" ref="N26:N28" si="30">G26/100</f>
        <v>0</v>
      </c>
      <c r="O26" s="3168"/>
      <c r="P26" s="3168">
        <f t="shared" ref="P26:P28" si="31">M26</f>
        <v>0</v>
      </c>
      <c r="Q26" s="3177"/>
      <c r="R26" s="3179"/>
      <c r="S26" s="3179">
        <f>ROUND(IF([2]项目基本情况!$B$8="出让",SUMPRODUCT(PRODUCT(1+L26:L$36)),SUMPRODUCT(PRODUCT(1+L26:L$35))),4)</f>
        <v>1.0286999999999999</v>
      </c>
      <c r="T26" s="3179">
        <f>ROUND(IF([2]项目基本情况!$B$8="出让",SUMPRODUCT(PRODUCT(1+M26:M$36)),SUMPRODUCT(PRODUCT(1+M26:M$35))),4)</f>
        <v>1.0164</v>
      </c>
      <c r="U26" s="3179">
        <f>ROUND(IF([2]项目基本情况!$B$8="出让",SUMPRODUCT(PRODUCT(1+N26:N$36)),SUMPRODUCT(PRODUCT(1+N26:N$35))),4)</f>
        <v>1.0506</v>
      </c>
      <c r="V26" s="3179"/>
      <c r="W26" s="3179">
        <f t="shared" ref="W26:W28" si="32">T26</f>
        <v>1.0164</v>
      </c>
      <c r="X26" s="3177"/>
      <c r="Y26" s="3180"/>
      <c r="Z26" s="3208"/>
      <c r="AA26" s="3445"/>
      <c r="AB26" s="3445"/>
      <c r="AC26" s="3209"/>
      <c r="AD26" s="3180"/>
    </row>
    <row r="27" spans="1:30" s="3181" customFormat="1" ht="12.75">
      <c r="A27" s="3172" t="s">
        <v>3374</v>
      </c>
      <c r="B27" s="3173">
        <v>2023</v>
      </c>
      <c r="C27" s="3174">
        <v>2</v>
      </c>
      <c r="D27" s="3175"/>
      <c r="E27" s="3175">
        <v>0</v>
      </c>
      <c r="F27" s="3175">
        <v>0</v>
      </c>
      <c r="G27" s="3175">
        <v>0</v>
      </c>
      <c r="H27" s="3192"/>
      <c r="I27" s="3176">
        <f t="shared" si="26"/>
        <v>0</v>
      </c>
      <c r="J27" s="3177"/>
      <c r="K27" s="3178"/>
      <c r="L27" s="3168">
        <f t="shared" si="28"/>
        <v>0</v>
      </c>
      <c r="M27" s="3168">
        <f t="shared" si="29"/>
        <v>0</v>
      </c>
      <c r="N27" s="3168">
        <f t="shared" si="30"/>
        <v>0</v>
      </c>
      <c r="O27" s="3168"/>
      <c r="P27" s="3168">
        <f t="shared" si="31"/>
        <v>0</v>
      </c>
      <c r="Q27" s="3177"/>
      <c r="R27" s="3179"/>
      <c r="S27" s="3179">
        <f>ROUND(IF([2]项目基本情况!$B$8="出让",SUMPRODUCT(PRODUCT(1+L27:L$36)),SUMPRODUCT(PRODUCT(1+L27:L$35))),4)</f>
        <v>1.0286999999999999</v>
      </c>
      <c r="T27" s="3179">
        <f>ROUND(IF([2]项目基本情况!$B$8="出让",SUMPRODUCT(PRODUCT(1+M27:M$36)),SUMPRODUCT(PRODUCT(1+M27:M$35))),4)</f>
        <v>1.0164</v>
      </c>
      <c r="U27" s="3179">
        <f>ROUND(IF([2]项目基本情况!$B$8="出让",SUMPRODUCT(PRODUCT(1+N27:N$36)),SUMPRODUCT(PRODUCT(1+N27:N$35))),4)</f>
        <v>1.0506</v>
      </c>
      <c r="V27" s="3179"/>
      <c r="W27" s="3179">
        <f t="shared" si="32"/>
        <v>1.0164</v>
      </c>
      <c r="X27" s="3177"/>
      <c r="Y27" s="3180"/>
      <c r="Z27" s="3208"/>
      <c r="AA27" s="3445"/>
      <c r="AB27" s="3445"/>
      <c r="AC27" s="3209"/>
      <c r="AD27" s="3180"/>
    </row>
    <row r="28" spans="1:30" s="3181" customFormat="1" ht="12.75">
      <c r="A28" s="3172" t="s">
        <v>2822</v>
      </c>
      <c r="B28" s="3173">
        <v>2023</v>
      </c>
      <c r="C28" s="3174">
        <v>1</v>
      </c>
      <c r="D28" s="3175"/>
      <c r="E28" s="3175">
        <v>0</v>
      </c>
      <c r="F28" s="3175">
        <v>0</v>
      </c>
      <c r="G28" s="3175">
        <v>0</v>
      </c>
      <c r="H28" s="3192"/>
      <c r="I28" s="3176">
        <f t="shared" si="26"/>
        <v>0</v>
      </c>
      <c r="J28" s="3177"/>
      <c r="K28" s="3178"/>
      <c r="L28" s="3168">
        <f t="shared" si="28"/>
        <v>0</v>
      </c>
      <c r="M28" s="3168">
        <f t="shared" si="29"/>
        <v>0</v>
      </c>
      <c r="N28" s="3168">
        <f t="shared" si="30"/>
        <v>0</v>
      </c>
      <c r="O28" s="3168"/>
      <c r="P28" s="3168">
        <f t="shared" si="31"/>
        <v>0</v>
      </c>
      <c r="Q28" s="3177"/>
      <c r="R28" s="3179"/>
      <c r="S28" s="3179">
        <f>ROUND(IF([2]项目基本情况!$B$8="出让",SUMPRODUCT(PRODUCT(1+L28:L$36)),SUMPRODUCT(PRODUCT(1+L28:L$35))),4)</f>
        <v>1.0286999999999999</v>
      </c>
      <c r="T28" s="3179">
        <f>ROUND(IF([2]项目基本情况!$B$8="出让",SUMPRODUCT(PRODUCT(1+M28:M$36)),SUMPRODUCT(PRODUCT(1+M28:M$35))),4)</f>
        <v>1.0164</v>
      </c>
      <c r="U28" s="3179">
        <f>ROUND(IF([2]项目基本情况!$B$8="出让",SUMPRODUCT(PRODUCT(1+N28:N$36)),SUMPRODUCT(PRODUCT(1+N28:N$35))),4)</f>
        <v>1.0506</v>
      </c>
      <c r="V28" s="3179"/>
      <c r="W28" s="3179">
        <f t="shared" si="32"/>
        <v>1.0164</v>
      </c>
      <c r="X28" s="3177"/>
      <c r="Y28" s="3180"/>
      <c r="Z28" s="3208"/>
      <c r="AA28" s="3445"/>
      <c r="AB28" s="3445"/>
      <c r="AC28" s="3209"/>
      <c r="AD28" s="3180"/>
    </row>
    <row r="29" spans="1:30" s="3191" customFormat="1" ht="12.75">
      <c r="A29" s="3182" t="s">
        <v>3370</v>
      </c>
      <c r="B29" s="3183">
        <v>2022</v>
      </c>
      <c r="C29" s="3184">
        <v>4</v>
      </c>
      <c r="D29" s="3185"/>
      <c r="E29" s="3185">
        <v>0.45</v>
      </c>
      <c r="F29" s="3185">
        <v>0.2</v>
      </c>
      <c r="G29" s="3185">
        <v>0.38</v>
      </c>
      <c r="H29" s="3186"/>
      <c r="I29" s="3187">
        <f t="shared" si="26"/>
        <v>0.2</v>
      </c>
      <c r="J29" s="3188"/>
      <c r="K29" s="3189"/>
      <c r="L29" s="3190">
        <f t="shared" si="27"/>
        <v>4.5000000000000005E-3</v>
      </c>
      <c r="M29" s="3190">
        <f t="shared" si="27"/>
        <v>2E-3</v>
      </c>
      <c r="N29" s="3190">
        <f t="shared" si="27"/>
        <v>3.8E-3</v>
      </c>
      <c r="O29" s="3190"/>
      <c r="P29" s="3190">
        <f t="shared" ref="P29:P36" si="33">M29</f>
        <v>2E-3</v>
      </c>
      <c r="Q29" s="3188"/>
      <c r="R29" s="3188"/>
      <c r="S29" s="3188">
        <f>ROUND(IF([2]项目基本情况!$B$8="出让",SUMPRODUCT(PRODUCT(1+L29:L$36)),SUMPRODUCT(PRODUCT(1+L29:L$35))),4)</f>
        <v>1.0286999999999999</v>
      </c>
      <c r="T29" s="3188">
        <f>ROUND(IF([2]项目基本情况!$B$8="出让",SUMPRODUCT(PRODUCT(1+M29:M$36)),SUMPRODUCT(PRODUCT(1+M29:M$35))),4)</f>
        <v>1.0164</v>
      </c>
      <c r="U29" s="3188">
        <f>ROUND(IF([2]项目基本情况!$B$8="出让",SUMPRODUCT(PRODUCT(1+N29:N$36)),SUMPRODUCT(PRODUCT(1+N29:N$35))),4)</f>
        <v>1.0506</v>
      </c>
      <c r="V29" s="3188"/>
      <c r="W29" s="3188">
        <f t="shared" ref="W29:W36" si="34">T29</f>
        <v>1.0164</v>
      </c>
      <c r="X29" s="3188"/>
      <c r="Y29" s="3190"/>
      <c r="Z29" s="3211">
        <f t="shared" ref="Z29:AD36" si="35">IF(E29=0,0,ROUND(AVERAGE(E29:E37)/100,4))</f>
        <v>4.0000000000000001E-3</v>
      </c>
      <c r="AA29" s="3212">
        <f t="shared" si="35"/>
        <v>2.5999999999999999E-3</v>
      </c>
      <c r="AB29" s="3190">
        <f t="shared" si="35"/>
        <v>7.4000000000000003E-3</v>
      </c>
      <c r="AC29" s="3213"/>
      <c r="AD29" s="3190">
        <f t="shared" si="35"/>
        <v>2.5999999999999999E-3</v>
      </c>
    </row>
    <row r="30" spans="1:30" s="3181" customFormat="1" ht="12.75">
      <c r="A30" s="3172" t="s">
        <v>3371</v>
      </c>
      <c r="B30" s="3173">
        <v>2022</v>
      </c>
      <c r="C30" s="3174">
        <v>3</v>
      </c>
      <c r="D30" s="3175"/>
      <c r="E30" s="3175">
        <v>0.3</v>
      </c>
      <c r="F30" s="3175">
        <v>0.28999999999999998</v>
      </c>
      <c r="G30" s="3175">
        <v>0.83</v>
      </c>
      <c r="H30" s="3192"/>
      <c r="I30" s="3176">
        <f t="shared" si="26"/>
        <v>0.28999999999999998</v>
      </c>
      <c r="J30" s="3177"/>
      <c r="K30" s="3178"/>
      <c r="L30" s="3168">
        <f t="shared" si="27"/>
        <v>3.0000000000000001E-3</v>
      </c>
      <c r="M30" s="3168">
        <f t="shared" si="27"/>
        <v>2.8999999999999998E-3</v>
      </c>
      <c r="N30" s="3168">
        <f t="shared" si="27"/>
        <v>8.3000000000000001E-3</v>
      </c>
      <c r="O30" s="3168"/>
      <c r="P30" s="3168">
        <f t="shared" si="33"/>
        <v>2.8999999999999998E-3</v>
      </c>
      <c r="Q30" s="3177"/>
      <c r="R30" s="3179"/>
      <c r="S30" s="3179">
        <f>ROUND(IF([2]项目基本情况!$B$8="出让",SUMPRODUCT(PRODUCT(1+L30:L$36)),SUMPRODUCT(PRODUCT(1+L30:L$35))),4)</f>
        <v>1.0241</v>
      </c>
      <c r="T30" s="3179">
        <f>ROUND(IF([2]项目基本情况!$B$8="出让",SUMPRODUCT(PRODUCT(1+M30:M$36)),SUMPRODUCT(PRODUCT(1+M30:M$35))),4)</f>
        <v>1.0144</v>
      </c>
      <c r="U30" s="3179">
        <f>ROUND(IF([2]项目基本情况!$B$8="出让",SUMPRODUCT(PRODUCT(1+N30:N$36)),SUMPRODUCT(PRODUCT(1+N30:N$35))),4)</f>
        <v>1.0467</v>
      </c>
      <c r="V30" s="3179"/>
      <c r="W30" s="3179">
        <f t="shared" si="34"/>
        <v>1.0144</v>
      </c>
      <c r="X30" s="3177"/>
      <c r="Y30" s="3180"/>
      <c r="Z30" s="3208">
        <f t="shared" si="35"/>
        <v>3.8999999999999998E-3</v>
      </c>
      <c r="AA30" s="3210">
        <f t="shared" si="35"/>
        <v>2.7000000000000001E-3</v>
      </c>
      <c r="AB30" s="3180">
        <f t="shared" si="35"/>
        <v>7.9000000000000008E-3</v>
      </c>
      <c r="AC30" s="3209"/>
      <c r="AD30" s="3180">
        <f t="shared" si="35"/>
        <v>2.7000000000000001E-3</v>
      </c>
    </row>
    <row r="31" spans="1:30" s="3181" customFormat="1" ht="12.75">
      <c r="A31" s="3172" t="s">
        <v>3360</v>
      </c>
      <c r="B31" s="3173">
        <v>2022</v>
      </c>
      <c r="C31" s="3174">
        <v>2</v>
      </c>
      <c r="D31" s="3175"/>
      <c r="E31" s="3175">
        <v>-0.11</v>
      </c>
      <c r="F31" s="3175">
        <v>-0.13</v>
      </c>
      <c r="G31" s="3175">
        <v>0.53</v>
      </c>
      <c r="H31" s="3192"/>
      <c r="I31" s="3176">
        <f t="shared" si="26"/>
        <v>-0.13</v>
      </c>
      <c r="J31" s="3177"/>
      <c r="K31" s="3178"/>
      <c r="L31" s="3168">
        <f t="shared" si="27"/>
        <v>-1.1000000000000001E-3</v>
      </c>
      <c r="M31" s="3168">
        <f t="shared" si="27"/>
        <v>-1.2999999999999999E-3</v>
      </c>
      <c r="N31" s="3168">
        <f t="shared" si="27"/>
        <v>5.3E-3</v>
      </c>
      <c r="O31" s="3168"/>
      <c r="P31" s="3168">
        <f t="shared" si="33"/>
        <v>-1.2999999999999999E-3</v>
      </c>
      <c r="Q31" s="3177"/>
      <c r="R31" s="3179"/>
      <c r="S31" s="3179">
        <f>ROUND(IF([2]项目基本情况!$B$8="出让",SUMPRODUCT(PRODUCT(1+L31:L$36)),SUMPRODUCT(PRODUCT(1+L31:L$35))),4)</f>
        <v>1.0210999999999999</v>
      </c>
      <c r="T31" s="3179">
        <f>ROUND(IF([2]项目基本情况!$B$8="出让",SUMPRODUCT(PRODUCT(1+M31:M$36)),SUMPRODUCT(PRODUCT(1+M31:M$35))),4)</f>
        <v>1.0114000000000001</v>
      </c>
      <c r="U31" s="3179">
        <f>ROUND(IF([2]项目基本情况!$B$8="出让",SUMPRODUCT(PRODUCT(1+N31:N$36)),SUMPRODUCT(PRODUCT(1+N31:N$35))),4)</f>
        <v>1.0381</v>
      </c>
      <c r="V31" s="3179"/>
      <c r="W31" s="3179">
        <f t="shared" si="34"/>
        <v>1.0114000000000001</v>
      </c>
      <c r="X31" s="3177"/>
      <c r="Y31" s="3180"/>
      <c r="Z31" s="3208">
        <f t="shared" si="35"/>
        <v>4.1000000000000003E-3</v>
      </c>
      <c r="AA31" s="3210">
        <f t="shared" si="35"/>
        <v>2.7000000000000001E-3</v>
      </c>
      <c r="AB31" s="3180">
        <f t="shared" si="35"/>
        <v>7.9000000000000008E-3</v>
      </c>
      <c r="AC31" s="3209"/>
      <c r="AD31" s="3180">
        <f t="shared" si="35"/>
        <v>2.7000000000000001E-3</v>
      </c>
    </row>
    <row r="32" spans="1:30" s="3181" customFormat="1" ht="12.75">
      <c r="A32" s="3172" t="s">
        <v>2840</v>
      </c>
      <c r="B32" s="3173">
        <v>2022</v>
      </c>
      <c r="C32" s="3174">
        <v>1</v>
      </c>
      <c r="D32" s="3175"/>
      <c r="E32" s="3175">
        <v>0.6</v>
      </c>
      <c r="F32" s="3175">
        <v>0.45</v>
      </c>
      <c r="G32" s="3175">
        <v>0.53</v>
      </c>
      <c r="H32" s="3192"/>
      <c r="I32" s="3176">
        <f t="shared" si="26"/>
        <v>0.45</v>
      </c>
      <c r="J32" s="3177"/>
      <c r="K32" s="3178"/>
      <c r="L32" s="3168">
        <f t="shared" si="27"/>
        <v>6.0000000000000001E-3</v>
      </c>
      <c r="M32" s="3168">
        <f t="shared" si="27"/>
        <v>4.5000000000000005E-3</v>
      </c>
      <c r="N32" s="3168">
        <f t="shared" si="27"/>
        <v>5.3E-3</v>
      </c>
      <c r="O32" s="3168"/>
      <c r="P32" s="3168">
        <f t="shared" si="33"/>
        <v>4.5000000000000005E-3</v>
      </c>
      <c r="Q32" s="3177"/>
      <c r="R32" s="3179"/>
      <c r="S32" s="3179">
        <f>ROUND(IF([2]项目基本情况!$B$8="出让",SUMPRODUCT(PRODUCT(1+L32:L$36)),SUMPRODUCT(PRODUCT(1+L32:L$35))),4)</f>
        <v>1.0222</v>
      </c>
      <c r="T32" s="3179">
        <f>ROUND(IF([2]项目基本情况!$B$8="出让",SUMPRODUCT(PRODUCT(1+M32:M$36)),SUMPRODUCT(PRODUCT(1+M32:M$35))),4)</f>
        <v>1.0127999999999999</v>
      </c>
      <c r="U32" s="3179">
        <f>ROUND(IF([2]项目基本情况!$B$8="出让",SUMPRODUCT(PRODUCT(1+N32:N$36)),SUMPRODUCT(PRODUCT(1+N32:N$35))),4)</f>
        <v>1.0326</v>
      </c>
      <c r="V32" s="3179"/>
      <c r="W32" s="3179">
        <f t="shared" si="34"/>
        <v>1.0127999999999999</v>
      </c>
      <c r="X32" s="3177"/>
      <c r="Y32" s="3180"/>
      <c r="Z32" s="3208">
        <f t="shared" si="35"/>
        <v>5.1000000000000004E-3</v>
      </c>
      <c r="AA32" s="3210">
        <f t="shared" si="35"/>
        <v>3.5000000000000001E-3</v>
      </c>
      <c r="AB32" s="3180">
        <f t="shared" si="35"/>
        <v>8.3999999999999995E-3</v>
      </c>
      <c r="AC32" s="3209"/>
      <c r="AD32" s="3180">
        <f t="shared" si="35"/>
        <v>3.5000000000000001E-3</v>
      </c>
    </row>
    <row r="33" spans="1:30" s="3181" customFormat="1" ht="12.75">
      <c r="A33" s="3172" t="s">
        <v>2841</v>
      </c>
      <c r="B33" s="3173">
        <v>2021</v>
      </c>
      <c r="C33" s="3174">
        <v>4</v>
      </c>
      <c r="D33" s="3175"/>
      <c r="E33" s="3175">
        <v>0.57999999999999996</v>
      </c>
      <c r="F33" s="3175">
        <v>0.08</v>
      </c>
      <c r="G33" s="3175">
        <v>0.68</v>
      </c>
      <c r="H33" s="3192"/>
      <c r="I33" s="3176">
        <f t="shared" si="26"/>
        <v>0.08</v>
      </c>
      <c r="J33" s="3177"/>
      <c r="K33" s="3178"/>
      <c r="L33" s="3168">
        <f t="shared" si="27"/>
        <v>5.7999999999999996E-3</v>
      </c>
      <c r="M33" s="3168">
        <f t="shared" si="27"/>
        <v>8.0000000000000004E-4</v>
      </c>
      <c r="N33" s="3168">
        <f t="shared" si="27"/>
        <v>6.8000000000000005E-3</v>
      </c>
      <c r="O33" s="3168"/>
      <c r="P33" s="3168">
        <f t="shared" si="33"/>
        <v>8.0000000000000004E-4</v>
      </c>
      <c r="Q33" s="3177"/>
      <c r="R33" s="3179"/>
      <c r="S33" s="3179">
        <f>ROUND(IF([2]项目基本情况!$B$8="出让",SUMPRODUCT(PRODUCT(1+L33:L$36)),SUMPRODUCT(PRODUCT(1+L33:L$35))),4)</f>
        <v>1.0161</v>
      </c>
      <c r="T33" s="3179">
        <f>ROUND(IF([2]项目基本情况!$B$8="出让",SUMPRODUCT(PRODUCT(1+M33:M$36)),SUMPRODUCT(PRODUCT(1+M33:M$35))),4)</f>
        <v>1.0082</v>
      </c>
      <c r="U33" s="3179">
        <f>ROUND(IF([2]项目基本情况!$B$8="出让",SUMPRODUCT(PRODUCT(1+N33:N$36)),SUMPRODUCT(PRODUCT(1+N33:N$35))),4)</f>
        <v>1.0270999999999999</v>
      </c>
      <c r="V33" s="3179"/>
      <c r="W33" s="3179">
        <f t="shared" si="34"/>
        <v>1.0082</v>
      </c>
      <c r="X33" s="3177"/>
      <c r="Y33" s="3180"/>
      <c r="Z33" s="3208">
        <f t="shared" si="35"/>
        <v>4.8999999999999998E-3</v>
      </c>
      <c r="AA33" s="3210">
        <f t="shared" si="35"/>
        <v>3.3E-3</v>
      </c>
      <c r="AB33" s="3180">
        <f t="shared" si="35"/>
        <v>9.1999999999999998E-3</v>
      </c>
      <c r="AC33" s="3209"/>
      <c r="AD33" s="3180">
        <f t="shared" si="35"/>
        <v>3.3E-3</v>
      </c>
    </row>
    <row r="34" spans="1:30" s="3181" customFormat="1" ht="12.75">
      <c r="A34" s="3172" t="s">
        <v>2842</v>
      </c>
      <c r="B34" s="3173">
        <v>2021</v>
      </c>
      <c r="C34" s="3174">
        <v>3</v>
      </c>
      <c r="D34" s="3175"/>
      <c r="E34" s="3175">
        <v>0.47</v>
      </c>
      <c r="F34" s="3175">
        <v>0.28000000000000003</v>
      </c>
      <c r="G34" s="3175">
        <v>0.91</v>
      </c>
      <c r="H34" s="3192"/>
      <c r="I34" s="3176">
        <f t="shared" si="26"/>
        <v>0.28000000000000003</v>
      </c>
      <c r="J34" s="3177"/>
      <c r="K34" s="3178"/>
      <c r="L34" s="3168">
        <f t="shared" si="27"/>
        <v>4.6999999999999993E-3</v>
      </c>
      <c r="M34" s="3168">
        <f t="shared" si="27"/>
        <v>2.8000000000000004E-3</v>
      </c>
      <c r="N34" s="3168">
        <f t="shared" si="27"/>
        <v>9.1000000000000004E-3</v>
      </c>
      <c r="O34" s="3168"/>
      <c r="P34" s="3168">
        <f t="shared" si="33"/>
        <v>2.8000000000000004E-3</v>
      </c>
      <c r="Q34" s="3177"/>
      <c r="R34" s="3179"/>
      <c r="S34" s="3179">
        <f>ROUND(IF([2]项目基本情况!$B$8="出让",SUMPRODUCT(PRODUCT(1+L34:L$36)),SUMPRODUCT(PRODUCT(1+L34:L$35))),4)</f>
        <v>1.0102</v>
      </c>
      <c r="T34" s="3179">
        <f>ROUND(IF([2]项目基本情况!$B$8="出让",SUMPRODUCT(PRODUCT(1+M34:M$36)),SUMPRODUCT(PRODUCT(1+M34:M$35))),4)</f>
        <v>1.0074000000000001</v>
      </c>
      <c r="U34" s="3179">
        <f>ROUND(IF([2]项目基本情况!$B$8="出让",SUMPRODUCT(PRODUCT(1+N34:N$36)),SUMPRODUCT(PRODUCT(1+N34:N$35))),4)</f>
        <v>1.0202</v>
      </c>
      <c r="V34" s="3179"/>
      <c r="W34" s="3179">
        <f t="shared" si="34"/>
        <v>1.0074000000000001</v>
      </c>
      <c r="X34" s="3177"/>
      <c r="Y34" s="3180"/>
      <c r="Z34" s="3208">
        <f t="shared" si="35"/>
        <v>4.5999999999999999E-3</v>
      </c>
      <c r="AA34" s="3210">
        <f t="shared" si="35"/>
        <v>4.1000000000000003E-3</v>
      </c>
      <c r="AB34" s="3180">
        <f t="shared" si="35"/>
        <v>0.01</v>
      </c>
      <c r="AC34" s="3209"/>
      <c r="AD34" s="3180">
        <f t="shared" si="35"/>
        <v>4.1000000000000003E-3</v>
      </c>
    </row>
    <row r="35" spans="1:30" s="3181" customFormat="1" ht="12.75">
      <c r="A35" s="3172" t="s">
        <v>2843</v>
      </c>
      <c r="B35" s="3173">
        <v>2021</v>
      </c>
      <c r="C35" s="3174">
        <v>2</v>
      </c>
      <c r="D35" s="3175"/>
      <c r="E35" s="3175">
        <v>0.55000000000000004</v>
      </c>
      <c r="F35" s="3175">
        <v>0.46</v>
      </c>
      <c r="G35" s="3175">
        <v>1.1000000000000001</v>
      </c>
      <c r="H35" s="3192"/>
      <c r="I35" s="3176">
        <f t="shared" si="26"/>
        <v>0.46</v>
      </c>
      <c r="J35" s="3177"/>
      <c r="K35" s="3178"/>
      <c r="L35" s="3168">
        <f t="shared" si="27"/>
        <v>5.5000000000000005E-3</v>
      </c>
      <c r="M35" s="3168">
        <f t="shared" si="27"/>
        <v>4.5999999999999999E-3</v>
      </c>
      <c r="N35" s="3168">
        <f t="shared" si="27"/>
        <v>1.1000000000000001E-2</v>
      </c>
      <c r="O35" s="3168"/>
      <c r="P35" s="3168">
        <f t="shared" si="33"/>
        <v>4.5999999999999999E-3</v>
      </c>
      <c r="Q35" s="3177"/>
      <c r="R35" s="3179"/>
      <c r="S35" s="3179">
        <f>ROUND(IF([2]项目基本情况!$B$8="出让",SUMPRODUCT(PRODUCT(1+L35:L$36)),SUMPRODUCT(PRODUCT(1+L35:L$35))),4)</f>
        <v>1.0055000000000001</v>
      </c>
      <c r="T35" s="3179">
        <f>ROUND(IF([2]项目基本情况!$B$8="出让",SUMPRODUCT(PRODUCT(1+M35:M$36)),SUMPRODUCT(PRODUCT(1+M35:M$35))),4)</f>
        <v>1.0045999999999999</v>
      </c>
      <c r="U35" s="3179">
        <f>ROUND(IF([2]项目基本情况!$B$8="出让",SUMPRODUCT(PRODUCT(1+N35:N$36)),SUMPRODUCT(PRODUCT(1+N35:N$35))),4)</f>
        <v>1.0109999999999999</v>
      </c>
      <c r="V35" s="3179"/>
      <c r="W35" s="3179">
        <f t="shared" si="34"/>
        <v>1.0045999999999999</v>
      </c>
      <c r="X35" s="3177"/>
      <c r="Y35" s="3180"/>
      <c r="Z35" s="3208">
        <f t="shared" si="35"/>
        <v>4.4999999999999997E-3</v>
      </c>
      <c r="AA35" s="3210">
        <f t="shared" si="35"/>
        <v>4.7000000000000002E-3</v>
      </c>
      <c r="AB35" s="3180">
        <f t="shared" si="35"/>
        <v>1.04E-2</v>
      </c>
      <c r="AC35" s="3209"/>
      <c r="AD35" s="3180">
        <f t="shared" si="35"/>
        <v>4.7000000000000002E-3</v>
      </c>
    </row>
    <row r="36" spans="1:30" s="3203" customFormat="1" thickBot="1">
      <c r="A36" s="3193" t="s">
        <v>2828</v>
      </c>
      <c r="B36" s="3194">
        <v>2021</v>
      </c>
      <c r="C36" s="3195">
        <v>1</v>
      </c>
      <c r="D36" s="3196"/>
      <c r="E36" s="3196">
        <v>0.35</v>
      </c>
      <c r="F36" s="3196">
        <v>0.48</v>
      </c>
      <c r="G36" s="3196">
        <v>0.98</v>
      </c>
      <c r="H36" s="3197"/>
      <c r="I36" s="3198">
        <f t="shared" si="26"/>
        <v>0.48</v>
      </c>
      <c r="J36" s="3199"/>
      <c r="K36" s="3200"/>
      <c r="L36" s="3201">
        <f t="shared" si="27"/>
        <v>3.4999999999999996E-3</v>
      </c>
      <c r="M36" s="3201">
        <f>F36/100</f>
        <v>4.7999999999999996E-3</v>
      </c>
      <c r="N36" s="3201">
        <f t="shared" si="27"/>
        <v>9.7999999999999997E-3</v>
      </c>
      <c r="O36" s="3201"/>
      <c r="P36" s="3201">
        <f t="shared" si="33"/>
        <v>4.7999999999999996E-3</v>
      </c>
      <c r="Q36" s="3199"/>
      <c r="R36" s="3202"/>
      <c r="S36" s="3202">
        <v>1</v>
      </c>
      <c r="T36" s="3202">
        <v>1</v>
      </c>
      <c r="U36" s="3202">
        <v>1</v>
      </c>
      <c r="V36" s="3202"/>
      <c r="W36" s="3202">
        <f t="shared" si="34"/>
        <v>1</v>
      </c>
      <c r="X36" s="3199"/>
      <c r="Y36" s="3201"/>
      <c r="Z36" s="3214">
        <f t="shared" si="35"/>
        <v>3.5000000000000001E-3</v>
      </c>
      <c r="AA36" s="3215">
        <f t="shared" si="35"/>
        <v>4.7999999999999996E-3</v>
      </c>
      <c r="AB36" s="3201">
        <f t="shared" si="35"/>
        <v>9.7999999999999997E-3</v>
      </c>
      <c r="AC36" s="3216"/>
      <c r="AD36" s="3201">
        <f t="shared" si="35"/>
        <v>4.7999999999999996E-3</v>
      </c>
    </row>
    <row r="37" spans="1:30" ht="14.25" thickTop="1"/>
    <row r="38" spans="1:30">
      <c r="A38" s="3444" t="s">
        <v>3373</v>
      </c>
    </row>
  </sheetData>
  <sheetProtection password="CEE9" sheet="1" objects="1" scenarios="1"/>
  <mergeCells count="4">
    <mergeCell ref="R21:W21"/>
    <mergeCell ref="Y21:AD21"/>
    <mergeCell ref="R1:W1"/>
    <mergeCell ref="Y1:AD1"/>
  </mergeCells>
  <phoneticPr fontId="13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50" t="s">
        <v>452</v>
      </c>
      <c r="C1" s="3850"/>
      <c r="D1" s="3850"/>
      <c r="E1" s="3850"/>
      <c r="F1" s="3850"/>
      <c r="G1" s="3846" t="s">
        <v>453</v>
      </c>
      <c r="H1" s="3846"/>
      <c r="I1" s="3846"/>
      <c r="J1" s="3846"/>
      <c r="K1" s="3846"/>
      <c r="L1" s="3846"/>
      <c r="N1" s="3846" t="s">
        <v>454</v>
      </c>
      <c r="O1" s="3846"/>
      <c r="P1" s="3846"/>
      <c r="Q1" s="3846"/>
      <c r="S1" s="3846" t="s">
        <v>455</v>
      </c>
      <c r="T1" s="3846"/>
      <c r="U1" s="3846"/>
      <c r="V1" s="3846"/>
      <c r="X1" s="3845" t="s">
        <v>456</v>
      </c>
      <c r="Y1" s="3846"/>
      <c r="Z1" s="3846"/>
      <c r="AA1" s="3846"/>
      <c r="AB1" s="3846"/>
      <c r="AD1" s="3845" t="s">
        <v>457</v>
      </c>
      <c r="AE1" s="3846"/>
      <c r="AF1" s="3846"/>
      <c r="AG1" s="3846"/>
      <c r="AH1" s="3846"/>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2113</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3368</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2">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3365</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2">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2114</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3366</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2">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3367</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2">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2438</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1">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2315</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6">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2314</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5">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2313</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9">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2311</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8">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2310</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5">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2129</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2127</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2126</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2125</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2123</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2122</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2124</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48">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2120</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48"/>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2119</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48"/>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2112</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55"/>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2110</v>
      </c>
      <c r="B25" s="2216">
        <v>439</v>
      </c>
      <c r="C25" s="2216">
        <v>327</v>
      </c>
      <c r="D25" s="2216">
        <f>C25</f>
        <v>327</v>
      </c>
      <c r="E25" s="2216">
        <v>627</v>
      </c>
      <c r="F25" s="2217">
        <v>283</v>
      </c>
      <c r="G25" s="3851">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2111</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48"/>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48"/>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55"/>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51">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48"/>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48"/>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49"/>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47">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48"/>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48"/>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49"/>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47">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48"/>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48"/>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49"/>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52">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53"/>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53"/>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54"/>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47">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48"/>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48"/>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49"/>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47">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48">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48">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49">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47">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48">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48">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49">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47">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48">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48">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49">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47">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48">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48">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49">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47">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48">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48">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49">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47">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48">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48">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49">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47">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48">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48">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49">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47">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48">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48">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49">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47">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48">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48">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49">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47">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48">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48">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49">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602</v>
      </c>
      <c r="C1" s="1292">
        <f>项目基本情况!D3</f>
        <v>45005</v>
      </c>
      <c r="D1" s="1298" t="s">
        <v>603</v>
      </c>
      <c r="E1" s="1293">
        <f>'数据-取费表'!B22</f>
        <v>3</v>
      </c>
      <c r="F1" s="1298" t="s">
        <v>604</v>
      </c>
      <c r="G1" s="1294">
        <f ca="1">INDIRECT("d"&amp;$K$1)/100</f>
        <v>3.6499999999999998E-2</v>
      </c>
      <c r="H1" s="1298" t="s">
        <v>634</v>
      </c>
      <c r="I1" s="1294">
        <f ca="1">F4/100</f>
        <v>1.4999999999999999E-2</v>
      </c>
      <c r="J1" s="1299">
        <f>IF(C1&gt;C13,0,MATCH(C1,C$13:C$109,-1))+IF(SUMIF(C13:C109,C1,D13:D109)=0,13,12)</f>
        <v>13</v>
      </c>
      <c r="K1" s="1299">
        <f ca="1">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3.65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3.65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3.65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3.65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611</v>
      </c>
      <c r="C7" s="1251">
        <v>5</v>
      </c>
      <c r="D7" s="1252">
        <f ca="1">INDIRECT("h"&amp;$J$1)</f>
        <v>4.3</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632</v>
      </c>
      <c r="C13" s="2817">
        <v>44795</v>
      </c>
      <c r="D13" s="2818">
        <v>3.65</v>
      </c>
      <c r="E13" s="2818">
        <f>D13</f>
        <v>3.65</v>
      </c>
      <c r="F13" s="2818">
        <f>D13</f>
        <v>3.65</v>
      </c>
      <c r="G13" s="2818">
        <f>D13</f>
        <v>3.65</v>
      </c>
      <c r="H13" s="2818">
        <v>4.3</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12"/>
      <c r="C14" s="2814">
        <v>44701</v>
      </c>
      <c r="D14" s="2813">
        <v>3.7</v>
      </c>
      <c r="E14" s="2813">
        <f>D14</f>
        <v>3.7</v>
      </c>
      <c r="F14" s="2813">
        <f>D14</f>
        <v>3.7</v>
      </c>
      <c r="G14" s="2813">
        <f>D14</f>
        <v>3.7</v>
      </c>
      <c r="H14" s="2813">
        <v>4.45</v>
      </c>
      <c r="I14" s="2818"/>
      <c r="J14" s="2818"/>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12"/>
      <c r="C15" s="2814">
        <v>44581</v>
      </c>
      <c r="D15" s="2813">
        <v>3.7</v>
      </c>
      <c r="E15" s="2813">
        <f>D15</f>
        <v>3.7</v>
      </c>
      <c r="F15" s="2813">
        <f>D15</f>
        <v>3.7</v>
      </c>
      <c r="G15" s="2813">
        <f>D15</f>
        <v>3.7</v>
      </c>
      <c r="H15" s="2813">
        <v>4.5999999999999996</v>
      </c>
      <c r="I15" s="2818"/>
      <c r="J15" s="2818"/>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13"/>
      <c r="C16" s="2814">
        <v>44550</v>
      </c>
      <c r="D16" s="2813">
        <v>3.8</v>
      </c>
      <c r="E16" s="2813">
        <f>D16</f>
        <v>3.8</v>
      </c>
      <c r="F16" s="2813">
        <f>D16</f>
        <v>3.8</v>
      </c>
      <c r="G16" s="2813">
        <f>D16</f>
        <v>3.8</v>
      </c>
      <c r="H16" s="2813">
        <v>4.6500000000000004</v>
      </c>
      <c r="I16" s="2813"/>
      <c r="J16" s="2818"/>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13"/>
      <c r="C17" s="2814">
        <v>43941</v>
      </c>
      <c r="D17" s="2813">
        <v>3.85</v>
      </c>
      <c r="E17" s="2813">
        <v>3.85</v>
      </c>
      <c r="F17" s="2813">
        <v>3.85</v>
      </c>
      <c r="G17" s="2813">
        <v>3.85</v>
      </c>
      <c r="H17" s="2813">
        <v>4.6500000000000004</v>
      </c>
      <c r="I17" s="2813"/>
      <c r="J17" s="2813"/>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13"/>
      <c r="C18" s="2814">
        <v>43881</v>
      </c>
      <c r="D18" s="2813">
        <v>4.05</v>
      </c>
      <c r="E18" s="2813">
        <v>4.05</v>
      </c>
      <c r="F18" s="2813">
        <v>4.05</v>
      </c>
      <c r="G18" s="2813">
        <v>4.05</v>
      </c>
      <c r="H18" s="2813">
        <v>4.75</v>
      </c>
      <c r="I18" s="2813"/>
      <c r="J18" s="2813"/>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0"/>
      <c r="B19" s="2813"/>
      <c r="C19" s="2814">
        <v>43789</v>
      </c>
      <c r="D19" s="2813">
        <v>4.1500000000000004</v>
      </c>
      <c r="E19" s="2813">
        <v>4.1500000000000004</v>
      </c>
      <c r="F19" s="2813">
        <v>4.1500000000000004</v>
      </c>
      <c r="G19" s="2813">
        <v>4.1500000000000004</v>
      </c>
      <c r="H19" s="2813">
        <v>4.8</v>
      </c>
      <c r="I19" s="2813"/>
      <c r="J19" s="2813"/>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13"/>
      <c r="C20" s="2814">
        <v>43728</v>
      </c>
      <c r="D20" s="2813">
        <v>4.2</v>
      </c>
      <c r="E20" s="2813">
        <v>4.2</v>
      </c>
      <c r="F20" s="2813">
        <v>4.2</v>
      </c>
      <c r="G20" s="2813">
        <v>4.2</v>
      </c>
      <c r="H20" s="2813">
        <v>4.8499999999999996</v>
      </c>
      <c r="I20" s="2813"/>
      <c r="J20" s="2813"/>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12" t="s">
        <v>2312</v>
      </c>
      <c r="C21" s="2815">
        <v>43697</v>
      </c>
      <c r="D21" s="2816">
        <v>4.25</v>
      </c>
      <c r="E21" s="2816">
        <v>4.25</v>
      </c>
      <c r="F21" s="2816">
        <v>4.25</v>
      </c>
      <c r="G21" s="2816">
        <v>4.25</v>
      </c>
      <c r="H21" s="2816">
        <v>4.8499999999999996</v>
      </c>
      <c r="I21" s="2816"/>
      <c r="J21" s="2816"/>
      <c r="K21" s="1274"/>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2819"/>
      <c r="B22" s="2820"/>
      <c r="C22" s="2821">
        <v>42301</v>
      </c>
      <c r="D22" s="2822">
        <v>4.3499999999999996</v>
      </c>
      <c r="E22" s="2822">
        <v>4.3499999999999996</v>
      </c>
      <c r="F22" s="2822">
        <v>4.75</v>
      </c>
      <c r="G22" s="2822">
        <v>4.75</v>
      </c>
      <c r="H22" s="2822">
        <v>4.9000000000000004</v>
      </c>
      <c r="I22" s="2822"/>
      <c r="J22" s="2822"/>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c r="B23" s="1286"/>
      <c r="C23" s="1287">
        <v>42242</v>
      </c>
      <c r="D23" s="1286">
        <v>4.5999999999999996</v>
      </c>
      <c r="E23" s="1286">
        <v>4.5999999999999996</v>
      </c>
      <c r="F23" s="1286">
        <v>5</v>
      </c>
      <c r="G23" s="1286">
        <v>5</v>
      </c>
      <c r="H23" s="1286">
        <v>5.15</v>
      </c>
      <c r="I23" s="1286">
        <v>2.75</v>
      </c>
      <c r="J23" s="1286">
        <v>3.25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c r="B24" s="1286"/>
      <c r="C24" s="1287">
        <v>42183</v>
      </c>
      <c r="D24" s="1286">
        <v>4.8499999999999996</v>
      </c>
      <c r="E24" s="1286">
        <v>4.8499999999999996</v>
      </c>
      <c r="F24" s="1286">
        <v>5.25</v>
      </c>
      <c r="G24" s="1286">
        <v>5.25</v>
      </c>
      <c r="H24" s="1286">
        <v>5.4</v>
      </c>
      <c r="I24" s="1286">
        <v>3</v>
      </c>
      <c r="J24" s="1286">
        <v>3.5</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42135</v>
      </c>
      <c r="D25" s="1286">
        <v>5.0999999999999996</v>
      </c>
      <c r="E25" s="1286">
        <v>5.0999999999999996</v>
      </c>
      <c r="F25" s="1286">
        <v>5.5</v>
      </c>
      <c r="G25" s="1286">
        <v>5.5</v>
      </c>
      <c r="H25" s="1286">
        <v>5.65</v>
      </c>
      <c r="I25" s="1286">
        <v>3.25</v>
      </c>
      <c r="J25" s="1286">
        <v>3.75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42064</v>
      </c>
      <c r="D26" s="1286">
        <v>5.35</v>
      </c>
      <c r="E26" s="1286">
        <v>5.35</v>
      </c>
      <c r="F26" s="1286">
        <v>5.75</v>
      </c>
      <c r="G26" s="1286">
        <v>5.75</v>
      </c>
      <c r="H26" s="1286">
        <v>5.9</v>
      </c>
      <c r="I26" s="1286"/>
      <c r="J26" s="1286"/>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41965</v>
      </c>
      <c r="D27" s="1286">
        <v>5.6</v>
      </c>
      <c r="E27" s="1286">
        <v>5.6</v>
      </c>
      <c r="F27" s="1286">
        <v>6</v>
      </c>
      <c r="G27" s="1286">
        <v>6</v>
      </c>
      <c r="H27" s="1286">
        <v>6.15</v>
      </c>
      <c r="I27" s="1286"/>
      <c r="J27" s="1286"/>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41096</v>
      </c>
      <c r="D28" s="1286">
        <v>5.6</v>
      </c>
      <c r="E28" s="1286">
        <v>6</v>
      </c>
      <c r="F28" s="1286">
        <v>6.15</v>
      </c>
      <c r="G28" s="1286">
        <v>6.4</v>
      </c>
      <c r="H28" s="1286">
        <v>6.55</v>
      </c>
      <c r="I28" s="1286">
        <v>4</v>
      </c>
      <c r="J28" s="1286">
        <v>4.5</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41068</v>
      </c>
      <c r="D29" s="1286">
        <v>5.85</v>
      </c>
      <c r="E29" s="1286">
        <v>6.31</v>
      </c>
      <c r="F29" s="1286">
        <v>6.4</v>
      </c>
      <c r="G29" s="1286">
        <v>6.65</v>
      </c>
      <c r="H29" s="1286">
        <v>6.8</v>
      </c>
      <c r="I29" s="1286">
        <v>4.2</v>
      </c>
      <c r="J29" s="1286">
        <v>4.7</v>
      </c>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40731</v>
      </c>
      <c r="D30" s="1286">
        <v>6.1</v>
      </c>
      <c r="E30" s="1286">
        <v>6.56</v>
      </c>
      <c r="F30" s="1286">
        <v>6.65</v>
      </c>
      <c r="G30" s="1286">
        <v>6.9</v>
      </c>
      <c r="H30" s="1286">
        <v>7.05</v>
      </c>
      <c r="I30" s="1286">
        <v>4.45</v>
      </c>
      <c r="J30" s="1286">
        <v>4.9000000000000004</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40639</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40583</v>
      </c>
      <c r="D32" s="1286">
        <v>5.6</v>
      </c>
      <c r="E32" s="1286">
        <v>6.06</v>
      </c>
      <c r="F32" s="1286">
        <v>6.1</v>
      </c>
      <c r="G32" s="1286">
        <v>6.45</v>
      </c>
      <c r="H32" s="1286">
        <v>6.6</v>
      </c>
      <c r="I32" s="1286">
        <v>4</v>
      </c>
      <c r="J32" s="1286">
        <v>4.5</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40538</v>
      </c>
      <c r="D33" s="1286">
        <v>5.35</v>
      </c>
      <c r="E33" s="1286">
        <v>5.81</v>
      </c>
      <c r="F33" s="1286">
        <v>5.85</v>
      </c>
      <c r="G33" s="1286">
        <v>6.22</v>
      </c>
      <c r="H33" s="1286">
        <v>6.4</v>
      </c>
      <c r="I33" s="1286">
        <v>3.75</v>
      </c>
      <c r="J33" s="1286">
        <v>4.3</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40471</v>
      </c>
      <c r="D34" s="1286">
        <v>5.0999999999999996</v>
      </c>
      <c r="E34" s="1286">
        <v>5.56</v>
      </c>
      <c r="F34" s="1286">
        <v>5.6</v>
      </c>
      <c r="G34" s="1286">
        <v>5.96</v>
      </c>
      <c r="H34" s="1286">
        <v>6.14</v>
      </c>
      <c r="I34" s="1286">
        <v>3.5</v>
      </c>
      <c r="J34" s="1286">
        <v>4.05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39805</v>
      </c>
      <c r="D35" s="1286">
        <v>4.8600000000000003</v>
      </c>
      <c r="E35" s="1286">
        <v>5.31</v>
      </c>
      <c r="F35" s="1286">
        <v>5.4</v>
      </c>
      <c r="G35" s="1286">
        <v>5.76</v>
      </c>
      <c r="H35" s="1286">
        <v>5.94</v>
      </c>
      <c r="I35" s="1286">
        <v>3.33</v>
      </c>
      <c r="J35" s="1286">
        <v>3.87</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39779</v>
      </c>
      <c r="D36" s="1286">
        <v>5.04</v>
      </c>
      <c r="E36" s="1286">
        <v>5.58</v>
      </c>
      <c r="F36" s="1286">
        <v>5.67</v>
      </c>
      <c r="G36" s="1286">
        <v>5.94</v>
      </c>
      <c r="H36" s="1286">
        <v>6.12</v>
      </c>
      <c r="I36" s="1286">
        <v>3.51</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39751</v>
      </c>
      <c r="D37" s="1286">
        <v>6.03</v>
      </c>
      <c r="E37" s="1286">
        <v>6.66</v>
      </c>
      <c r="F37" s="1286">
        <v>6.75</v>
      </c>
      <c r="G37" s="1286">
        <v>7.02</v>
      </c>
      <c r="H37" s="1286">
        <v>7.2</v>
      </c>
      <c r="I37" s="1286">
        <v>4.05</v>
      </c>
      <c r="J37" s="1286">
        <v>4.59</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8">
        <v>39748</v>
      </c>
      <c r="D38" s="1286">
        <v>6.12</v>
      </c>
      <c r="E38" s="1286">
        <v>6.93</v>
      </c>
      <c r="F38" s="1286">
        <v>7.02</v>
      </c>
      <c r="G38" s="1286">
        <v>7.29</v>
      </c>
      <c r="H38" s="1286">
        <v>7.47</v>
      </c>
      <c r="I38" s="1286">
        <v>4.05</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39730</v>
      </c>
      <c r="D39" s="1286">
        <v>6.12</v>
      </c>
      <c r="E39" s="1286">
        <v>6.93</v>
      </c>
      <c r="F39" s="1286">
        <v>7.02</v>
      </c>
      <c r="G39" s="1286">
        <v>7.29</v>
      </c>
      <c r="H39" s="1286">
        <v>7.47</v>
      </c>
      <c r="I39" s="1286">
        <v>4.32</v>
      </c>
      <c r="J39" s="1286">
        <v>4.8600000000000003</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39707</v>
      </c>
      <c r="D40" s="1286">
        <v>6.21</v>
      </c>
      <c r="E40" s="1286">
        <v>7.2</v>
      </c>
      <c r="F40" s="1286">
        <v>7.29</v>
      </c>
      <c r="G40" s="1286">
        <v>7.56</v>
      </c>
      <c r="H40" s="1286">
        <v>7.74</v>
      </c>
      <c r="I40" s="1286">
        <v>4.59</v>
      </c>
      <c r="J40" s="1286">
        <v>5.13</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39437</v>
      </c>
      <c r="D41" s="1286">
        <v>6.57</v>
      </c>
      <c r="E41" s="1286">
        <v>7.47</v>
      </c>
      <c r="F41" s="1286">
        <v>7.56</v>
      </c>
      <c r="G41" s="1286">
        <v>7.74</v>
      </c>
      <c r="H41" s="1286">
        <v>7.83</v>
      </c>
      <c r="I41" s="1286">
        <v>4.7699999999999996</v>
      </c>
      <c r="J41" s="1286">
        <v>5.22</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39340</v>
      </c>
      <c r="D42" s="1286">
        <v>6.48</v>
      </c>
      <c r="E42" s="1286">
        <v>7.29</v>
      </c>
      <c r="F42" s="1286">
        <v>7.47</v>
      </c>
      <c r="G42" s="1286">
        <v>7.65</v>
      </c>
      <c r="H42" s="1286">
        <v>7.83</v>
      </c>
      <c r="I42" s="1286">
        <v>4.7699999999999996</v>
      </c>
      <c r="J42" s="1286">
        <v>5.22</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39316</v>
      </c>
      <c r="D43" s="1286">
        <v>6.21</v>
      </c>
      <c r="E43" s="1286">
        <v>7.02</v>
      </c>
      <c r="F43" s="1286">
        <v>7.2</v>
      </c>
      <c r="G43" s="1286">
        <v>7.38</v>
      </c>
      <c r="H43" s="1286">
        <v>7.56</v>
      </c>
      <c r="I43" s="1286">
        <v>4.59</v>
      </c>
      <c r="J43" s="1286">
        <v>5.04</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39284</v>
      </c>
      <c r="D44" s="1286">
        <v>6.03</v>
      </c>
      <c r="E44" s="1286">
        <v>6.84</v>
      </c>
      <c r="F44" s="1286">
        <v>7.02</v>
      </c>
      <c r="G44" s="1286">
        <v>7.2</v>
      </c>
      <c r="H44" s="1286">
        <v>7.38</v>
      </c>
      <c r="I44" s="1286">
        <v>4.5</v>
      </c>
      <c r="J44" s="1286">
        <v>4.95</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39221</v>
      </c>
      <c r="D45" s="1286">
        <v>5.85</v>
      </c>
      <c r="E45" s="1286">
        <v>6.57</v>
      </c>
      <c r="F45" s="1286">
        <v>6.75</v>
      </c>
      <c r="G45" s="1286">
        <v>6.93</v>
      </c>
      <c r="H45" s="1286">
        <v>7.2</v>
      </c>
      <c r="I45" s="1286">
        <v>4.41</v>
      </c>
      <c r="J45" s="1286">
        <v>4.8600000000000003</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39159</v>
      </c>
      <c r="D46" s="1286">
        <v>5.67</v>
      </c>
      <c r="E46" s="1286">
        <v>6.39</v>
      </c>
      <c r="F46" s="1286">
        <v>6.57</v>
      </c>
      <c r="G46" s="1286">
        <v>6.75</v>
      </c>
      <c r="H46" s="1286">
        <v>7.11</v>
      </c>
      <c r="I46" s="1286">
        <v>4.32</v>
      </c>
      <c r="J46" s="1286">
        <v>4.7699999999999996</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38948</v>
      </c>
      <c r="D47" s="1286">
        <v>5.58</v>
      </c>
      <c r="E47" s="1286">
        <v>6.12</v>
      </c>
      <c r="F47" s="1286">
        <v>6.3</v>
      </c>
      <c r="G47" s="1286">
        <v>6.48</v>
      </c>
      <c r="H47" s="1286">
        <v>6.84</v>
      </c>
      <c r="I47" s="1286">
        <v>4.1399999999999997</v>
      </c>
      <c r="J47" s="1286">
        <v>4.59</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38835</v>
      </c>
      <c r="D48" s="1286">
        <v>5.4</v>
      </c>
      <c r="E48" s="1286">
        <v>5.85</v>
      </c>
      <c r="F48" s="1286">
        <v>6.03</v>
      </c>
      <c r="G48" s="1286">
        <v>6.12</v>
      </c>
      <c r="H48" s="1286">
        <v>6.39</v>
      </c>
      <c r="I48" s="1286">
        <v>4.1399999999999997</v>
      </c>
      <c r="J48" s="1286">
        <v>4.59</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38428</v>
      </c>
      <c r="D49" s="1286">
        <v>5.22</v>
      </c>
      <c r="E49" s="1286">
        <v>5.58</v>
      </c>
      <c r="F49" s="1286">
        <v>5.76</v>
      </c>
      <c r="G49" s="1286">
        <v>5.85</v>
      </c>
      <c r="H49" s="1286">
        <v>6.12</v>
      </c>
      <c r="I49" s="1286">
        <v>3.96</v>
      </c>
      <c r="J49" s="1286">
        <v>4.41</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38289</v>
      </c>
      <c r="D50" s="1286">
        <v>5.22</v>
      </c>
      <c r="E50" s="1286">
        <v>5.58</v>
      </c>
      <c r="F50" s="1286">
        <v>5.76</v>
      </c>
      <c r="G50" s="1286">
        <v>5.85</v>
      </c>
      <c r="H50" s="1286">
        <v>6.12</v>
      </c>
      <c r="I50" s="1286">
        <v>3.78</v>
      </c>
      <c r="J50" s="1286">
        <v>4.2300000000000004</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37308</v>
      </c>
      <c r="D51" s="1286">
        <v>5.04</v>
      </c>
      <c r="E51" s="1286">
        <v>5.31</v>
      </c>
      <c r="F51" s="1286">
        <v>5.49</v>
      </c>
      <c r="G51" s="1286">
        <v>5.58</v>
      </c>
      <c r="H51" s="1286">
        <v>5.76</v>
      </c>
      <c r="I51" s="1286">
        <v>3.6</v>
      </c>
      <c r="J51" s="1286">
        <v>4.05</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36321</v>
      </c>
      <c r="D52" s="1286">
        <v>5.58</v>
      </c>
      <c r="E52" s="1286">
        <v>5.85</v>
      </c>
      <c r="F52" s="1286">
        <v>5.94</v>
      </c>
      <c r="G52" s="1286">
        <v>6.03</v>
      </c>
      <c r="H52" s="1286">
        <v>6.21</v>
      </c>
      <c r="I52" s="1286">
        <v>4.1399999999999997</v>
      </c>
      <c r="J52" s="1286">
        <v>4.59</v>
      </c>
      <c r="L52" s="1286"/>
      <c r="M52" s="1287"/>
      <c r="N52" s="1286"/>
      <c r="O52" s="1286"/>
      <c r="P52" s="1286"/>
      <c r="Q52" s="1286"/>
      <c r="R52" s="1286"/>
      <c r="S52" s="1286"/>
      <c r="T52" s="1286"/>
      <c r="U52" s="1286"/>
      <c r="V52" s="1286"/>
      <c r="W52" s="1286"/>
      <c r="X52" s="1286"/>
      <c r="Y52" s="1286"/>
      <c r="Z52" s="1286"/>
    </row>
    <row r="53" spans="2:26">
      <c r="B53" s="1286"/>
      <c r="C53" s="1287">
        <v>36136</v>
      </c>
      <c r="D53" s="1286">
        <v>6.12</v>
      </c>
      <c r="E53" s="1286">
        <v>6.39</v>
      </c>
      <c r="F53" s="1286">
        <v>6.66</v>
      </c>
      <c r="G53" s="1286">
        <v>7.2</v>
      </c>
      <c r="H53" s="1286">
        <v>7.56</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35977</v>
      </c>
      <c r="D54" s="1286">
        <v>6.57</v>
      </c>
      <c r="E54" s="1286">
        <v>6.93</v>
      </c>
      <c r="F54" s="1286">
        <v>7.11</v>
      </c>
      <c r="G54" s="1286">
        <v>7.65</v>
      </c>
      <c r="H54" s="1286">
        <v>8.01</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35879</v>
      </c>
      <c r="D55" s="1286">
        <v>7.02</v>
      </c>
      <c r="E55" s="1286">
        <v>7.92</v>
      </c>
      <c r="F55" s="1286">
        <v>9</v>
      </c>
      <c r="G55" s="1286">
        <v>9.7200000000000006</v>
      </c>
      <c r="H55" s="1286">
        <v>10.35</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35726</v>
      </c>
      <c r="D56" s="1286">
        <v>7.65</v>
      </c>
      <c r="E56" s="1286">
        <v>8.64</v>
      </c>
      <c r="F56" s="1286">
        <v>9.36</v>
      </c>
      <c r="G56" s="1286">
        <v>9.9</v>
      </c>
      <c r="H56" s="1286">
        <v>10.53</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35300</v>
      </c>
      <c r="D57" s="1286">
        <v>9.18</v>
      </c>
      <c r="E57" s="1286">
        <v>10.08</v>
      </c>
      <c r="F57" s="1286">
        <v>10.98</v>
      </c>
      <c r="G57" s="1286">
        <v>11.7</v>
      </c>
      <c r="H57" s="1286">
        <v>12.42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35186</v>
      </c>
      <c r="D58" s="1286">
        <v>9.7200000000000006</v>
      </c>
      <c r="E58" s="1286">
        <v>10.98</v>
      </c>
      <c r="F58" s="1286">
        <v>13.14</v>
      </c>
      <c r="G58" s="1286">
        <v>14.94</v>
      </c>
      <c r="H58" s="1286">
        <v>15.12</v>
      </c>
      <c r="I58" s="1286">
        <v>0</v>
      </c>
      <c r="J58" s="1286">
        <v>0</v>
      </c>
    </row>
    <row r="59" spans="2:26">
      <c r="B59" s="1286"/>
      <c r="C59" s="1287">
        <v>34881</v>
      </c>
      <c r="D59" s="1286">
        <v>10.08</v>
      </c>
      <c r="E59" s="1286">
        <v>12.06</v>
      </c>
      <c r="F59" s="1286">
        <v>13.5</v>
      </c>
      <c r="G59" s="1286">
        <v>15.12</v>
      </c>
      <c r="H59" s="1286">
        <v>15.3</v>
      </c>
      <c r="I59" s="1286">
        <v>0</v>
      </c>
      <c r="J59" s="1286">
        <v>0</v>
      </c>
    </row>
    <row r="60" spans="2:26">
      <c r="B60" s="1286"/>
      <c r="C60" s="1287">
        <v>34700</v>
      </c>
      <c r="D60" s="1286">
        <v>9</v>
      </c>
      <c r="E60" s="1286">
        <v>10.98</v>
      </c>
      <c r="F60" s="1286">
        <v>12.96</v>
      </c>
      <c r="G60" s="1286">
        <v>14.58</v>
      </c>
      <c r="H60" s="1286">
        <v>14.76</v>
      </c>
      <c r="I60" s="1286">
        <v>0</v>
      </c>
      <c r="J60" s="1286">
        <v>0</v>
      </c>
    </row>
    <row r="61" spans="2:26">
      <c r="B61" s="1286"/>
      <c r="C61" s="1287">
        <v>34161</v>
      </c>
      <c r="D61" s="1286">
        <v>9</v>
      </c>
      <c r="E61" s="1286">
        <v>10.98</v>
      </c>
      <c r="F61" s="1286">
        <v>12.24</v>
      </c>
      <c r="G61" s="1286">
        <v>13.86</v>
      </c>
      <c r="H61" s="1286">
        <v>14.04</v>
      </c>
      <c r="I61" s="1286">
        <v>0</v>
      </c>
      <c r="J61" s="1286">
        <v>0</v>
      </c>
    </row>
    <row r="62" spans="2:26">
      <c r="B62" s="1286"/>
      <c r="C62" s="1287">
        <v>34104</v>
      </c>
      <c r="D62" s="1286">
        <v>8.82</v>
      </c>
      <c r="E62" s="1286">
        <v>9.36</v>
      </c>
      <c r="F62" s="1286">
        <v>10.8</v>
      </c>
      <c r="G62" s="1286">
        <v>12.06</v>
      </c>
      <c r="H62" s="1286">
        <v>12.24</v>
      </c>
      <c r="I62" s="1286">
        <v>0</v>
      </c>
      <c r="J62" s="1286">
        <v>0</v>
      </c>
    </row>
    <row r="63" spans="2:26">
      <c r="B63" s="1286"/>
      <c r="C63" s="1287">
        <v>33349</v>
      </c>
      <c r="D63" s="1286">
        <v>8.1</v>
      </c>
      <c r="E63" s="1286">
        <v>8.64</v>
      </c>
      <c r="F63" s="1286">
        <v>9</v>
      </c>
      <c r="G63" s="1286">
        <v>9.5399999999999991</v>
      </c>
      <c r="H63" s="1286">
        <v>9.7200000000000006</v>
      </c>
      <c r="I63" s="1286">
        <v>0</v>
      </c>
      <c r="J63" s="1286">
        <v>0</v>
      </c>
    </row>
    <row r="64" spans="2:26">
      <c r="B64" s="1286"/>
      <c r="C64" s="1287">
        <v>33318</v>
      </c>
      <c r="D64" s="1286">
        <v>9</v>
      </c>
      <c r="E64" s="1286">
        <v>10.08</v>
      </c>
      <c r="F64" s="1286">
        <v>10.8</v>
      </c>
      <c r="G64" s="1286">
        <v>11.52</v>
      </c>
      <c r="H64" s="1286">
        <v>11.88</v>
      </c>
      <c r="I64" s="1286" t="s">
        <v>633</v>
      </c>
      <c r="J64" s="1286" t="s">
        <v>633</v>
      </c>
    </row>
    <row r="65" spans="2:10">
      <c r="B65" s="1286"/>
      <c r="C65" s="1287">
        <v>33106</v>
      </c>
      <c r="D65" s="1286">
        <v>8.64</v>
      </c>
      <c r="E65" s="1286">
        <v>9.36</v>
      </c>
      <c r="F65" s="1286">
        <v>10.08</v>
      </c>
      <c r="G65" s="1286">
        <v>10.8</v>
      </c>
      <c r="H65" s="1286">
        <v>11.16</v>
      </c>
      <c r="I65" s="1286">
        <v>0</v>
      </c>
      <c r="J65" s="1286">
        <v>0</v>
      </c>
    </row>
    <row r="66" spans="2:10">
      <c r="B66" s="1286"/>
      <c r="C66" s="1287">
        <v>32540</v>
      </c>
      <c r="D66" s="1286">
        <v>11.34</v>
      </c>
      <c r="E66" s="1286">
        <v>11.34</v>
      </c>
      <c r="F66" s="1286">
        <v>12.78</v>
      </c>
      <c r="G66" s="1286">
        <v>14.4</v>
      </c>
      <c r="H66" s="1286">
        <v>19.260000000000002</v>
      </c>
      <c r="I66" s="1286">
        <v>0</v>
      </c>
      <c r="J66" s="1286">
        <v>0</v>
      </c>
    </row>
    <row r="67" spans="2:10">
      <c r="B67" s="1286"/>
      <c r="C67" s="1287"/>
      <c r="D67" s="1286"/>
      <c r="E67" s="1286"/>
      <c r="F67" s="1286"/>
      <c r="G67" s="1286"/>
      <c r="H67" s="1286"/>
      <c r="I67" s="1286"/>
      <c r="J67" s="1286"/>
    </row>
    <row r="68" spans="2:10">
      <c r="B68" s="1289"/>
      <c r="C68" s="1290"/>
      <c r="D68" s="1289"/>
      <c r="E68" s="1289"/>
      <c r="F68" s="1289"/>
      <c r="G68" s="1289"/>
      <c r="H68" s="1289"/>
      <c r="I68" s="1289"/>
      <c r="J68" s="1289"/>
    </row>
    <row r="69" spans="2:10">
      <c r="B69" s="1289"/>
      <c r="C69" s="1290"/>
      <c r="D69" s="1289"/>
      <c r="E69" s="1289"/>
      <c r="F69" s="1289"/>
      <c r="G69" s="1289"/>
      <c r="H69" s="1289"/>
      <c r="I69" s="1289"/>
      <c r="J69" s="1289"/>
    </row>
    <row r="70" spans="2:10">
      <c r="B70" s="1289"/>
      <c r="C70" s="1290"/>
      <c r="D70" s="1289"/>
      <c r="E70" s="1289"/>
      <c r="F70" s="1289"/>
      <c r="G70" s="1289"/>
      <c r="H70" s="1289"/>
      <c r="I70" s="1289"/>
      <c r="J70" s="1289"/>
    </row>
    <row r="71" spans="2:10">
      <c r="B71" s="1238"/>
      <c r="C71" s="1238"/>
      <c r="D71" s="1238"/>
      <c r="E71" s="1238"/>
      <c r="F71" s="1238"/>
      <c r="G71" s="1238"/>
      <c r="H71" s="1238"/>
      <c r="I71" s="1238"/>
      <c r="J71" s="1238"/>
    </row>
    <row r="72" spans="2:10">
      <c r="B72" s="1238"/>
      <c r="C72" s="1238"/>
      <c r="D72" s="1238"/>
      <c r="E72" s="1238"/>
      <c r="F72" s="1238"/>
      <c r="G72" s="1238"/>
      <c r="H72" s="1238"/>
      <c r="I72" s="1238"/>
      <c r="J72" s="1238"/>
    </row>
  </sheetData>
  <sheetProtection password="CEE9" sheet="1" objects="1" scenarios="1"/>
  <phoneticPr fontId="13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D3" sqref="D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1831</v>
      </c>
      <c r="B1" s="1219" t="s">
        <v>21</v>
      </c>
      <c r="C1" s="1220" t="s">
        <v>1662</v>
      </c>
      <c r="D1" s="1221" t="s">
        <v>3951</v>
      </c>
      <c r="E1" s="3429" t="s">
        <v>3937</v>
      </c>
      <c r="F1" s="1875" t="s">
        <v>3938</v>
      </c>
      <c r="G1" s="1223" t="s">
        <v>1767</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2" customFormat="1" ht="28.5" customHeight="1" thickTop="1">
      <c r="A2" s="1217" t="s">
        <v>1462</v>
      </c>
      <c r="B2" s="1161">
        <f>IF(E1="项目模式",IF(C2="——",IF(B37="元/平方米",ROUND(C39*D3/10000,0),ROUND(F3*C39/10000,0)),IF(B37="元/平方米",ROUND(C39*D3/10000,0),ROUND(F3*C39/10000,0))-D2),IF(E1="单套模式",IF(C2="——",IF(B37="元/平方米",ROUND(C39*D3/10000,0),ROUND(F3*C39/10000,0)),IF(B37="元/平方米",ROUND(C39*D3/10000,0),ROUND(F3*C39/10000,0))-D2)))</f>
        <v>20109</v>
      </c>
      <c r="C2" s="1877" t="s">
        <v>43</v>
      </c>
      <c r="D2" s="904" t="e">
        <f ca="1">IF(E1="项目模式",SUMIF(INDIRECT("'"&amp;F2&amp;"'"&amp;"!A:A"),"承租人权益价值",INDIRECT("'"&amp;F2&amp;"'"&amp;"!c:c")),SUMIF(INDIRECT("'"&amp;F2&amp;"'"&amp;"!A:A"),"承租人权益价值（单套）",INDIRECT("'"&amp;F2&amp;"'"&amp;"!c:c")))</f>
        <v>#REF!</v>
      </c>
      <c r="E2" s="1878" t="s">
        <v>1463</v>
      </c>
      <c r="F2" s="1879"/>
      <c r="G2" s="905"/>
      <c r="H2" s="905"/>
      <c r="I2" s="905"/>
      <c r="J2" s="905"/>
      <c r="K2" s="907"/>
      <c r="L2" s="2730"/>
      <c r="M2" s="2731"/>
      <c r="N2" s="2731"/>
      <c r="O2" s="2731"/>
      <c r="P2" s="1162"/>
      <c r="Q2" s="699"/>
      <c r="R2" s="699"/>
      <c r="S2" s="699"/>
      <c r="T2" s="699"/>
      <c r="U2" s="699"/>
      <c r="V2" s="699"/>
      <c r="W2" s="699"/>
      <c r="X2" s="699"/>
      <c r="Y2" s="699"/>
      <c r="Z2" s="699"/>
      <c r="AA2" s="699"/>
      <c r="AB2" s="699"/>
      <c r="AC2" s="700"/>
    </row>
    <row r="3" spans="1:29" s="352" customFormat="1" ht="28.5" customHeight="1" thickBot="1">
      <c r="A3" s="203" t="s">
        <v>1464</v>
      </c>
      <c r="B3" s="558">
        <f>IF(AND(C2="——",B37="元/平方米"),C39,ROUND(B2*10000/D3,0))</f>
        <v>4368</v>
      </c>
      <c r="C3" s="354" t="s">
        <v>1768</v>
      </c>
      <c r="D3" s="353">
        <f>SUMIF('数据-汇总表'!$C19:$C33,D1,'数据-汇总表'!$E19:$E33)</f>
        <v>46034.520000000011</v>
      </c>
      <c r="E3" s="354" t="s">
        <v>1832</v>
      </c>
      <c r="F3" s="353">
        <f>SUMIF('数据-取费表'!A5:A15,D1,'数据-取费表'!AH5:AH15)</f>
        <v>976</v>
      </c>
      <c r="G3" s="905"/>
      <c r="H3" s="905"/>
      <c r="I3" s="905"/>
      <c r="J3" s="905"/>
      <c r="K3" s="907"/>
      <c r="L3" s="2730"/>
      <c r="M3" s="2731">
        <f>IF(C2="——",IF(B37="元/平方米",ROUND(C39*D3/10000,0),ROUND(F3*C39/10000,0)),IF(B37="元/平方米",ROUND(C39*D3/10000,0),ROUND(F3*C39/10000,0))-D2)</f>
        <v>20109</v>
      </c>
      <c r="N3" s="2731"/>
      <c r="O3" s="2731"/>
      <c r="P3" s="1162"/>
      <c r="Q3" s="699"/>
      <c r="R3" s="699"/>
      <c r="S3" s="699"/>
      <c r="T3" s="699"/>
      <c r="U3" s="699"/>
      <c r="V3" s="699"/>
      <c r="W3" s="699"/>
      <c r="X3" s="699"/>
      <c r="Y3" s="699"/>
      <c r="Z3" s="699"/>
      <c r="AA3" s="699"/>
      <c r="AB3" s="716"/>
      <c r="AC3" s="713"/>
    </row>
    <row r="4" spans="1:29" ht="15">
      <c r="A4" s="355" t="s">
        <v>1769</v>
      </c>
      <c r="B4" s="356"/>
      <c r="C4" s="3719" t="s">
        <v>1770</v>
      </c>
      <c r="D4" s="3720"/>
      <c r="E4" s="3721" t="s">
        <v>1771</v>
      </c>
      <c r="F4" s="3722"/>
      <c r="G4" s="3719" t="s">
        <v>1772</v>
      </c>
      <c r="H4" s="3720"/>
      <c r="I4" s="3719" t="s">
        <v>1773</v>
      </c>
      <c r="J4" s="3720"/>
      <c r="K4" s="559" t="s">
        <v>1774</v>
      </c>
      <c r="L4" s="2711"/>
      <c r="M4" s="2712"/>
      <c r="N4" s="2712"/>
      <c r="O4" s="2712"/>
      <c r="P4" s="3723" t="s">
        <v>1775</v>
      </c>
      <c r="Q4" s="3724"/>
      <c r="R4" s="3706" t="s">
        <v>1771</v>
      </c>
      <c r="S4" s="3707"/>
      <c r="T4" s="3706" t="s">
        <v>1772</v>
      </c>
      <c r="U4" s="3707"/>
      <c r="V4" s="3731" t="s">
        <v>1773</v>
      </c>
      <c r="W4" s="3731"/>
      <c r="X4" s="1351"/>
      <c r="Y4" s="3706" t="s">
        <v>1775</v>
      </c>
      <c r="Z4" s="3707"/>
      <c r="AA4" s="3701" t="s">
        <v>1771</v>
      </c>
      <c r="AB4" s="3702" t="s">
        <v>1772</v>
      </c>
      <c r="AC4" s="3701" t="s">
        <v>1773</v>
      </c>
    </row>
    <row r="5" spans="1:29" ht="15">
      <c r="A5" s="358"/>
      <c r="B5" s="359"/>
      <c r="C5" s="3712" t="s">
        <v>1673</v>
      </c>
      <c r="D5" s="3713"/>
      <c r="E5" s="3780" t="s">
        <v>3979</v>
      </c>
      <c r="F5" s="3711"/>
      <c r="G5" s="3712" t="str">
        <f>车位案例!$A$48</f>
        <v>新一代伟业国际</v>
      </c>
      <c r="H5" s="3713"/>
      <c r="I5" s="3712" t="str">
        <f>车位案例!$A$102</f>
        <v>万达西安One</v>
      </c>
      <c r="J5" s="3713"/>
      <c r="K5" s="559"/>
      <c r="L5" s="2711"/>
      <c r="M5" s="2712"/>
      <c r="N5" s="2712"/>
      <c r="O5" s="2712"/>
      <c r="P5" s="3725"/>
      <c r="Q5" s="3726"/>
      <c r="R5" s="3708"/>
      <c r="S5" s="3709"/>
      <c r="T5" s="3708"/>
      <c r="U5" s="3709"/>
      <c r="V5" s="3731"/>
      <c r="W5" s="3731"/>
      <c r="X5" s="1351"/>
      <c r="Y5" s="3708"/>
      <c r="Z5" s="3709"/>
      <c r="AA5" s="3702"/>
      <c r="AB5" s="3702"/>
      <c r="AC5" s="3702"/>
    </row>
    <row r="6" spans="1:29" ht="15.75" thickBot="1">
      <c r="A6" s="360"/>
      <c r="B6" s="361"/>
      <c r="C6" s="3714" t="s">
        <v>1677</v>
      </c>
      <c r="D6" s="3715"/>
      <c r="E6" s="3716" t="s">
        <v>1677</v>
      </c>
      <c r="F6" s="3717"/>
      <c r="G6" s="3714" t="s">
        <v>1677</v>
      </c>
      <c r="H6" s="3715"/>
      <c r="I6" s="3714" t="s">
        <v>1677</v>
      </c>
      <c r="J6" s="3715"/>
      <c r="K6" s="559" t="s">
        <v>1678</v>
      </c>
      <c r="L6" s="2711"/>
      <c r="M6" s="2712"/>
      <c r="N6" s="2712"/>
      <c r="O6" s="2712"/>
      <c r="P6" s="3727"/>
      <c r="Q6" s="3728"/>
      <c r="R6" s="3708"/>
      <c r="S6" s="3709"/>
      <c r="T6" s="3729"/>
      <c r="U6" s="3730"/>
      <c r="V6" s="3731"/>
      <c r="W6" s="3731"/>
      <c r="X6" s="1351"/>
      <c r="Y6" s="3729"/>
      <c r="Z6" s="3730"/>
      <c r="AA6" s="3703"/>
      <c r="AB6" s="3703"/>
      <c r="AC6" s="3703"/>
    </row>
    <row r="7" spans="1:29" s="108" customFormat="1" ht="15.75" thickBot="1">
      <c r="A7" s="362" t="s">
        <v>1679</v>
      </c>
      <c r="B7" s="363"/>
      <c r="C7" s="364">
        <f>'数据-取费表'!B2</f>
        <v>45005</v>
      </c>
      <c r="D7" s="365">
        <v>100</v>
      </c>
      <c r="E7" s="366">
        <v>44958</v>
      </c>
      <c r="F7" s="367">
        <f>SUMIF(48:48,YEAR(E7)&amp;"-"&amp;MONTH(E7),49:49)</f>
        <v>100</v>
      </c>
      <c r="G7" s="366">
        <v>44958</v>
      </c>
      <c r="H7" s="365">
        <f>SUMIF(48:48,YEAR(G7)&amp;"-"&amp;MONTH(G7),49:49)</f>
        <v>100</v>
      </c>
      <c r="I7" s="366">
        <v>44958</v>
      </c>
      <c r="J7" s="365">
        <f>SUMIF(48:48,YEAR(I7)&amp;"-"&amp;MONTH(I7),49:49)</f>
        <v>100</v>
      </c>
      <c r="K7" s="560"/>
      <c r="L7" s="2713"/>
      <c r="M7" s="2714"/>
      <c r="N7" s="2714"/>
      <c r="O7" s="2714"/>
      <c r="P7" s="3704" t="s">
        <v>1680</v>
      </c>
      <c r="Q7" s="3732"/>
      <c r="R7" s="701" t="s">
        <v>14</v>
      </c>
      <c r="S7" s="702">
        <f t="shared" ref="S7:S14" si="0">F7</f>
        <v>100</v>
      </c>
      <c r="T7" s="701" t="s">
        <v>14</v>
      </c>
      <c r="U7" s="702">
        <f t="shared" ref="U7:U14" si="1">H7</f>
        <v>100</v>
      </c>
      <c r="V7" s="701" t="s">
        <v>14</v>
      </c>
      <c r="W7" s="702">
        <f t="shared" ref="W7:W14" si="2">J7</f>
        <v>100</v>
      </c>
      <c r="X7" s="703"/>
      <c r="Y7" s="3704" t="s">
        <v>1680</v>
      </c>
      <c r="Z7" s="3705"/>
      <c r="AA7" s="704">
        <f>D7/F7</f>
        <v>1</v>
      </c>
      <c r="AB7" s="704">
        <f>D7/H7</f>
        <v>1</v>
      </c>
      <c r="AC7" s="704">
        <f>D7/J7</f>
        <v>1</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704" t="s">
        <v>1683</v>
      </c>
      <c r="Q8" s="3705"/>
      <c r="R8" s="701" t="s">
        <v>14</v>
      </c>
      <c r="S8" s="702">
        <f t="shared" si="0"/>
        <v>100</v>
      </c>
      <c r="T8" s="701" t="s">
        <v>14</v>
      </c>
      <c r="U8" s="702">
        <f t="shared" si="1"/>
        <v>100</v>
      </c>
      <c r="V8" s="701" t="s">
        <v>14</v>
      </c>
      <c r="W8" s="702">
        <f t="shared" si="2"/>
        <v>100</v>
      </c>
      <c r="X8" s="703"/>
      <c r="Y8" s="3704" t="s">
        <v>1683</v>
      </c>
      <c r="Z8" s="370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718" t="s">
        <v>1686</v>
      </c>
      <c r="Q9" s="1339" t="str">
        <f t="shared" ref="Q9:Q14" si="6">B9</f>
        <v>用途</v>
      </c>
      <c r="R9" s="701" t="s">
        <v>14</v>
      </c>
      <c r="S9" s="702">
        <f t="shared" si="0"/>
        <v>100</v>
      </c>
      <c r="T9" s="701" t="s">
        <v>14</v>
      </c>
      <c r="U9" s="702">
        <f t="shared" si="1"/>
        <v>100</v>
      </c>
      <c r="V9" s="701" t="s">
        <v>14</v>
      </c>
      <c r="W9" s="702">
        <f t="shared" si="2"/>
        <v>100</v>
      </c>
      <c r="X9" s="703"/>
      <c r="Y9" s="3674" t="s">
        <v>1687</v>
      </c>
      <c r="Z9" s="52" t="str">
        <f t="shared" ref="Z9:Z14" si="7">Q9</f>
        <v>用途</v>
      </c>
      <c r="AA9" s="704">
        <f t="shared" si="3"/>
        <v>1</v>
      </c>
      <c r="AB9" s="704">
        <f t="shared" si="4"/>
        <v>1</v>
      </c>
      <c r="AC9" s="704">
        <f t="shared" si="5"/>
        <v>1</v>
      </c>
    </row>
    <row r="10" spans="1:29" s="378" customFormat="1" ht="27">
      <c r="A10" s="589"/>
      <c r="B10" s="590"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718"/>
      <c r="Q10" s="1339" t="str">
        <f t="shared" si="6"/>
        <v>土地使用年限（年）</v>
      </c>
      <c r="R10" s="701" t="s">
        <v>14</v>
      </c>
      <c r="S10" s="702">
        <f t="shared" si="0"/>
        <v>100</v>
      </c>
      <c r="T10" s="701" t="s">
        <v>14</v>
      </c>
      <c r="U10" s="702">
        <f t="shared" si="1"/>
        <v>100</v>
      </c>
      <c r="V10" s="701" t="s">
        <v>14</v>
      </c>
      <c r="W10" s="702">
        <f t="shared" si="2"/>
        <v>100</v>
      </c>
      <c r="X10" s="703"/>
      <c r="Y10" s="367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718"/>
      <c r="Q11" s="1339">
        <f t="shared" si="6"/>
        <v>111</v>
      </c>
      <c r="R11" s="701" t="s">
        <v>14</v>
      </c>
      <c r="S11" s="702">
        <f t="shared" si="0"/>
        <v>100</v>
      </c>
      <c r="T11" s="701" t="s">
        <v>14</v>
      </c>
      <c r="U11" s="702">
        <f t="shared" si="1"/>
        <v>100</v>
      </c>
      <c r="V11" s="701" t="s">
        <v>14</v>
      </c>
      <c r="W11" s="702">
        <f t="shared" si="2"/>
        <v>100</v>
      </c>
      <c r="X11" s="703"/>
      <c r="Y11" s="367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718"/>
      <c r="Q12" s="1339">
        <f t="shared" si="6"/>
        <v>111</v>
      </c>
      <c r="R12" s="701" t="s">
        <v>14</v>
      </c>
      <c r="S12" s="702">
        <f t="shared" si="0"/>
        <v>100</v>
      </c>
      <c r="T12" s="701" t="s">
        <v>14</v>
      </c>
      <c r="U12" s="702">
        <f t="shared" si="1"/>
        <v>100</v>
      </c>
      <c r="V12" s="701" t="s">
        <v>14</v>
      </c>
      <c r="W12" s="702">
        <f t="shared" si="2"/>
        <v>100</v>
      </c>
      <c r="X12" s="703"/>
      <c r="Y12" s="367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718"/>
      <c r="Q13" s="1339">
        <f t="shared" si="6"/>
        <v>111</v>
      </c>
      <c r="R13" s="701" t="s">
        <v>14</v>
      </c>
      <c r="S13" s="702">
        <f t="shared" si="0"/>
        <v>100</v>
      </c>
      <c r="T13" s="701" t="s">
        <v>14</v>
      </c>
      <c r="U13" s="702">
        <f t="shared" si="1"/>
        <v>100</v>
      </c>
      <c r="V13" s="701" t="s">
        <v>14</v>
      </c>
      <c r="W13" s="702">
        <f t="shared" si="2"/>
        <v>100</v>
      </c>
      <c r="X13" s="703"/>
      <c r="Y13" s="3674"/>
      <c r="Z13" s="52">
        <f t="shared" si="7"/>
        <v>111</v>
      </c>
      <c r="AA13" s="704">
        <f t="shared" si="3"/>
        <v>1</v>
      </c>
      <c r="AB13" s="704">
        <f t="shared" si="4"/>
        <v>1</v>
      </c>
      <c r="AC13" s="704">
        <f t="shared" si="5"/>
        <v>1</v>
      </c>
    </row>
    <row r="14" spans="1:29" ht="85.5">
      <c r="A14" s="355" t="s">
        <v>1690</v>
      </c>
      <c r="B14" s="577" t="s">
        <v>1833</v>
      </c>
      <c r="C14" s="1967"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733" t="s">
        <v>1691</v>
      </c>
      <c r="Q14" s="1348" t="str">
        <f t="shared" si="6"/>
        <v>交通便捷度</v>
      </c>
      <c r="R14" s="705" t="s">
        <v>14</v>
      </c>
      <c r="S14" s="706">
        <f t="shared" si="0"/>
        <v>100</v>
      </c>
      <c r="T14" s="705" t="s">
        <v>14</v>
      </c>
      <c r="U14" s="706">
        <f t="shared" si="1"/>
        <v>100</v>
      </c>
      <c r="V14" s="705" t="s">
        <v>14</v>
      </c>
      <c r="W14" s="706">
        <f t="shared" si="2"/>
        <v>100</v>
      </c>
      <c r="X14" s="1351"/>
      <c r="Y14" s="3733" t="s">
        <v>1691</v>
      </c>
      <c r="Z14" s="1352" t="str">
        <f t="shared" si="7"/>
        <v>交通便捷度</v>
      </c>
      <c r="AA14" s="1349">
        <f t="shared" si="3"/>
        <v>1</v>
      </c>
      <c r="AB14" s="1349">
        <f t="shared" si="4"/>
        <v>1</v>
      </c>
      <c r="AC14" s="1349">
        <f t="shared" si="5"/>
        <v>1</v>
      </c>
    </row>
    <row r="15" spans="1:29" ht="15">
      <c r="A15" s="358"/>
      <c r="B15" s="595"/>
      <c r="C15" s="398"/>
      <c r="D15" s="399"/>
      <c r="E15" s="398"/>
      <c r="F15" s="400"/>
      <c r="G15" s="398"/>
      <c r="H15" s="401"/>
      <c r="I15" s="398"/>
      <c r="J15" s="399"/>
      <c r="K15" s="564"/>
      <c r="L15" s="2718"/>
      <c r="M15" s="2712"/>
      <c r="N15" s="2712"/>
      <c r="O15" s="2712"/>
      <c r="P15" s="3734"/>
      <c r="Q15" s="1348"/>
      <c r="R15" s="705"/>
      <c r="S15" s="706"/>
      <c r="T15" s="705"/>
      <c r="U15" s="706"/>
      <c r="V15" s="705"/>
      <c r="W15" s="706"/>
      <c r="X15" s="1351"/>
      <c r="Y15" s="3734"/>
      <c r="Z15" s="1352"/>
      <c r="AA15" s="1349">
        <v>1</v>
      </c>
      <c r="AB15" s="1349">
        <v>1</v>
      </c>
      <c r="AC15" s="1349">
        <v>1</v>
      </c>
    </row>
    <row r="16" spans="1:29" ht="42.75">
      <c r="A16" s="358"/>
      <c r="B16" s="579" t="s">
        <v>1812</v>
      </c>
      <c r="C16" s="1896"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734"/>
      <c r="Q16" s="1348" t="str">
        <f>B16</f>
        <v>公共配套设施</v>
      </c>
      <c r="R16" s="705" t="s">
        <v>14</v>
      </c>
      <c r="S16" s="706">
        <f>F16</f>
        <v>100</v>
      </c>
      <c r="T16" s="705" t="s">
        <v>14</v>
      </c>
      <c r="U16" s="706">
        <f>H16</f>
        <v>100</v>
      </c>
      <c r="V16" s="705" t="s">
        <v>14</v>
      </c>
      <c r="W16" s="706">
        <f>J16</f>
        <v>100</v>
      </c>
      <c r="X16" s="1351"/>
      <c r="Y16" s="3734"/>
      <c r="Z16" s="1352" t="str">
        <f>Q16</f>
        <v>公共配套设施</v>
      </c>
      <c r="AA16" s="1349">
        <f t="shared" si="3"/>
        <v>1</v>
      </c>
      <c r="AB16" s="1349">
        <f t="shared" si="4"/>
        <v>1</v>
      </c>
      <c r="AC16" s="1349">
        <f t="shared" si="5"/>
        <v>1</v>
      </c>
    </row>
    <row r="17" spans="1:29" ht="15">
      <c r="A17" s="358"/>
      <c r="B17" s="580"/>
      <c r="C17" s="1897"/>
      <c r="D17" s="399"/>
      <c r="E17" s="398"/>
      <c r="F17" s="400"/>
      <c r="G17" s="398"/>
      <c r="H17" s="399"/>
      <c r="I17" s="398"/>
      <c r="J17" s="399"/>
      <c r="K17" s="564"/>
      <c r="L17" s="2718"/>
      <c r="M17" s="2712"/>
      <c r="N17" s="2712"/>
      <c r="O17" s="2712"/>
      <c r="P17" s="3734"/>
      <c r="Q17" s="1348"/>
      <c r="R17" s="705"/>
      <c r="S17" s="706"/>
      <c r="T17" s="705"/>
      <c r="U17" s="706"/>
      <c r="V17" s="705"/>
      <c r="W17" s="706"/>
      <c r="X17" s="1351"/>
      <c r="Y17" s="3734"/>
      <c r="Z17" s="1352"/>
      <c r="AA17" s="1349">
        <v>1</v>
      </c>
      <c r="AB17" s="1349">
        <v>1</v>
      </c>
      <c r="AC17" s="1349">
        <v>1</v>
      </c>
    </row>
    <row r="18" spans="1:29" ht="28.5">
      <c r="A18" s="358"/>
      <c r="B18" s="581" t="s">
        <v>1813</v>
      </c>
      <c r="C18" s="1896"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734"/>
      <c r="Q18" s="1348" t="str">
        <f>B18</f>
        <v>基础设施水平</v>
      </c>
      <c r="R18" s="705" t="s">
        <v>14</v>
      </c>
      <c r="S18" s="706">
        <f>F18</f>
        <v>100</v>
      </c>
      <c r="T18" s="705" t="s">
        <v>14</v>
      </c>
      <c r="U18" s="706">
        <f>H18</f>
        <v>100</v>
      </c>
      <c r="V18" s="705" t="s">
        <v>14</v>
      </c>
      <c r="W18" s="706">
        <f>J18</f>
        <v>100</v>
      </c>
      <c r="X18" s="1351"/>
      <c r="Y18" s="3734"/>
      <c r="Z18" s="1352" t="str">
        <f>Q18</f>
        <v>基础设施水平</v>
      </c>
      <c r="AA18" s="1349">
        <f t="shared" ref="AA18" si="8">D18/F18</f>
        <v>1</v>
      </c>
      <c r="AB18" s="1349">
        <f t="shared" ref="AB18" si="9">D18/H18</f>
        <v>1</v>
      </c>
      <c r="AC18" s="1349">
        <f t="shared" ref="AC18" si="10">D18/J18</f>
        <v>1</v>
      </c>
    </row>
    <row r="19" spans="1:29" ht="15">
      <c r="A19" s="358"/>
      <c r="B19" s="581"/>
      <c r="C19" s="1897"/>
      <c r="D19" s="401"/>
      <c r="E19" s="1897"/>
      <c r="F19" s="404"/>
      <c r="G19" s="1897"/>
      <c r="H19" s="399"/>
      <c r="I19" s="398"/>
      <c r="J19" s="399"/>
      <c r="K19" s="1127"/>
      <c r="L19" s="2718"/>
      <c r="M19" s="2712"/>
      <c r="N19" s="2712"/>
      <c r="O19" s="2712"/>
      <c r="P19" s="3734"/>
      <c r="Q19" s="1348"/>
      <c r="R19" s="705"/>
      <c r="S19" s="706"/>
      <c r="T19" s="705"/>
      <c r="U19" s="706"/>
      <c r="V19" s="705"/>
      <c r="W19" s="706"/>
      <c r="X19" s="1351"/>
      <c r="Y19" s="3734"/>
      <c r="Z19" s="1352"/>
      <c r="AA19" s="1349">
        <v>1</v>
      </c>
      <c r="AB19" s="1349">
        <v>1</v>
      </c>
      <c r="AC19" s="1349">
        <v>1</v>
      </c>
    </row>
    <row r="20" spans="1:29" ht="57">
      <c r="A20" s="358"/>
      <c r="B20" s="579" t="s">
        <v>1834</v>
      </c>
      <c r="C20" s="1896"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734"/>
      <c r="Q20" s="1348" t="str">
        <f>B20</f>
        <v>自然及人文环境</v>
      </c>
      <c r="R20" s="705" t="s">
        <v>14</v>
      </c>
      <c r="S20" s="706">
        <f>F20</f>
        <v>100</v>
      </c>
      <c r="T20" s="705" t="s">
        <v>14</v>
      </c>
      <c r="U20" s="706">
        <f>H20</f>
        <v>100</v>
      </c>
      <c r="V20" s="705" t="s">
        <v>14</v>
      </c>
      <c r="W20" s="706">
        <f>J20</f>
        <v>100</v>
      </c>
      <c r="X20" s="1351"/>
      <c r="Y20" s="3734"/>
      <c r="Z20" s="1352" t="str">
        <f>Q20</f>
        <v>自然及人文环境</v>
      </c>
      <c r="AA20" s="1349">
        <f t="shared" si="3"/>
        <v>1</v>
      </c>
      <c r="AB20" s="1349">
        <f t="shared" si="4"/>
        <v>1</v>
      </c>
      <c r="AC20" s="1349">
        <f t="shared" si="5"/>
        <v>1</v>
      </c>
    </row>
    <row r="21" spans="1:29" ht="15">
      <c r="A21" s="358"/>
      <c r="B21" s="580"/>
      <c r="C21" s="398"/>
      <c r="D21" s="399"/>
      <c r="E21" s="398"/>
      <c r="F21" s="400"/>
      <c r="G21" s="398"/>
      <c r="H21" s="399"/>
      <c r="I21" s="398"/>
      <c r="J21" s="399"/>
      <c r="K21" s="564"/>
      <c r="L21" s="2718"/>
      <c r="M21" s="2712"/>
      <c r="N21" s="2712"/>
      <c r="O21" s="2712"/>
      <c r="P21" s="3734"/>
      <c r="Q21" s="1348"/>
      <c r="R21" s="705"/>
      <c r="S21" s="706"/>
      <c r="T21" s="705"/>
      <c r="U21" s="706"/>
      <c r="V21" s="705"/>
      <c r="W21" s="706"/>
      <c r="X21" s="1351"/>
      <c r="Y21" s="3734"/>
      <c r="Z21" s="1352"/>
      <c r="AA21" s="1349">
        <v>1</v>
      </c>
      <c r="AB21" s="1349">
        <v>1</v>
      </c>
      <c r="AC21" s="1349">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734"/>
      <c r="Q22" s="1348" t="str">
        <f>B22</f>
        <v>楼层</v>
      </c>
      <c r="R22" s="705" t="s">
        <v>14</v>
      </c>
      <c r="S22" s="706">
        <f>F22</f>
        <v>100</v>
      </c>
      <c r="T22" s="705" t="s">
        <v>14</v>
      </c>
      <c r="U22" s="706">
        <f>H22</f>
        <v>100</v>
      </c>
      <c r="V22" s="705" t="s">
        <v>14</v>
      </c>
      <c r="W22" s="706">
        <f>J22</f>
        <v>100</v>
      </c>
      <c r="X22" s="1351"/>
      <c r="Y22" s="3734"/>
      <c r="Z22" s="1352" t="str">
        <f>Q22</f>
        <v>楼层</v>
      </c>
      <c r="AA22" s="1349">
        <f t="shared" si="3"/>
        <v>1</v>
      </c>
      <c r="AB22" s="1349">
        <f t="shared" si="4"/>
        <v>1</v>
      </c>
      <c r="AC22" s="1349">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734"/>
      <c r="Q23" s="1348">
        <f>B23</f>
        <v>111</v>
      </c>
      <c r="R23" s="705" t="s">
        <v>14</v>
      </c>
      <c r="S23" s="706">
        <f>F23</f>
        <v>100</v>
      </c>
      <c r="T23" s="705" t="s">
        <v>14</v>
      </c>
      <c r="U23" s="706">
        <f>H23</f>
        <v>100</v>
      </c>
      <c r="V23" s="705" t="s">
        <v>14</v>
      </c>
      <c r="W23" s="706">
        <f>J23</f>
        <v>100</v>
      </c>
      <c r="X23" s="1351"/>
      <c r="Y23" s="3734"/>
      <c r="Z23" s="1352">
        <f>Q23</f>
        <v>111</v>
      </c>
      <c r="AA23" s="1349">
        <f t="shared" si="3"/>
        <v>1</v>
      </c>
      <c r="AB23" s="1349">
        <f t="shared" si="4"/>
        <v>1</v>
      </c>
      <c r="AC23" s="1349">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734"/>
      <c r="Q24" s="1348">
        <f t="shared" ref="Q24:Q36" si="11">B24</f>
        <v>111</v>
      </c>
      <c r="R24" s="705" t="s">
        <v>14</v>
      </c>
      <c r="S24" s="706">
        <f>F24</f>
        <v>100</v>
      </c>
      <c r="T24" s="705" t="s">
        <v>14</v>
      </c>
      <c r="U24" s="706">
        <f>H24</f>
        <v>100</v>
      </c>
      <c r="V24" s="705" t="s">
        <v>14</v>
      </c>
      <c r="W24" s="706">
        <f>J24</f>
        <v>100</v>
      </c>
      <c r="X24" s="1351"/>
      <c r="Y24" s="3734"/>
      <c r="Z24" s="1352">
        <f>Q24</f>
        <v>111</v>
      </c>
      <c r="AA24" s="1349">
        <f t="shared" si="3"/>
        <v>1</v>
      </c>
      <c r="AB24" s="1349">
        <f t="shared" si="4"/>
        <v>1</v>
      </c>
      <c r="AC24" s="1349">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734"/>
      <c r="Q25" s="1339">
        <f t="shared" si="11"/>
        <v>111</v>
      </c>
      <c r="R25" s="701" t="s">
        <v>14</v>
      </c>
      <c r="S25" s="702">
        <f>F25</f>
        <v>100</v>
      </c>
      <c r="T25" s="701" t="s">
        <v>14</v>
      </c>
      <c r="U25" s="702">
        <f>H25</f>
        <v>100</v>
      </c>
      <c r="V25" s="701" t="s">
        <v>14</v>
      </c>
      <c r="W25" s="702">
        <f>J25</f>
        <v>100</v>
      </c>
      <c r="X25" s="703"/>
      <c r="Y25" s="3734"/>
      <c r="Z25" s="52">
        <f>Q25</f>
        <v>111</v>
      </c>
      <c r="AA25" s="1349">
        <f>D25/F25</f>
        <v>1</v>
      </c>
      <c r="AB25" s="1349">
        <f>D25/H25</f>
        <v>1</v>
      </c>
      <c r="AC25" s="1349">
        <f>D25/J25</f>
        <v>1</v>
      </c>
    </row>
    <row r="26" spans="1:29" ht="28.5">
      <c r="A26" s="600" t="s">
        <v>1694</v>
      </c>
      <c r="B26" s="62" t="s">
        <v>1836</v>
      </c>
      <c r="C26" s="1968" t="str">
        <f>B1</f>
        <v>办公</v>
      </c>
      <c r="D26" s="399">
        <v>100</v>
      </c>
      <c r="E26" s="3487" t="s">
        <v>3980</v>
      </c>
      <c r="F26" s="400">
        <f>SUMIF(79:79,E26,80:80)-SUMIF(79:79,C26,80:80)+100</f>
        <v>105</v>
      </c>
      <c r="G26" s="3487" t="s">
        <v>3980</v>
      </c>
      <c r="H26" s="399">
        <f>SUMIF(79:79,G26,80:80)-SUMIF(79:79,C26,80:80)+100</f>
        <v>105</v>
      </c>
      <c r="I26" s="3487" t="s">
        <v>3980</v>
      </c>
      <c r="J26" s="399">
        <f>SUMIF(79:79,I26,80:80)-SUMIF(79:79,C26,80:80)+100</f>
        <v>105</v>
      </c>
      <c r="K26" s="561">
        <v>-5</v>
      </c>
      <c r="L26" s="2718"/>
      <c r="M26" s="2712"/>
      <c r="N26" s="2712"/>
      <c r="O26" s="2712"/>
      <c r="P26" s="3735" t="s">
        <v>1696</v>
      </c>
      <c r="Q26" s="1348" t="str">
        <f t="shared" si="11"/>
        <v>配套类型</v>
      </c>
      <c r="R26" s="705" t="s">
        <v>14</v>
      </c>
      <c r="S26" s="706">
        <f t="shared" ref="S26:S36" si="12">F26</f>
        <v>105</v>
      </c>
      <c r="T26" s="705" t="s">
        <v>14</v>
      </c>
      <c r="U26" s="706">
        <f t="shared" ref="U26:U36" si="13">H26</f>
        <v>105</v>
      </c>
      <c r="V26" s="705" t="s">
        <v>14</v>
      </c>
      <c r="W26" s="706">
        <f t="shared" ref="W26:W36" si="14">J26</f>
        <v>105</v>
      </c>
      <c r="X26" s="1351"/>
      <c r="Y26" s="3736" t="s">
        <v>1696</v>
      </c>
      <c r="Z26" s="1352" t="str">
        <f t="shared" ref="Z26:Z36" si="15">Q26</f>
        <v>配套类型</v>
      </c>
      <c r="AA26" s="1349">
        <f t="shared" si="3"/>
        <v>0.95238095238095233</v>
      </c>
      <c r="AB26" s="1349">
        <f t="shared" si="4"/>
        <v>0.95238095238095233</v>
      </c>
      <c r="AC26" s="1349">
        <f t="shared" si="5"/>
        <v>0.95238095238095233</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736"/>
      <c r="Q27" s="707" t="str">
        <f t="shared" si="11"/>
        <v>项目停车位配比</v>
      </c>
      <c r="R27" s="708" t="s">
        <v>14</v>
      </c>
      <c r="S27" s="709">
        <f t="shared" si="12"/>
        <v>100</v>
      </c>
      <c r="T27" s="708" t="s">
        <v>14</v>
      </c>
      <c r="U27" s="709">
        <f t="shared" si="13"/>
        <v>100</v>
      </c>
      <c r="V27" s="708" t="s">
        <v>14</v>
      </c>
      <c r="W27" s="709">
        <f t="shared" si="14"/>
        <v>100</v>
      </c>
      <c r="X27" s="710"/>
      <c r="Y27" s="3736"/>
      <c r="Z27" s="711" t="str">
        <f t="shared" si="15"/>
        <v>项目停车位配比</v>
      </c>
      <c r="AA27" s="1349">
        <f t="shared" si="3"/>
        <v>1</v>
      </c>
      <c r="AB27" s="1349">
        <f t="shared" si="4"/>
        <v>1</v>
      </c>
      <c r="AC27" s="1349">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736"/>
      <c r="Q28" s="1348" t="str">
        <f t="shared" si="11"/>
        <v>公共部分装修</v>
      </c>
      <c r="R28" s="705" t="s">
        <v>14</v>
      </c>
      <c r="S28" s="706">
        <f t="shared" si="12"/>
        <v>100</v>
      </c>
      <c r="T28" s="705" t="s">
        <v>14</v>
      </c>
      <c r="U28" s="706">
        <f t="shared" si="13"/>
        <v>100</v>
      </c>
      <c r="V28" s="705" t="s">
        <v>14</v>
      </c>
      <c r="W28" s="706">
        <f t="shared" si="14"/>
        <v>100</v>
      </c>
      <c r="X28" s="1351"/>
      <c r="Y28" s="3736"/>
      <c r="Z28" s="1352" t="str">
        <f t="shared" si="15"/>
        <v>公共部分装修</v>
      </c>
      <c r="AA28" s="1349">
        <f t="shared" si="3"/>
        <v>1</v>
      </c>
      <c r="AB28" s="1349">
        <f t="shared" si="4"/>
        <v>1</v>
      </c>
      <c r="AC28" s="1349">
        <f t="shared" si="5"/>
        <v>1</v>
      </c>
    </row>
    <row r="29" spans="1:29" ht="15">
      <c r="A29" s="604"/>
      <c r="B29" s="602" t="s">
        <v>1839</v>
      </c>
      <c r="C29" s="425">
        <v>1</v>
      </c>
      <c r="D29" s="386">
        <v>100</v>
      </c>
      <c r="E29" s="425">
        <v>1</v>
      </c>
      <c r="F29" s="412">
        <f>LOOKUP(E29,86:86,87:87)-LOOKUP(C29,86:86,87:87)+100</f>
        <v>100</v>
      </c>
      <c r="G29" s="425">
        <v>1</v>
      </c>
      <c r="H29" s="412">
        <f>LOOKUP(G29,86:86,87:87)-LOOKUP(C29,86:86,87:87)+100</f>
        <v>100</v>
      </c>
      <c r="I29" s="425">
        <v>1</v>
      </c>
      <c r="J29" s="386">
        <f>LOOKUP(I29,86:86,87:87)-LOOKUP(C29,86:86,87:87)+100</f>
        <v>100</v>
      </c>
      <c r="K29" s="561"/>
      <c r="L29" s="2718"/>
      <c r="M29" s="2712"/>
      <c r="N29" s="2712"/>
      <c r="O29" s="2712"/>
      <c r="P29" s="3736"/>
      <c r="Q29" s="1348" t="str">
        <f t="shared" si="11"/>
        <v>成新率</v>
      </c>
      <c r="R29" s="705" t="s">
        <v>14</v>
      </c>
      <c r="S29" s="706">
        <f t="shared" si="12"/>
        <v>100</v>
      </c>
      <c r="T29" s="705" t="s">
        <v>14</v>
      </c>
      <c r="U29" s="706">
        <f t="shared" si="13"/>
        <v>100</v>
      </c>
      <c r="V29" s="705" t="s">
        <v>14</v>
      </c>
      <c r="W29" s="706">
        <f t="shared" si="14"/>
        <v>100</v>
      </c>
      <c r="X29" s="1351"/>
      <c r="Y29" s="3736"/>
      <c r="Z29" s="1352" t="str">
        <f t="shared" si="15"/>
        <v>成新率</v>
      </c>
      <c r="AA29" s="1349">
        <f t="shared" si="3"/>
        <v>1</v>
      </c>
      <c r="AB29" s="1349">
        <f t="shared" si="4"/>
        <v>1</v>
      </c>
      <c r="AC29" s="1349">
        <f t="shared" si="5"/>
        <v>1</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736"/>
      <c r="Q30" s="1348" t="str">
        <f t="shared" si="11"/>
        <v>物业等级</v>
      </c>
      <c r="R30" s="705" t="s">
        <v>14</v>
      </c>
      <c r="S30" s="706">
        <f t="shared" si="12"/>
        <v>100</v>
      </c>
      <c r="T30" s="705" t="s">
        <v>14</v>
      </c>
      <c r="U30" s="706">
        <f t="shared" si="13"/>
        <v>100</v>
      </c>
      <c r="V30" s="705" t="s">
        <v>14</v>
      </c>
      <c r="W30" s="706">
        <f t="shared" si="14"/>
        <v>100</v>
      </c>
      <c r="X30" s="1351"/>
      <c r="Y30" s="3736"/>
      <c r="Z30" s="1352" t="str">
        <f t="shared" si="15"/>
        <v>物业等级</v>
      </c>
      <c r="AA30" s="1349">
        <f t="shared" si="3"/>
        <v>1</v>
      </c>
      <c r="AB30" s="1349">
        <f t="shared" si="4"/>
        <v>1</v>
      </c>
      <c r="AC30" s="1349">
        <f t="shared" si="5"/>
        <v>1</v>
      </c>
    </row>
    <row r="31" spans="1:29" s="108" customFormat="1" ht="15">
      <c r="A31" s="606"/>
      <c r="B31" s="602" t="s">
        <v>1841</v>
      </c>
      <c r="C31" s="420">
        <v>1</v>
      </c>
      <c r="D31" s="127">
        <v>100</v>
      </c>
      <c r="E31" s="420">
        <v>1</v>
      </c>
      <c r="F31" s="412">
        <f>LOOKUP(E31,91:91,92:92)-LOOKUP(C31,91:91,92:92)+100</f>
        <v>100</v>
      </c>
      <c r="G31" s="420">
        <v>1</v>
      </c>
      <c r="H31" s="386">
        <f>LOOKUP(G31,91:91,92:92)-LOOKUP(C31,91:91,92:92)+100</f>
        <v>100</v>
      </c>
      <c r="I31" s="420">
        <v>1</v>
      </c>
      <c r="J31" s="386">
        <f>LOOKUP(I31,91:91,92:92)-LOOKUP(C31,91:91,92:92)+100</f>
        <v>100</v>
      </c>
      <c r="K31" s="561"/>
      <c r="L31" s="2713"/>
      <c r="M31" s="2714"/>
      <c r="N31" s="2714"/>
      <c r="O31" s="2714"/>
      <c r="P31" s="3736"/>
      <c r="Q31" s="1339" t="str">
        <f t="shared" si="11"/>
        <v>停车位面积</v>
      </c>
      <c r="R31" s="701" t="s">
        <v>14</v>
      </c>
      <c r="S31" s="702">
        <f t="shared" si="12"/>
        <v>100</v>
      </c>
      <c r="T31" s="701" t="s">
        <v>14</v>
      </c>
      <c r="U31" s="702">
        <f t="shared" si="13"/>
        <v>100</v>
      </c>
      <c r="V31" s="701" t="s">
        <v>14</v>
      </c>
      <c r="W31" s="702">
        <f t="shared" si="14"/>
        <v>100</v>
      </c>
      <c r="X31" s="703"/>
      <c r="Y31" s="3736"/>
      <c r="Z31" s="52" t="str">
        <f t="shared" si="15"/>
        <v>停车位面积</v>
      </c>
      <c r="AA31" s="704">
        <f t="shared" si="3"/>
        <v>1</v>
      </c>
      <c r="AB31" s="704">
        <f t="shared" si="4"/>
        <v>1</v>
      </c>
      <c r="AC31" s="704">
        <f t="shared" si="5"/>
        <v>1</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736" t="s">
        <v>1696</v>
      </c>
      <c r="Q32" s="1348" t="str">
        <f t="shared" si="11"/>
        <v>车位类型</v>
      </c>
      <c r="R32" s="705" t="s">
        <v>14</v>
      </c>
      <c r="S32" s="706">
        <f t="shared" si="12"/>
        <v>100</v>
      </c>
      <c r="T32" s="705" t="s">
        <v>14</v>
      </c>
      <c r="U32" s="706">
        <f t="shared" si="13"/>
        <v>100</v>
      </c>
      <c r="V32" s="705" t="s">
        <v>14</v>
      </c>
      <c r="W32" s="706">
        <f t="shared" si="14"/>
        <v>100</v>
      </c>
      <c r="X32" s="1351"/>
      <c r="Y32" s="3736" t="s">
        <v>1696</v>
      </c>
      <c r="Z32" s="1352" t="str">
        <f t="shared" si="15"/>
        <v>车位类型</v>
      </c>
      <c r="AA32" s="1349">
        <f t="shared" si="3"/>
        <v>1</v>
      </c>
      <c r="AB32" s="1349">
        <f t="shared" si="4"/>
        <v>1</v>
      </c>
      <c r="AC32" s="1349">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736"/>
      <c r="Q33" s="1348" t="str">
        <f t="shared" si="11"/>
        <v>是否直接入户</v>
      </c>
      <c r="R33" s="705" t="s">
        <v>14</v>
      </c>
      <c r="S33" s="706">
        <f t="shared" si="12"/>
        <v>100</v>
      </c>
      <c r="T33" s="705" t="s">
        <v>14</v>
      </c>
      <c r="U33" s="706">
        <f t="shared" si="13"/>
        <v>100</v>
      </c>
      <c r="V33" s="705" t="s">
        <v>14</v>
      </c>
      <c r="W33" s="706">
        <f t="shared" si="14"/>
        <v>100</v>
      </c>
      <c r="X33" s="1351"/>
      <c r="Y33" s="3736"/>
      <c r="Z33" s="1352" t="str">
        <f t="shared" si="15"/>
        <v>是否直接入户</v>
      </c>
      <c r="AA33" s="1349">
        <f t="shared" si="3"/>
        <v>1</v>
      </c>
      <c r="AB33" s="1349">
        <f t="shared" si="4"/>
        <v>1</v>
      </c>
      <c r="AC33" s="1349">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736"/>
      <c r="Q34" s="1348">
        <f t="shared" si="11"/>
        <v>111</v>
      </c>
      <c r="R34" s="705" t="s">
        <v>14</v>
      </c>
      <c r="S34" s="706">
        <f t="shared" si="12"/>
        <v>100</v>
      </c>
      <c r="T34" s="705" t="s">
        <v>14</v>
      </c>
      <c r="U34" s="706">
        <f t="shared" si="13"/>
        <v>100</v>
      </c>
      <c r="V34" s="705" t="s">
        <v>14</v>
      </c>
      <c r="W34" s="706">
        <f t="shared" si="14"/>
        <v>100</v>
      </c>
      <c r="X34" s="1351"/>
      <c r="Y34" s="3736"/>
      <c r="Z34" s="1352">
        <f t="shared" si="15"/>
        <v>111</v>
      </c>
      <c r="AA34" s="1349">
        <f t="shared" si="3"/>
        <v>1</v>
      </c>
      <c r="AB34" s="1349">
        <f t="shared" si="4"/>
        <v>1</v>
      </c>
      <c r="AC34" s="1349">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736"/>
      <c r="Q35" s="707">
        <f t="shared" si="11"/>
        <v>111</v>
      </c>
      <c r="R35" s="708" t="s">
        <v>14</v>
      </c>
      <c r="S35" s="709">
        <f t="shared" si="12"/>
        <v>100</v>
      </c>
      <c r="T35" s="708" t="s">
        <v>14</v>
      </c>
      <c r="U35" s="709">
        <f t="shared" si="13"/>
        <v>100</v>
      </c>
      <c r="V35" s="708" t="s">
        <v>14</v>
      </c>
      <c r="W35" s="709">
        <f t="shared" si="14"/>
        <v>100</v>
      </c>
      <c r="X35" s="710"/>
      <c r="Y35" s="3736"/>
      <c r="Z35" s="711">
        <f t="shared" si="15"/>
        <v>111</v>
      </c>
      <c r="AA35" s="1349">
        <f t="shared" si="3"/>
        <v>1</v>
      </c>
      <c r="AB35" s="1349">
        <f t="shared" si="4"/>
        <v>1</v>
      </c>
      <c r="AC35" s="1349">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736"/>
      <c r="Q36" s="1348">
        <f t="shared" si="11"/>
        <v>111</v>
      </c>
      <c r="R36" s="705" t="s">
        <v>14</v>
      </c>
      <c r="S36" s="706">
        <f t="shared" si="12"/>
        <v>100</v>
      </c>
      <c r="T36" s="705" t="s">
        <v>14</v>
      </c>
      <c r="U36" s="706">
        <f t="shared" si="13"/>
        <v>100</v>
      </c>
      <c r="V36" s="705" t="s">
        <v>14</v>
      </c>
      <c r="W36" s="706">
        <f t="shared" si="14"/>
        <v>100</v>
      </c>
      <c r="X36" s="1351"/>
      <c r="Y36" s="3736"/>
      <c r="Z36" s="1352">
        <f t="shared" si="15"/>
        <v>111</v>
      </c>
      <c r="AA36" s="1349">
        <f t="shared" si="3"/>
        <v>1</v>
      </c>
      <c r="AB36" s="1349">
        <f t="shared" si="4"/>
        <v>1</v>
      </c>
      <c r="AC36" s="1349">
        <f t="shared" si="5"/>
        <v>1</v>
      </c>
    </row>
    <row r="37" spans="1:29" ht="15">
      <c r="A37" s="430" t="s">
        <v>1844</v>
      </c>
      <c r="B37" s="1969" t="s">
        <v>3982</v>
      </c>
      <c r="C37" s="1151" t="s">
        <v>0</v>
      </c>
      <c r="D37" s="1152"/>
      <c r="E37" s="1153">
        <v>199000</v>
      </c>
      <c r="F37" s="1154"/>
      <c r="G37" s="1155">
        <v>250000</v>
      </c>
      <c r="H37" s="1156"/>
      <c r="I37" s="1153">
        <v>200000</v>
      </c>
      <c r="J37" s="1156"/>
      <c r="K37" s="568"/>
      <c r="L37" s="2720"/>
      <c r="M37" s="2721"/>
      <c r="N37" s="2712"/>
      <c r="O37" s="2721"/>
      <c r="P37" s="3718" t="str">
        <f>A37</f>
        <v>成交单价</v>
      </c>
      <c r="Q37" s="3718"/>
      <c r="R37" s="3770">
        <f>E37</f>
        <v>199000</v>
      </c>
      <c r="S37" s="3770"/>
      <c r="T37" s="3770">
        <f>G37</f>
        <v>250000</v>
      </c>
      <c r="U37" s="3770"/>
      <c r="V37" s="3770">
        <f>I37</f>
        <v>200000</v>
      </c>
      <c r="W37" s="3770"/>
      <c r="X37" s="690"/>
      <c r="Y37" s="712"/>
      <c r="Z37" s="690"/>
      <c r="AA37" s="690"/>
      <c r="AB37" s="690"/>
      <c r="AC37" s="690"/>
    </row>
    <row r="38" spans="1:29" ht="15.75" thickBot="1">
      <c r="A38" s="437" t="s">
        <v>1845</v>
      </c>
      <c r="B38" s="438" t="str">
        <f>B37</f>
        <v>元/车位</v>
      </c>
      <c r="C38" s="1157">
        <f>R39</f>
        <v>206032</v>
      </c>
      <c r="D38" s="2313" t="s">
        <v>2137</v>
      </c>
      <c r="E38" s="1158">
        <f>R38</f>
        <v>189524</v>
      </c>
      <c r="F38" s="2314"/>
      <c r="G38" s="1157">
        <f>T38</f>
        <v>238095</v>
      </c>
      <c r="H38" s="2314"/>
      <c r="I38" s="1158">
        <f>V38</f>
        <v>190476</v>
      </c>
      <c r="J38" s="2314"/>
      <c r="K38" s="2316">
        <f>F38+H38+J38</f>
        <v>0</v>
      </c>
      <c r="L38" s="2720"/>
      <c r="M38" s="2721"/>
      <c r="N38" s="2721"/>
      <c r="O38" s="2721"/>
      <c r="P38" s="3718" t="str">
        <f>A38</f>
        <v>比较价值（元/平方米）</v>
      </c>
      <c r="Q38" s="3718"/>
      <c r="R38" s="3770">
        <f>IF(F1="售价",ROUND(PRODUCT(R37,AA7:AA36),0),ROUND(PRODUCT(R37,AA7:AA36),1))</f>
        <v>189524</v>
      </c>
      <c r="S38" s="3770"/>
      <c r="T38" s="3770">
        <f>IF(F1="售价",ROUND(PRODUCT(T37,AB7:AB36),0),ROUND(PRODUCT(T37,AB7:AB36),1))</f>
        <v>238095</v>
      </c>
      <c r="U38" s="3770"/>
      <c r="V38" s="3770">
        <f>IF(F1="售价",ROUND(PRODUCT(V37,AC7:AC36),0),ROUND(PRODUCT(V37,AC7:AC36),1))</f>
        <v>190476</v>
      </c>
      <c r="W38" s="3770"/>
      <c r="X38" s="690"/>
      <c r="Y38" s="690"/>
      <c r="Z38" s="690"/>
      <c r="AA38" s="690"/>
      <c r="AB38" s="690"/>
      <c r="AC38" s="690"/>
    </row>
    <row r="39" spans="1:29" ht="15.75" thickBot="1">
      <c r="A39" s="441" t="s">
        <v>1846</v>
      </c>
      <c r="B39" s="442"/>
      <c r="C39" s="1160">
        <f>R39</f>
        <v>206032</v>
      </c>
      <c r="D39" s="1160"/>
      <c r="E39" s="1160"/>
      <c r="F39" s="1160"/>
      <c r="G39" s="1160"/>
      <c r="H39" s="1160"/>
      <c r="I39" s="1160"/>
      <c r="J39" s="1160"/>
      <c r="K39" s="569"/>
      <c r="L39" s="2720"/>
      <c r="M39" s="2721"/>
      <c r="N39" s="2721"/>
      <c r="O39" s="2721"/>
      <c r="P39" s="3738" t="str">
        <f>A39</f>
        <v>估价对象XX用房的比较价值（楼面单价，元/平方米）</v>
      </c>
      <c r="Q39" s="3739"/>
      <c r="R39" s="3800">
        <f>IF(F1="售价",ROUND(IF(D38="简单平均",AVERAGE(R38:W38),R38*F38+T38*H38+V38*J38),0),ROUND(IF(D38="简单平均",AVERAGE(R38:V38),R38*F38+T38*H38+V38*J38),1))</f>
        <v>206032</v>
      </c>
      <c r="S39" s="3800"/>
      <c r="T39" s="3800"/>
      <c r="U39" s="3800"/>
      <c r="V39" s="3800"/>
      <c r="W39" s="3800"/>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f>IF(E37&lt;E38,E38/E37-1,E37/E38-1)</f>
        <v>4.9998944724678696E-2</v>
      </c>
      <c r="F42" s="449" t="str">
        <f>IF(OR(E42&gt;=0.3,E42&lt;=-0.3),"超过30%","")</f>
        <v/>
      </c>
      <c r="G42" s="448">
        <f>IF(G37&lt;G38,G38/G37-1,G37/G38-1)</f>
        <v>5.0001050001049929E-2</v>
      </c>
      <c r="H42" s="449" t="str">
        <f>IF(OR(G42&gt;=0.3,G42&lt;=-0.3),"超过30%","")</f>
        <v/>
      </c>
      <c r="I42" s="448">
        <f>IF(I37&lt;I38,I38/I37-1,I37/I38-1)</f>
        <v>5.0001050001049929E-2</v>
      </c>
      <c r="J42" s="449" t="str">
        <f>IF(OR(I42&gt;=0.3,I42&lt;=-0.3),"超过30%","")</f>
        <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f>IF(E38&lt;G38,G38/E38-1,E38/G38-1)</f>
        <v>0.25627888816192135</v>
      </c>
      <c r="F43" s="449" t="str">
        <f>IF(OR(E43&gt;=0.2,E43&lt;=-0.2),"超过20%","")</f>
        <v>超过20%</v>
      </c>
      <c r="G43" s="448">
        <f>IF(G38&lt;I38,I38/G38-1,G38/I38-1)</f>
        <v>0.25</v>
      </c>
      <c r="H43" s="449" t="str">
        <f>IF(OR(G43&gt;=0.2,G43&lt;=-0.2),"超过20%","")</f>
        <v>超过20%</v>
      </c>
      <c r="I43" s="448">
        <f>IF(I38&lt;E38,E38/I38-1,I38/E38-1)</f>
        <v>5.0231105295370782E-3</v>
      </c>
      <c r="J43" s="449" t="str">
        <f>IF(OR(I43&gt;=0.2,I43&lt;=-0.2),"超过20%","")</f>
        <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f>IF(E37&lt;G37,G37/E37-1,E37/G37-1)</f>
        <v>0.25628140703517599</v>
      </c>
      <c r="F44" s="449" t="str">
        <f>IF(OR(E44&gt;=0.3,E44&lt;=-0.3),"超过30%","")</f>
        <v/>
      </c>
      <c r="G44" s="448">
        <f>IF(G37&lt;I37,I37/G37-1,G37/I37-1)</f>
        <v>0.25</v>
      </c>
      <c r="H44" s="449" t="str">
        <f>IF(OR(G44&gt;=0.3,G44&lt;=-0.3),"超过30%","")</f>
        <v/>
      </c>
      <c r="I44" s="448">
        <f>IF(I37&lt;E37,E37/I37-1,I37/E37-1)</f>
        <v>5.0251256281406143E-3</v>
      </c>
      <c r="J44" s="449" t="str">
        <f>IF(OR(I44&gt;=0.3,I44&lt;=-0.3),"超过30%","")</f>
        <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3" t="s">
        <v>1850</v>
      </c>
      <c r="B47" s="924"/>
      <c r="C47" s="937"/>
      <c r="D47" s="937"/>
      <c r="E47" s="937"/>
      <c r="F47" s="1164"/>
      <c r="G47" s="1164"/>
      <c r="H47" s="937"/>
      <c r="I47" s="937"/>
      <c r="J47" s="937"/>
      <c r="K47" s="938"/>
      <c r="L47" s="939"/>
      <c r="M47" s="937"/>
      <c r="N47" s="2765"/>
      <c r="O47" s="2765"/>
      <c r="P47" s="2754"/>
      <c r="Q47" s="2735"/>
      <c r="R47" s="2721"/>
      <c r="S47" s="2721"/>
      <c r="T47" s="2721"/>
      <c r="U47" s="2721"/>
      <c r="V47" s="2721"/>
      <c r="W47" s="2721"/>
      <c r="X47" s="2721"/>
      <c r="Y47" s="2721"/>
      <c r="Z47" s="2721"/>
      <c r="AA47" s="2721"/>
      <c r="AB47" s="2721"/>
      <c r="AC47" s="2721"/>
    </row>
    <row r="48" spans="1:29" s="457" customFormat="1" ht="15">
      <c r="A48" s="454" t="s">
        <v>1851</v>
      </c>
      <c r="B48" s="455"/>
      <c r="C48" s="1180" t="str">
        <f>YEAR(C7)&amp;"-"&amp;MONTH(C7)</f>
        <v>2023-3</v>
      </c>
      <c r="D48" s="1181">
        <f>EDATE(C48,-1)</f>
        <v>44958</v>
      </c>
      <c r="E48" s="1181">
        <f t="shared" ref="E48:O48" si="16">EDATE(D48,-1)</f>
        <v>44927</v>
      </c>
      <c r="F48" s="1181">
        <f t="shared" si="16"/>
        <v>44896</v>
      </c>
      <c r="G48" s="1181">
        <f t="shared" si="16"/>
        <v>44866</v>
      </c>
      <c r="H48" s="1181">
        <f t="shared" si="16"/>
        <v>44835</v>
      </c>
      <c r="I48" s="1181">
        <f t="shared" si="16"/>
        <v>44805</v>
      </c>
      <c r="J48" s="1181">
        <f t="shared" si="16"/>
        <v>44774</v>
      </c>
      <c r="K48" s="1181">
        <f t="shared" si="16"/>
        <v>44743</v>
      </c>
      <c r="L48" s="1181">
        <f t="shared" si="16"/>
        <v>44713</v>
      </c>
      <c r="M48" s="1181">
        <f t="shared" si="16"/>
        <v>44682</v>
      </c>
      <c r="N48" s="1181">
        <f t="shared" si="16"/>
        <v>44652</v>
      </c>
      <c r="O48" s="1181">
        <f t="shared" si="16"/>
        <v>44621</v>
      </c>
      <c r="P48" s="2755"/>
      <c r="Q48" s="2737"/>
      <c r="R48" s="2737"/>
      <c r="S48" s="2737"/>
      <c r="T48" s="2737"/>
      <c r="U48" s="2737"/>
      <c r="V48" s="2737"/>
      <c r="W48" s="2737"/>
      <c r="X48" s="2737"/>
      <c r="Y48" s="2737"/>
      <c r="Z48" s="2737"/>
      <c r="AA48" s="2737"/>
      <c r="AB48" s="2737"/>
      <c r="AC48" s="2737"/>
    </row>
    <row r="49" spans="1:29" s="108" customFormat="1" ht="15">
      <c r="A49" s="458"/>
      <c r="B49" s="459"/>
      <c r="C49" s="1174">
        <v>100</v>
      </c>
      <c r="D49" s="461">
        <v>100</v>
      </c>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1716</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1681</v>
      </c>
      <c r="B51" s="459"/>
      <c r="C51" s="471" t="s">
        <v>1776</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1719</v>
      </c>
      <c r="B53" s="477" t="s">
        <v>1685</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1813</v>
      </c>
      <c r="C67" s="608" t="s">
        <v>1799</v>
      </c>
      <c r="D67" s="608" t="s">
        <v>1800</v>
      </c>
      <c r="E67" s="608" t="s">
        <v>1801</v>
      </c>
      <c r="F67" s="608" t="s">
        <v>1802</v>
      </c>
      <c r="G67" s="608" t="s">
        <v>1803</v>
      </c>
      <c r="H67" s="488"/>
      <c r="I67" s="488"/>
      <c r="J67" s="488"/>
      <c r="K67" s="488"/>
      <c r="L67" s="488"/>
      <c r="M67" s="1126"/>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1694</v>
      </c>
      <c r="B79" s="477" t="s">
        <v>1853</v>
      </c>
      <c r="C79" s="478" t="str">
        <f>C26</f>
        <v>办公</v>
      </c>
      <c r="D79" s="3502" t="s">
        <v>3981</v>
      </c>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105</v>
      </c>
      <c r="E80" s="493">
        <f t="shared" si="17"/>
        <v>110</v>
      </c>
      <c r="F80" s="493">
        <f t="shared" si="17"/>
        <v>115</v>
      </c>
      <c r="G80" s="493">
        <f t="shared" si="17"/>
        <v>120</v>
      </c>
      <c r="H80" s="493">
        <f t="shared" si="17"/>
        <v>125</v>
      </c>
      <c r="I80" s="493">
        <f t="shared" si="17"/>
        <v>130</v>
      </c>
      <c r="J80" s="493">
        <f t="shared" si="17"/>
        <v>135</v>
      </c>
      <c r="K80" s="493">
        <f t="shared" si="17"/>
        <v>140</v>
      </c>
      <c r="L80" s="493">
        <f t="shared" si="17"/>
        <v>145</v>
      </c>
      <c r="M80" s="494">
        <f t="shared" si="17"/>
        <v>150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1854</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0(含)-50</v>
      </c>
      <c r="D90" s="527" t="str">
        <f t="shared" ref="D90:L90" si="21">D91&amp;"(含)"&amp;"-"&amp;E91</f>
        <v>50(含)-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v>0</v>
      </c>
      <c r="D91" s="544">
        <v>50</v>
      </c>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17" priority="18" stopIfTrue="1" operator="containsText" text="超过">
      <formula>NOT(ISERROR(SEARCH("超过",F42)))</formula>
    </cfRule>
  </conditionalFormatting>
  <conditionalFormatting sqref="J44">
    <cfRule type="containsText" dxfId="16" priority="17" stopIfTrue="1" operator="containsText" text="超过">
      <formula>NOT(ISERROR(SEARCH("超过",J44)))</formula>
    </cfRule>
  </conditionalFormatting>
  <conditionalFormatting sqref="H44">
    <cfRule type="containsText" dxfId="15" priority="16" stopIfTrue="1" operator="containsText" text="超过">
      <formula>NOT(ISERROR(SEARCH("超过",H44)))</formula>
    </cfRule>
  </conditionalFormatting>
  <conditionalFormatting sqref="F44">
    <cfRule type="containsText" dxfId="14" priority="15" stopIfTrue="1" operator="containsText" text="超过">
      <formula>NOT(ISERROR(SEARCH("超过",F44)))</formula>
    </cfRule>
  </conditionalFormatting>
  <conditionalFormatting sqref="F43 H43 J43">
    <cfRule type="containsText" dxfId="13" priority="14" stopIfTrue="1" operator="containsText" text="超过">
      <formula>NOT(ISERROR(SEARCH("超过",F43)))</formula>
    </cfRule>
  </conditionalFormatting>
  <conditionalFormatting sqref="E42">
    <cfRule type="expression" dxfId="12" priority="13" stopIfTrue="1">
      <formula>$F$42="超过30%"</formula>
    </cfRule>
  </conditionalFormatting>
  <conditionalFormatting sqref="G44">
    <cfRule type="expression" dxfId="11" priority="12" stopIfTrue="1">
      <formula>$H$54+$H$44="超过30%"</formula>
    </cfRule>
  </conditionalFormatting>
  <conditionalFormatting sqref="E43">
    <cfRule type="expression" dxfId="10" priority="11" stopIfTrue="1">
      <formula>$F$43="超过20%"</formula>
    </cfRule>
  </conditionalFormatting>
  <conditionalFormatting sqref="E44">
    <cfRule type="expression" dxfId="9" priority="10" stopIfTrue="1">
      <formula>$F$44="超过30%"</formula>
    </cfRule>
  </conditionalFormatting>
  <conditionalFormatting sqref="G42">
    <cfRule type="expression" dxfId="8" priority="9" stopIfTrue="1">
      <formula>$H$52+$H$42="超过30%"</formula>
    </cfRule>
  </conditionalFormatting>
  <conditionalFormatting sqref="G43">
    <cfRule type="expression" dxfId="7" priority="8" stopIfTrue="1">
      <formula>$H$43="超过20%"</formula>
    </cfRule>
  </conditionalFormatting>
  <conditionalFormatting sqref="I42">
    <cfRule type="expression" dxfId="6" priority="7" stopIfTrue="1">
      <formula>$J$52+$J$42="超过30%"</formula>
    </cfRule>
  </conditionalFormatting>
  <conditionalFormatting sqref="I43">
    <cfRule type="expression" dxfId="5" priority="6" stopIfTrue="1">
      <formula>$J$53+$J$43="超过20%"</formula>
    </cfRule>
  </conditionalFormatting>
  <conditionalFormatting sqref="I44">
    <cfRule type="expression" dxfId="4" priority="5" stopIfTrue="1">
      <formula>$J$44="超过30%"</formula>
    </cfRule>
  </conditionalFormatting>
  <conditionalFormatting sqref="F38">
    <cfRule type="expression" dxfId="3" priority="4">
      <formula>$D$38="简单平均"</formula>
    </cfRule>
  </conditionalFormatting>
  <conditionalFormatting sqref="H38">
    <cfRule type="expression" dxfId="2" priority="3">
      <formula>$D$38="简单平均"</formula>
    </cfRule>
  </conditionalFormatting>
  <conditionalFormatting sqref="J38">
    <cfRule type="expression" dxfId="1" priority="2">
      <formula>$D$38="简单平均"</formula>
    </cfRule>
  </conditionalFormatting>
  <conditionalFormatting sqref="F7:F36 H7:H36 J7:J36">
    <cfRule type="cellIs" dxfId="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151"/>
  <sheetViews>
    <sheetView topLeftCell="A133" workbookViewId="0">
      <selection activeCell="U200" sqref="U200"/>
    </sheetView>
  </sheetViews>
  <sheetFormatPr defaultRowHeight="13.5"/>
  <sheetData>
    <row r="2" spans="1:1">
      <c r="A2" s="3496" t="s">
        <v>3935</v>
      </c>
    </row>
    <row r="61" spans="1:1">
      <c r="A61" s="3496" t="s">
        <v>3949</v>
      </c>
    </row>
    <row r="85" spans="1:1">
      <c r="A85" s="3496" t="s">
        <v>3948</v>
      </c>
    </row>
    <row r="106" spans="1:1">
      <c r="A106" s="3496" t="s">
        <v>3958</v>
      </c>
    </row>
    <row r="122" spans="1:1">
      <c r="A122" s="3496" t="s">
        <v>3959</v>
      </c>
    </row>
    <row r="151" spans="1:1">
      <c r="A151" s="3496" t="s">
        <v>3960</v>
      </c>
    </row>
  </sheetData>
  <phoneticPr fontId="135"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23"/>
  <sheetViews>
    <sheetView topLeftCell="A64" workbookViewId="0">
      <selection activeCell="O91" sqref="O91"/>
    </sheetView>
  </sheetViews>
  <sheetFormatPr defaultRowHeight="13.5"/>
  <sheetData>
    <row r="2" spans="1:1">
      <c r="A2" s="3496" t="s">
        <v>3961</v>
      </c>
    </row>
    <row r="23" spans="1:1">
      <c r="A23" s="3496" t="s">
        <v>3962</v>
      </c>
    </row>
  </sheetData>
  <phoneticPr fontId="135"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520" t="str">
        <f>IF(项目基本情况!B9="房地产市场价值","估价结果一览表","结果表-2")</f>
        <v>结果表-2</v>
      </c>
      <c r="B1" s="3520"/>
      <c r="C1" s="3520"/>
      <c r="D1" s="3520"/>
      <c r="E1" s="3520"/>
      <c r="F1" s="3520"/>
      <c r="G1" s="3520"/>
      <c r="H1" s="3520"/>
      <c r="I1" s="3520"/>
    </row>
    <row r="2" spans="1:9" ht="30" customHeight="1" thickTop="1">
      <c r="A2" s="3521" t="s">
        <v>928</v>
      </c>
      <c r="B2" s="3521" t="s">
        <v>929</v>
      </c>
      <c r="C2" s="3521" t="s">
        <v>930</v>
      </c>
      <c r="D2" s="3521" t="str">
        <f>结果表!D116</f>
        <v>出让国有建设用地使用权价值</v>
      </c>
      <c r="E2" s="3521"/>
      <c r="F2" s="3521" t="str">
        <f>结果表!F116</f>
        <v>在建建筑物价值</v>
      </c>
      <c r="G2" s="3521"/>
      <c r="H2" s="3521" t="str">
        <f>IF(项目基本情况!B9="房地产市场价值","房地产市场价值","房地产价值")</f>
        <v>房地产价值</v>
      </c>
      <c r="I2" s="3521"/>
    </row>
    <row r="3" spans="1:9" ht="15">
      <c r="A3" s="3522"/>
      <c r="B3" s="3522"/>
      <c r="C3" s="3522"/>
      <c r="D3" s="851" t="s">
        <v>925</v>
      </c>
      <c r="E3" s="851" t="s">
        <v>931</v>
      </c>
      <c r="F3" s="851" t="s">
        <v>925</v>
      </c>
      <c r="G3" s="851" t="s">
        <v>926</v>
      </c>
      <c r="H3" s="851" t="s">
        <v>925</v>
      </c>
      <c r="I3" s="851" t="s">
        <v>926</v>
      </c>
    </row>
    <row r="4" spans="1:9" ht="15">
      <c r="A4" s="1501" t="str">
        <f>项目基本情况!S2</f>
        <v>房地产</v>
      </c>
      <c r="B4" s="851">
        <f>项目基本情况!C17</f>
        <v>226846.22999999989</v>
      </c>
      <c r="C4" s="851">
        <f>项目基本情况!C18</f>
        <v>15635.46</v>
      </c>
      <c r="D4" s="851">
        <f ca="1">结果表!D118</f>
        <v>77754</v>
      </c>
      <c r="E4" s="851">
        <f ca="1">结果表!E118</f>
        <v>3427</v>
      </c>
      <c r="F4" s="851">
        <f ca="1">结果表!F118</f>
        <v>277289</v>
      </c>
      <c r="G4" s="851">
        <f ca="1">结果表!G118</f>
        <v>12224</v>
      </c>
      <c r="H4" s="851">
        <f ca="1">结果表!H118</f>
        <v>355043</v>
      </c>
      <c r="I4" s="851">
        <f ca="1">结果表!I118</f>
        <v>15651</v>
      </c>
    </row>
    <row r="5" spans="1:9" ht="30" customHeight="1">
      <c r="A5" s="3522" t="s">
        <v>927</v>
      </c>
      <c r="B5" s="3522"/>
      <c r="C5" s="3522"/>
      <c r="D5" s="3522" t="str">
        <f ca="1">结果表!D119</f>
        <v>柒亿柒仟柒佰伍拾肆万元整</v>
      </c>
      <c r="E5" s="3522"/>
      <c r="F5" s="3522" t="str">
        <f ca="1">结果表!F119</f>
        <v>贰拾柒亿柒仟贰佰捌拾玖万元整</v>
      </c>
      <c r="G5" s="3522"/>
      <c r="H5" s="3522" t="str">
        <f ca="1">结果表!H119</f>
        <v>叁拾伍亿伍仟零肆拾叁万元整</v>
      </c>
      <c r="I5" s="3522"/>
    </row>
    <row r="6" spans="1:9" ht="15.75">
      <c r="A6" s="3523" t="str">
        <f>结果表!A120</f>
        <v>估价师知悉的法定优先受偿款</v>
      </c>
      <c r="B6" s="3523"/>
      <c r="C6" s="3523"/>
      <c r="D6" s="3523">
        <f>结果表!D120</f>
        <v>4000</v>
      </c>
      <c r="E6" s="3523"/>
      <c r="F6" s="3523"/>
      <c r="G6" s="3523"/>
      <c r="H6" s="3523"/>
      <c r="I6" s="3523"/>
    </row>
    <row r="7" spans="1:9" ht="15">
      <c r="A7" s="3522" t="s">
        <v>927</v>
      </c>
      <c r="B7" s="3522"/>
      <c r="C7" s="3522"/>
      <c r="D7" s="3524" t="str">
        <f>结果表!D121</f>
        <v>肆仟万元整</v>
      </c>
      <c r="E7" s="3525"/>
      <c r="F7" s="3525"/>
      <c r="G7" s="3525"/>
      <c r="H7" s="3525"/>
      <c r="I7" s="3526"/>
    </row>
    <row r="8" spans="1:9" ht="15.75">
      <c r="A8" s="3523" t="str">
        <f>结果表!A122</f>
        <v>房地产抵押价值</v>
      </c>
      <c r="B8" s="3523"/>
      <c r="C8" s="3523"/>
      <c r="D8" s="3523">
        <f ca="1">结果表!D122</f>
        <v>351043</v>
      </c>
      <c r="E8" s="3523"/>
      <c r="F8" s="3523"/>
      <c r="G8" s="3523"/>
      <c r="H8" s="3523"/>
      <c r="I8" s="3523"/>
    </row>
    <row r="9" spans="1:9" ht="15">
      <c r="A9" s="3522" t="s">
        <v>927</v>
      </c>
      <c r="B9" s="3522"/>
      <c r="C9" s="3522"/>
      <c r="D9" s="3522" t="str">
        <f ca="1">结果表!D123</f>
        <v>叁拾伍亿壹仟零肆拾叁万元整</v>
      </c>
      <c r="E9" s="3522"/>
      <c r="F9" s="3522"/>
      <c r="G9" s="3522"/>
      <c r="H9" s="3522"/>
      <c r="I9" s="3522"/>
    </row>
    <row r="10" spans="1:9" ht="15.75">
      <c r="A10" s="3523" t="str">
        <f>结果表!A124</f>
        <v/>
      </c>
      <c r="B10" s="3523"/>
      <c r="C10" s="3523"/>
      <c r="D10" s="3523" t="str">
        <f>结果表!D124</f>
        <v>——</v>
      </c>
      <c r="E10" s="3523"/>
      <c r="F10" s="3523"/>
      <c r="G10" s="3523"/>
      <c r="H10" s="3523"/>
      <c r="I10" s="3523"/>
    </row>
    <row r="11" spans="1:9" ht="15">
      <c r="A11" s="3522" t="s">
        <v>927</v>
      </c>
      <c r="B11" s="3522"/>
      <c r="C11" s="3522"/>
      <c r="D11" s="3522" t="e">
        <f>结果表!D125</f>
        <v>#VALUE!</v>
      </c>
      <c r="E11" s="3522"/>
      <c r="F11" s="3522"/>
      <c r="G11" s="3522"/>
      <c r="H11" s="3522"/>
      <c r="I11" s="3522"/>
    </row>
    <row r="12" spans="1:9" ht="15.75">
      <c r="A12" s="3523" t="str">
        <f>结果表!A126</f>
        <v/>
      </c>
      <c r="B12" s="3523"/>
      <c r="C12" s="3523"/>
      <c r="D12" s="3523" t="str">
        <f>结果表!D126</f>
        <v>——</v>
      </c>
      <c r="E12" s="3523"/>
      <c r="F12" s="3523"/>
      <c r="G12" s="3523"/>
      <c r="H12" s="3523"/>
      <c r="I12" s="3523"/>
    </row>
    <row r="13" spans="1:9" ht="15.75" thickBot="1">
      <c r="A13" s="3527" t="s">
        <v>927</v>
      </c>
      <c r="B13" s="3527"/>
      <c r="C13" s="3527"/>
      <c r="D13" s="3527" t="e">
        <f>结果表!D127</f>
        <v>#VALUE!</v>
      </c>
      <c r="E13" s="3527"/>
      <c r="F13" s="3527"/>
      <c r="G13" s="3527"/>
      <c r="H13" s="3527"/>
      <c r="I13" s="3527"/>
    </row>
    <row r="14" spans="1:9" ht="15" thickTop="1">
      <c r="A14" s="3528" t="s">
        <v>932</v>
      </c>
      <c r="B14" s="3528"/>
      <c r="C14" s="3528"/>
      <c r="D14" s="3528"/>
      <c r="E14" s="3528"/>
      <c r="F14" s="3528"/>
      <c r="G14" s="3528"/>
      <c r="H14" s="3528"/>
      <c r="I14" s="3528"/>
    </row>
    <row r="16" spans="1:9" ht="18.75">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37"/>
  <sheetViews>
    <sheetView workbookViewId="0">
      <selection activeCell="A35" sqref="A35"/>
    </sheetView>
  </sheetViews>
  <sheetFormatPr defaultRowHeight="13.5"/>
  <sheetData>
    <row r="2" spans="1:1">
      <c r="A2" s="3496" t="s">
        <v>3936</v>
      </c>
    </row>
    <row r="21" spans="1:3">
      <c r="A21" s="3496" t="s">
        <v>3967</v>
      </c>
      <c r="C21" s="3496" t="s">
        <v>3968</v>
      </c>
    </row>
    <row r="37" spans="3:3">
      <c r="C37" s="3496" t="s">
        <v>3968</v>
      </c>
    </row>
  </sheetData>
  <phoneticPr fontId="135" type="noConversion"/>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102"/>
  <sheetViews>
    <sheetView workbookViewId="0">
      <selection activeCell="A128" sqref="A128"/>
    </sheetView>
  </sheetViews>
  <sheetFormatPr defaultRowHeight="13.5"/>
  <sheetData>
    <row r="2" spans="1:3">
      <c r="A2" s="3496" t="s">
        <v>3963</v>
      </c>
      <c r="C2" s="3496" t="s">
        <v>3964</v>
      </c>
    </row>
    <row r="48" spans="1:1">
      <c r="A48" s="3496" t="s">
        <v>3965</v>
      </c>
    </row>
    <row r="102" spans="1:3">
      <c r="A102" s="3496" t="s">
        <v>3966</v>
      </c>
      <c r="C102" s="3496" t="s">
        <v>3969</v>
      </c>
    </row>
  </sheetData>
  <phoneticPr fontId="135"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529" t="s">
        <v>949</v>
      </c>
      <c r="B1" s="3529"/>
      <c r="C1" s="3529"/>
      <c r="D1" s="3529"/>
    </row>
    <row r="2" spans="1:4" ht="18">
      <c r="A2" s="3530" t="s">
        <v>933</v>
      </c>
      <c r="B2" s="3530"/>
      <c r="C2" s="3530"/>
      <c r="D2" s="3530"/>
    </row>
    <row r="3" spans="1:4" ht="18.75">
      <c r="A3" s="1505" t="s">
        <v>934</v>
      </c>
      <c r="B3" s="1505" t="s">
        <v>935</v>
      </c>
      <c r="C3" s="1505" t="s">
        <v>936</v>
      </c>
      <c r="D3" s="1505" t="s">
        <v>937</v>
      </c>
    </row>
    <row r="4" spans="1:4" ht="56.25" customHeight="1">
      <c r="A4" s="1506">
        <f>项目基本情况!B4</f>
        <v>0</v>
      </c>
      <c r="B4" s="1507">
        <f>项目基本情况!C4</f>
        <v>0</v>
      </c>
      <c r="C4" s="1508"/>
      <c r="D4" s="1509" t="s">
        <v>938</v>
      </c>
    </row>
    <row r="5" spans="1:4" ht="56.25" customHeight="1">
      <c r="A5" s="1506">
        <f>项目基本情况!D4</f>
        <v>0</v>
      </c>
      <c r="B5" s="1507">
        <f>项目基本情况!E4</f>
        <v>0</v>
      </c>
      <c r="C5" s="1510"/>
      <c r="D5" s="1509" t="s">
        <v>938</v>
      </c>
    </row>
    <row r="6" spans="1:4" ht="18">
      <c r="A6" s="3530" t="s">
        <v>939</v>
      </c>
      <c r="B6" s="3530"/>
      <c r="C6" s="3530"/>
      <c r="D6" s="3530"/>
    </row>
    <row r="7" spans="1:4" ht="18.75">
      <c r="A7" s="1505" t="s">
        <v>934</v>
      </c>
      <c r="B7" s="1507" t="s">
        <v>940</v>
      </c>
      <c r="C7" s="1505" t="s">
        <v>936</v>
      </c>
      <c r="D7" s="1505" t="s">
        <v>937</v>
      </c>
    </row>
    <row r="8" spans="1:4" ht="56.25" customHeight="1">
      <c r="A8" s="1511" t="s">
        <v>390</v>
      </c>
      <c r="B8" s="1511" t="s">
        <v>0</v>
      </c>
      <c r="C8" s="1508"/>
      <c r="D8" s="1509" t="s">
        <v>938</v>
      </c>
    </row>
    <row r="9" spans="1:4">
      <c r="A9" s="675"/>
      <c r="B9" s="675"/>
      <c r="C9" s="675"/>
      <c r="D9" s="675"/>
    </row>
    <row r="10" spans="1:4" ht="18.75">
      <c r="A10" s="1512" t="s">
        <v>941</v>
      </c>
      <c r="B10" s="675"/>
      <c r="C10" s="675"/>
      <c r="D10" s="675"/>
    </row>
    <row r="11" spans="1:4" ht="30" customHeight="1">
      <c r="A11" s="3531" t="s">
        <v>942</v>
      </c>
      <c r="B11" s="3532"/>
      <c r="C11" s="3532"/>
      <c r="D11" s="3532"/>
    </row>
    <row r="12" spans="1:4" ht="15.75">
      <c r="A12" s="353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33"/>
      <c r="C12" s="3533"/>
      <c r="D12" s="3533"/>
    </row>
    <row r="13" spans="1:4" ht="30" customHeight="1">
      <c r="A13" s="353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33"/>
      <c r="C13" s="3533"/>
      <c r="D13" s="3533"/>
    </row>
    <row r="14" spans="1:4" ht="15.75" customHeight="1">
      <c r="A14" s="3532" t="str">
        <f>IF(项目基本情况!B8="抵押","4.本次评估估价师所知悉的法定优先受偿款情况说明如下：","——")</f>
        <v>4.本次评估估价师所知悉的法定优先受偿款情况说明如下：</v>
      </c>
      <c r="B14" s="3533"/>
      <c r="C14" s="3533"/>
      <c r="D14" s="3533"/>
    </row>
    <row r="15" spans="1:4" ht="42" customHeight="1">
      <c r="A15" s="353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32"/>
      <c r="C15" s="3532"/>
      <c r="D15" s="3532"/>
    </row>
    <row r="16" spans="1:4" ht="30" customHeight="1">
      <c r="A16" s="3535" t="s">
        <v>943</v>
      </c>
      <c r="B16" s="3535"/>
      <c r="C16" s="3535"/>
      <c r="D16" s="3535"/>
    </row>
    <row r="17" spans="1:4" ht="144" customHeight="1">
      <c r="A17" s="3535" t="s">
        <v>944</v>
      </c>
      <c r="B17" s="3535"/>
      <c r="C17" s="3535"/>
      <c r="D17" s="3535"/>
    </row>
    <row r="18" spans="1:4" ht="15.75" customHeight="1">
      <c r="A18" s="3532" t="str">
        <f>IF(项目基本情况!B8="抵押",结果表!K120,"——")</f>
        <v>故，本次评估估价师知悉的法定优先受偿款为人民币4000万元整。</v>
      </c>
      <c r="B18" s="3532"/>
      <c r="C18" s="3532"/>
      <c r="D18" s="3532"/>
    </row>
    <row r="19" spans="1:4" ht="46.5" customHeight="1">
      <c r="A19" s="353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2"/>
      <c r="C19" s="3532"/>
      <c r="D19" s="3532"/>
    </row>
    <row r="20" spans="1:4" ht="57.75" customHeight="1">
      <c r="A20" s="353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32"/>
      <c r="C20" s="3532"/>
      <c r="D20" s="3532"/>
    </row>
    <row r="21" spans="1:4" ht="57.75" customHeight="1">
      <c r="A21" s="353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36"/>
      <c r="C21" s="3536"/>
      <c r="D21" s="3536"/>
    </row>
    <row r="22" spans="1:4" ht="18.75" customHeight="1">
      <c r="A22" s="3537" t="s">
        <v>945</v>
      </c>
      <c r="B22" s="3537"/>
      <c r="C22" s="3537"/>
      <c r="D22" s="3537"/>
    </row>
    <row r="23" spans="1:4">
      <c r="A23" s="1513"/>
      <c r="B23" s="1485"/>
      <c r="C23" s="1485"/>
      <c r="D23" s="1485"/>
    </row>
    <row r="24" spans="1:4">
      <c r="A24" s="1513"/>
      <c r="B24" s="1485"/>
      <c r="C24" s="1485"/>
      <c r="D24" s="1485"/>
    </row>
    <row r="25" spans="1:4" ht="18.75">
      <c r="A25" s="1514" t="s">
        <v>946</v>
      </c>
    </row>
    <row r="26" spans="1:4" ht="18">
      <c r="A26" s="1483"/>
    </row>
    <row r="27" spans="1:4" ht="18.75">
      <c r="A27" s="1483" t="s">
        <v>947</v>
      </c>
    </row>
    <row r="30" spans="1:4" ht="18.75">
      <c r="D30" s="1514" t="s">
        <v>948</v>
      </c>
    </row>
    <row r="31" spans="1:4" ht="13.5" customHeight="1">
      <c r="C31" s="3534">
        <v>42551</v>
      </c>
      <c r="D31" s="353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391</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3.5">
      <c r="A15" s="3543" t="s">
        <v>956</v>
      </c>
      <c r="B15" s="3538" t="s">
        <v>109</v>
      </c>
      <c r="C15" s="3539"/>
    </row>
    <row r="16" spans="1:7" ht="13.5">
      <c r="A16" s="3544"/>
      <c r="B16" s="3538" t="s">
        <v>42</v>
      </c>
      <c r="C16" s="3539"/>
    </row>
    <row r="17" spans="1:3" ht="13.5">
      <c r="A17" s="3544"/>
      <c r="B17" s="3541" t="s">
        <v>957</v>
      </c>
      <c r="C17" s="1528" t="s">
        <v>956</v>
      </c>
    </row>
    <row r="18" spans="1:3" ht="13.5">
      <c r="A18" s="3544"/>
      <c r="B18" s="3541"/>
      <c r="C18" s="1528" t="s">
        <v>958</v>
      </c>
    </row>
    <row r="19" spans="1:3" ht="13.5">
      <c r="A19" s="3544"/>
      <c r="B19" s="3541"/>
      <c r="C19" s="1528" t="s">
        <v>959</v>
      </c>
    </row>
    <row r="20" spans="1:3" ht="13.5">
      <c r="A20" s="3545"/>
      <c r="B20" s="3540" t="s">
        <v>960</v>
      </c>
      <c r="C20" s="3539"/>
    </row>
    <row r="21" spans="1:3" ht="13.5">
      <c r="A21" s="1529" t="s">
        <v>961</v>
      </c>
      <c r="B21" s="1530"/>
      <c r="C21" s="1531"/>
    </row>
    <row r="22" spans="1:3" ht="13.5">
      <c r="A22" s="3542" t="s">
        <v>962</v>
      </c>
      <c r="B22" s="3540" t="s">
        <v>963</v>
      </c>
      <c r="C22" s="3539"/>
    </row>
    <row r="23" spans="1:3" ht="13.5">
      <c r="A23" s="3542"/>
      <c r="B23" s="3540" t="s">
        <v>964</v>
      </c>
      <c r="C23" s="3539"/>
    </row>
    <row r="24" spans="1:3" ht="13.5">
      <c r="A24" s="3542"/>
      <c r="B24" s="3540" t="s">
        <v>965</v>
      </c>
      <c r="C24" s="3539"/>
    </row>
    <row r="25" spans="1:3" ht="13.5">
      <c r="A25" s="3542"/>
      <c r="B25" s="3541" t="s">
        <v>966</v>
      </c>
      <c r="C25" s="1528" t="s">
        <v>967</v>
      </c>
    </row>
    <row r="26" spans="1:3" ht="13.5">
      <c r="A26" s="3542"/>
      <c r="B26" s="3541"/>
      <c r="C26" s="1528" t="s">
        <v>968</v>
      </c>
    </row>
    <row r="27" spans="1:3" ht="13.5">
      <c r="A27" s="3542"/>
      <c r="B27" s="3541"/>
      <c r="C27" s="1528" t="s">
        <v>969</v>
      </c>
    </row>
    <row r="28" spans="1:3" ht="13.5">
      <c r="A28" s="3542"/>
      <c r="B28" s="3541"/>
      <c r="C28" s="1528" t="s">
        <v>970</v>
      </c>
    </row>
    <row r="29" spans="1:3" ht="13.5">
      <c r="A29" s="3542"/>
      <c r="B29" s="3541"/>
      <c r="C29" s="1528" t="s">
        <v>971</v>
      </c>
    </row>
    <row r="30" spans="1:3" ht="13.5">
      <c r="A30" s="3542"/>
      <c r="B30" s="3541"/>
      <c r="C30" s="1528" t="s">
        <v>972</v>
      </c>
    </row>
    <row r="31" spans="1:3" ht="13.5">
      <c r="A31" s="3542"/>
      <c r="B31" s="3541"/>
      <c r="C31" s="1528" t="s">
        <v>973</v>
      </c>
    </row>
    <row r="32" spans="1:3" ht="13.5">
      <c r="A32" s="3542"/>
      <c r="B32" s="3541"/>
      <c r="C32" s="1528" t="s">
        <v>974</v>
      </c>
    </row>
    <row r="33" spans="1:3" ht="13.5">
      <c r="A33" s="3542"/>
      <c r="B33" s="3541"/>
      <c r="C33" s="1528" t="s">
        <v>975</v>
      </c>
    </row>
    <row r="34" spans="1:3">
      <c r="A34" s="1532" t="s">
        <v>49</v>
      </c>
    </row>
    <row r="37" spans="1:3">
      <c r="A37" s="1532" t="s">
        <v>976</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2138</v>
      </c>
      <c r="B2" s="2335">
        <f ca="1">TODAY()</f>
        <v>45008</v>
      </c>
      <c r="C2" s="2336" t="s">
        <v>2139</v>
      </c>
      <c r="D2" s="2336"/>
      <c r="E2" s="2336"/>
      <c r="F2" s="2332"/>
      <c r="G2" s="2332"/>
      <c r="H2" s="2332"/>
    </row>
    <row r="3" spans="1:8" ht="24" customHeight="1">
      <c r="A3" s="2337" t="s">
        <v>2140</v>
      </c>
      <c r="B3" s="2338" t="s">
        <v>2141</v>
      </c>
      <c r="C3" s="2338" t="s">
        <v>2142</v>
      </c>
      <c r="D3" s="2339" t="s">
        <v>2143</v>
      </c>
      <c r="E3" s="2340" t="s">
        <v>2144</v>
      </c>
      <c r="F3" s="1300" t="s">
        <v>2145</v>
      </c>
      <c r="G3" s="2338" t="s">
        <v>2142</v>
      </c>
      <c r="H3" s="2339" t="s">
        <v>2146</v>
      </c>
    </row>
    <row r="4" spans="1:8" ht="24" customHeight="1">
      <c r="A4" s="1300" t="s">
        <v>2147</v>
      </c>
      <c r="B4" s="1300">
        <f ca="1">IF(C4&lt;B2,"已过期",1119970066)</f>
        <v>1119970066</v>
      </c>
      <c r="C4" s="2341">
        <v>45937</v>
      </c>
      <c r="D4" s="2342" t="str">
        <f ca="1">A4&amp;"（注册号："&amp;B4&amp;"）"</f>
        <v>梁津（注册号：1119970066）</v>
      </c>
      <c r="E4" s="2343" t="s">
        <v>2147</v>
      </c>
      <c r="F4" s="1300">
        <f ca="1">IF(G4&lt;B2,"已过期",96010014)</f>
        <v>96010014</v>
      </c>
      <c r="G4" s="2344">
        <v>47118</v>
      </c>
      <c r="H4" s="2345" t="str">
        <f ca="1">E4&amp;"（注册号："&amp;F4&amp;"）"</f>
        <v>梁津（注册号：96010014）</v>
      </c>
    </row>
    <row r="5" spans="1:8" ht="24" customHeight="1">
      <c r="A5" s="1300" t="s">
        <v>2148</v>
      </c>
      <c r="B5" s="1300">
        <f ca="1">IF(C5&lt;B2,"已过期",1119970111)</f>
        <v>1119970111</v>
      </c>
      <c r="C5" s="2341">
        <v>45937</v>
      </c>
      <c r="D5" s="2342" t="str">
        <f t="shared" ref="D5:D15" ca="1" si="0">A5&amp;"（注册号："&amp;B5&amp;"）"</f>
        <v>叶凌（注册号：1119970111）</v>
      </c>
      <c r="E5" s="2343" t="s">
        <v>2148</v>
      </c>
      <c r="F5" s="1300">
        <f ca="1">IF(G5&lt;B2,"已过期",94010078)</f>
        <v>94010078</v>
      </c>
      <c r="G5" s="2344">
        <v>46387</v>
      </c>
      <c r="H5" s="2345" t="str">
        <f t="shared" ref="H5:H16" ca="1" si="1">E5&amp;"（注册号："&amp;F5&amp;"）"</f>
        <v>叶凌（注册号：94010078）</v>
      </c>
    </row>
    <row r="6" spans="1:8" ht="24" customHeight="1">
      <c r="A6" s="1300" t="s">
        <v>2149</v>
      </c>
      <c r="B6" s="1300">
        <f ca="1">IF(C6&lt;B2,"已过期",1120050019)</f>
        <v>1120050019</v>
      </c>
      <c r="C6" s="2341">
        <v>45410</v>
      </c>
      <c r="D6" s="2342" t="str">
        <f t="shared" ca="1" si="0"/>
        <v>王鹏（注册号：1120050019）</v>
      </c>
      <c r="E6" s="2343" t="s">
        <v>2149</v>
      </c>
      <c r="F6" s="1300">
        <f ca="1">IF(G6&lt;B2,"已过期",2002110030)</f>
        <v>2002110030</v>
      </c>
      <c r="G6" s="2344">
        <v>46387</v>
      </c>
      <c r="H6" s="2345" t="str">
        <f t="shared" ca="1" si="1"/>
        <v>王鹏（注册号：2002110030）</v>
      </c>
    </row>
    <row r="7" spans="1:8" ht="24" customHeight="1">
      <c r="A7" s="1300" t="s">
        <v>2150</v>
      </c>
      <c r="B7" s="1300">
        <f ca="1">IF(C7&lt;B2,"已过期",1120000080)</f>
        <v>1120000080</v>
      </c>
      <c r="C7" s="2341">
        <v>45937</v>
      </c>
      <c r="D7" s="2342" t="str">
        <f t="shared" ca="1" si="0"/>
        <v>欧红伟（注册号：1120000080）</v>
      </c>
      <c r="E7" s="2343" t="s">
        <v>2150</v>
      </c>
      <c r="F7" s="1300">
        <f ca="1">IF(G7&lt;B2,"已过期",2000110082)</f>
        <v>2000110082</v>
      </c>
      <c r="G7" s="2344">
        <v>46387</v>
      </c>
      <c r="H7" s="2345" t="str">
        <f t="shared" ca="1" si="1"/>
        <v>欧红伟（注册号：2000110082）</v>
      </c>
    </row>
    <row r="8" spans="1:8" ht="24" customHeight="1">
      <c r="A8" s="1300" t="s">
        <v>2151</v>
      </c>
      <c r="B8" s="1300">
        <f ca="1">IF(C8&lt;B2,"已过期",1419970001)</f>
        <v>1419970001</v>
      </c>
      <c r="C8" s="2341">
        <v>45937</v>
      </c>
      <c r="D8" s="2342" t="str">
        <f t="shared" ca="1" si="0"/>
        <v>吴薇（注册号：1419970001）</v>
      </c>
      <c r="E8" s="2343" t="s">
        <v>2151</v>
      </c>
      <c r="F8" s="1300">
        <f ca="1">IF(G8&lt;B2,"已过期",2002110125)</f>
        <v>2002110125</v>
      </c>
      <c r="G8" s="2344">
        <v>47118</v>
      </c>
      <c r="H8" s="2345" t="str">
        <f t="shared" ca="1" si="1"/>
        <v>吴薇（注册号：2002110125）</v>
      </c>
    </row>
    <row r="9" spans="1:8" ht="24" customHeight="1">
      <c r="A9" s="1300" t="s">
        <v>2152</v>
      </c>
      <c r="B9" s="1300">
        <f ca="1">IF(C9&lt;B2,"已过期",1120060040)</f>
        <v>1120060040</v>
      </c>
      <c r="C9" s="2346">
        <v>45592</v>
      </c>
      <c r="D9" s="2342" t="str">
        <f t="shared" ca="1" si="0"/>
        <v>陈颖（注册号：1120060040）</v>
      </c>
      <c r="E9" s="2343" t="s">
        <v>2152</v>
      </c>
      <c r="F9" s="1300">
        <f ca="1">IF(G9&lt;B2,"已过期",2004110096)</f>
        <v>2004110096</v>
      </c>
      <c r="G9" s="2344">
        <v>47118</v>
      </c>
      <c r="H9" s="2345" t="str">
        <f t="shared" ca="1" si="1"/>
        <v>陈颖（注册号：2004110096）</v>
      </c>
    </row>
    <row r="10" spans="1:8" ht="24" customHeight="1">
      <c r="A10" s="1300" t="s">
        <v>2153</v>
      </c>
      <c r="B10" s="1300">
        <f ca="1">IF(C10&lt;B2,"已过期",1120100036)</f>
        <v>1120100036</v>
      </c>
      <c r="C10" s="2346">
        <v>45752</v>
      </c>
      <c r="D10" s="2342" t="str">
        <f t="shared" ca="1" si="0"/>
        <v>崔锴（注册号：1120100036）</v>
      </c>
      <c r="E10" s="2343" t="s">
        <v>2153</v>
      </c>
      <c r="F10" s="1300">
        <f ca="1">IF(G10&lt;B2,"已过期",2010110070)</f>
        <v>2010110070</v>
      </c>
      <c r="G10" s="2344">
        <v>47907</v>
      </c>
      <c r="H10" s="2345" t="str">
        <f t="shared" ca="1" si="1"/>
        <v>崔锴（注册号：2010110070）</v>
      </c>
    </row>
    <row r="11" spans="1:8" ht="24" customHeight="1">
      <c r="A11" s="1300" t="s">
        <v>2154</v>
      </c>
      <c r="B11" s="1300">
        <f ca="1">IF(C11&lt;B2,"已过期",1120070131)</f>
        <v>1120070131</v>
      </c>
      <c r="C11" s="2341">
        <v>45937</v>
      </c>
      <c r="D11" s="2342" t="str">
        <f t="shared" ca="1" si="0"/>
        <v>郑燚（注册号：1120070131）</v>
      </c>
      <c r="E11" s="2343" t="s">
        <v>2154</v>
      </c>
      <c r="F11" s="1300">
        <f ca="1">IF(G11&lt;B2,"已过期",2014110011)</f>
        <v>2014110011</v>
      </c>
      <c r="G11" s="2344">
        <v>49302</v>
      </c>
      <c r="H11" s="2345" t="str">
        <f t="shared" ca="1" si="1"/>
        <v>郑燚（注册号：2014110011）</v>
      </c>
    </row>
    <row r="12" spans="1:8" ht="24" customHeight="1">
      <c r="A12" s="1300" t="s">
        <v>2155</v>
      </c>
      <c r="B12" s="1300">
        <f ca="1">IF(C12&lt;B2,"已过期",1120040230)</f>
        <v>1120040230</v>
      </c>
      <c r="C12" s="2346">
        <v>45937</v>
      </c>
      <c r="D12" s="2342" t="str">
        <f t="shared" ca="1" si="0"/>
        <v>苏海（注册号：1120040230）</v>
      </c>
      <c r="E12" s="2343" t="s">
        <v>2155</v>
      </c>
      <c r="F12" s="1300">
        <f ca="1">IF(G12&lt;B2,"已过期",98030020)</f>
        <v>98030020</v>
      </c>
      <c r="G12" s="2344">
        <v>47118</v>
      </c>
      <c r="H12" s="2345" t="str">
        <f t="shared" ca="1" si="1"/>
        <v>苏海（注册号：98030020）</v>
      </c>
    </row>
    <row r="13" spans="1:8" ht="24" customHeight="1">
      <c r="A13" s="1300" t="s">
        <v>2156</v>
      </c>
      <c r="B13" s="1300">
        <f ca="1">IF(C13&lt;B2,"已过期",1120020033)</f>
        <v>1120020033</v>
      </c>
      <c r="C13" s="2341">
        <v>45375</v>
      </c>
      <c r="D13" s="2342" t="str">
        <f t="shared" ca="1" si="0"/>
        <v>刘敬东（注册号：1120020033）</v>
      </c>
      <c r="E13" s="2343" t="s">
        <v>2156</v>
      </c>
      <c r="F13" s="1300">
        <f ca="1">IF(G13&lt;B2,"已过期",2000110137)</f>
        <v>2000110137</v>
      </c>
      <c r="G13" s="2344">
        <v>46387</v>
      </c>
      <c r="H13" s="2345" t="str">
        <f t="shared" ca="1" si="1"/>
        <v>刘敬东（注册号：2000110137）</v>
      </c>
    </row>
    <row r="14" spans="1:8" ht="24" customHeight="1">
      <c r="A14" s="1300" t="s">
        <v>2157</v>
      </c>
      <c r="B14" s="1300" t="str">
        <f ca="1">IF(C14&lt;B2,"已过期",1119980106)</f>
        <v>已过期</v>
      </c>
      <c r="C14" s="2346">
        <v>44969</v>
      </c>
      <c r="D14" s="2342" t="str">
        <f t="shared" ca="1" si="0"/>
        <v>刘俊财（注册号：已过期）</v>
      </c>
      <c r="E14" s="2343" t="s">
        <v>2157</v>
      </c>
      <c r="F14" s="1300">
        <f ca="1">IF(G14&lt;B2,"已过期",96010063)</f>
        <v>96010063</v>
      </c>
      <c r="G14" s="2344">
        <v>47483</v>
      </c>
      <c r="H14" s="2345" t="str">
        <f t="shared" ca="1" si="1"/>
        <v>刘俊财（注册号：96010063）</v>
      </c>
    </row>
    <row r="15" spans="1:8" ht="24" customHeight="1">
      <c r="A15" s="1300" t="s">
        <v>2439</v>
      </c>
      <c r="B15" s="1300">
        <v>1120210056</v>
      </c>
      <c r="C15" s="2346">
        <v>45410</v>
      </c>
      <c r="D15" s="2342" t="str">
        <f t="shared" si="0"/>
        <v>宁小鳗（注册号：1120210056）</v>
      </c>
      <c r="E15" s="2343" t="s">
        <v>2158</v>
      </c>
      <c r="F15" s="1300">
        <f ca="1">IF(G15&lt;B2,"已过期",2011110090)</f>
        <v>2011110090</v>
      </c>
      <c r="G15" s="2344">
        <v>48302</v>
      </c>
      <c r="H15" s="2345" t="str">
        <f t="shared" ca="1" si="1"/>
        <v>赵雯（注册号：2011110090）</v>
      </c>
    </row>
    <row r="16" spans="1:8" s="2348" customFormat="1" ht="24" customHeight="1">
      <c r="A16" s="1300"/>
      <c r="B16" s="1300"/>
      <c r="C16" s="1300"/>
      <c r="D16" s="2342" t="str">
        <f>A16&amp;"（注册号："&amp;B16&amp;"）"</f>
        <v>（注册号：）</v>
      </c>
      <c r="E16" s="2343"/>
      <c r="F16" s="1300"/>
      <c r="G16" s="1300"/>
      <c r="H16" s="2347" t="str">
        <f t="shared" si="1"/>
        <v>（注册号：）</v>
      </c>
    </row>
    <row r="17" spans="1:8" ht="24" customHeight="1">
      <c r="A17" s="3546" t="s">
        <v>2159</v>
      </c>
      <c r="B17" s="3546"/>
      <c r="C17" s="3546"/>
      <c r="D17" s="3546"/>
      <c r="E17" s="3546"/>
      <c r="F17" s="3546"/>
      <c r="G17" s="3546"/>
      <c r="H17" s="3546"/>
    </row>
    <row r="18" spans="1:8" ht="24" customHeight="1">
      <c r="A18" s="3547" t="s">
        <v>2160</v>
      </c>
      <c r="B18" s="3547"/>
      <c r="C18" s="3547"/>
      <c r="D18" s="2339"/>
      <c r="E18" s="3548" t="s">
        <v>2161</v>
      </c>
      <c r="F18" s="3547"/>
      <c r="G18" s="3547"/>
    </row>
    <row r="19" spans="1:8" s="2350" customFormat="1" ht="24" customHeight="1">
      <c r="A19" s="2349" t="s">
        <v>2162</v>
      </c>
      <c r="B19" s="2338" t="s">
        <v>2163</v>
      </c>
      <c r="C19" s="2338" t="s">
        <v>2142</v>
      </c>
      <c r="D19" s="2339"/>
      <c r="E19" s="2343" t="s">
        <v>2162</v>
      </c>
      <c r="F19" s="2338" t="s">
        <v>2163</v>
      </c>
      <c r="G19" s="2338" t="s">
        <v>2142</v>
      </c>
    </row>
    <row r="20" spans="1:8" s="2350" customFormat="1" ht="24" customHeight="1">
      <c r="A20" s="2351" t="s">
        <v>2164</v>
      </c>
      <c r="B20" s="2351" t="s">
        <v>2165</v>
      </c>
      <c r="C20" s="2344">
        <v>45898</v>
      </c>
      <c r="D20" s="2352"/>
      <c r="E20" s="2353" t="s">
        <v>2166</v>
      </c>
      <c r="F20" s="2356" t="s">
        <v>2440</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3" type="noConversion"/>
  <conditionalFormatting sqref="D16 C4:D5 D7:D12 C13:D13 C12">
    <cfRule type="expression" dxfId="813" priority="53">
      <formula>AND($C4-TODAY()&lt;30,TODAY()&lt;$C4)</formula>
    </cfRule>
  </conditionalFormatting>
  <conditionalFormatting sqref="C20:D20">
    <cfRule type="expression" dxfId="812" priority="52">
      <formula>AND($C20-TODAY()&lt;30,TODAY()&lt;$C20)</formula>
    </cfRule>
  </conditionalFormatting>
  <conditionalFormatting sqref="C20:D20 G4 C4:D5 C13:D13">
    <cfRule type="cellIs" dxfId="811" priority="54" stopIfTrue="1" operator="lessThan">
      <formula>$B$2</formula>
    </cfRule>
  </conditionalFormatting>
  <conditionalFormatting sqref="G5 G7 G9">
    <cfRule type="cellIs" dxfId="810" priority="51" stopIfTrue="1" operator="lessThan">
      <formula>$B$2</formula>
    </cfRule>
  </conditionalFormatting>
  <conditionalFormatting sqref="C6:D6 D14 D16">
    <cfRule type="expression" dxfId="809" priority="49">
      <formula>AND($C6-TODAY()&lt;30,TODAY()&lt;$C6)</formula>
    </cfRule>
  </conditionalFormatting>
  <conditionalFormatting sqref="G6 G8 G10 C6:D6 D7:D12 D14 D16">
    <cfRule type="cellIs" dxfId="808" priority="50" stopIfTrue="1" operator="lessThan">
      <formula>$B$2</formula>
    </cfRule>
  </conditionalFormatting>
  <conditionalFormatting sqref="D12">
    <cfRule type="expression" dxfId="807" priority="47">
      <formula>AND($C12-TODAY()&lt;30,TODAY()&lt;$C12)</formula>
    </cfRule>
  </conditionalFormatting>
  <conditionalFormatting sqref="D12">
    <cfRule type="cellIs" dxfId="806" priority="48" stopIfTrue="1" operator="lessThan">
      <formula>$B$2</formula>
    </cfRule>
  </conditionalFormatting>
  <conditionalFormatting sqref="C13:D13">
    <cfRule type="expression" dxfId="805" priority="45">
      <formula>AND($C13-TODAY()&lt;30,TODAY()&lt;$C13)</formula>
    </cfRule>
  </conditionalFormatting>
  <conditionalFormatting sqref="C13:D13">
    <cfRule type="cellIs" dxfId="804" priority="46" stopIfTrue="1" operator="lessThan">
      <formula>$B$2</formula>
    </cfRule>
  </conditionalFormatting>
  <conditionalFormatting sqref="D14">
    <cfRule type="expression" dxfId="803" priority="43">
      <formula>AND($C14-TODAY()&lt;30,TODAY()&lt;$C14)</formula>
    </cfRule>
  </conditionalFormatting>
  <conditionalFormatting sqref="D14">
    <cfRule type="cellIs" dxfId="802" priority="44" stopIfTrue="1" operator="lessThan">
      <formula>$B$2</formula>
    </cfRule>
  </conditionalFormatting>
  <conditionalFormatting sqref="G13">
    <cfRule type="cellIs" dxfId="801" priority="42" stopIfTrue="1" operator="lessThan">
      <formula>$B$2</formula>
    </cfRule>
  </conditionalFormatting>
  <conditionalFormatting sqref="B4:B11 F4:F11 B13 F13:F14">
    <cfRule type="cellIs" dxfId="800" priority="41" stopIfTrue="1" operator="equal">
      <formula>"已过期"</formula>
    </cfRule>
  </conditionalFormatting>
  <conditionalFormatting sqref="C7">
    <cfRule type="cellIs" dxfId="799" priority="38" stopIfTrue="1" operator="lessThan">
      <formula>$B$2</formula>
    </cfRule>
  </conditionalFormatting>
  <conditionalFormatting sqref="C7">
    <cfRule type="expression" dxfId="798" priority="37">
      <formula>AND($C7-TODAY()&lt;30,TODAY()&lt;$C7)</formula>
    </cfRule>
  </conditionalFormatting>
  <conditionalFormatting sqref="C8">
    <cfRule type="expression" dxfId="797" priority="35">
      <formula>AND($C8-TODAY()&lt;30,TODAY()&lt;$C8)</formula>
    </cfRule>
  </conditionalFormatting>
  <conditionalFormatting sqref="C8">
    <cfRule type="cellIs" dxfId="796" priority="36" stopIfTrue="1" operator="lessThan">
      <formula>$B$2</formula>
    </cfRule>
  </conditionalFormatting>
  <conditionalFormatting sqref="C11">
    <cfRule type="expression" dxfId="795" priority="33">
      <formula>AND($C11-TODAY()&lt;30,TODAY()&lt;$C11)</formula>
    </cfRule>
  </conditionalFormatting>
  <conditionalFormatting sqref="C11">
    <cfRule type="cellIs" dxfId="794" priority="34" stopIfTrue="1" operator="lessThan">
      <formula>$B$2</formula>
    </cfRule>
  </conditionalFormatting>
  <conditionalFormatting sqref="A16:C16">
    <cfRule type="cellIs" dxfId="793" priority="32" stopIfTrue="1" operator="equal">
      <formula>"已过期"</formula>
    </cfRule>
  </conditionalFormatting>
  <conditionalFormatting sqref="E16:G16">
    <cfRule type="cellIs" dxfId="792" priority="31" stopIfTrue="1" operator="equal">
      <formula>"已过期"</formula>
    </cfRule>
  </conditionalFormatting>
  <conditionalFormatting sqref="G11">
    <cfRule type="cellIs" dxfId="791" priority="30" stopIfTrue="1" operator="lessThan">
      <formula>$B$2</formula>
    </cfRule>
  </conditionalFormatting>
  <conditionalFormatting sqref="F12">
    <cfRule type="cellIs" dxfId="790" priority="29" stopIfTrue="1" operator="equal">
      <formula>"已过期"</formula>
    </cfRule>
  </conditionalFormatting>
  <conditionalFormatting sqref="G12">
    <cfRule type="cellIs" dxfId="789" priority="28" stopIfTrue="1" operator="lessThan">
      <formula>$B$2</formula>
    </cfRule>
  </conditionalFormatting>
  <conditionalFormatting sqref="C12">
    <cfRule type="cellIs" dxfId="788" priority="27" stopIfTrue="1" operator="lessThan">
      <formula>$B$2</formula>
    </cfRule>
  </conditionalFormatting>
  <conditionalFormatting sqref="C12">
    <cfRule type="expression" dxfId="787" priority="25">
      <formula>AND($C12-TODAY()&lt;30,TODAY()&lt;$C12)</formula>
    </cfRule>
  </conditionalFormatting>
  <conditionalFormatting sqref="C12">
    <cfRule type="cellIs" dxfId="786" priority="26" stopIfTrue="1" operator="lessThan">
      <formula>$B$2</formula>
    </cfRule>
  </conditionalFormatting>
  <conditionalFormatting sqref="B12">
    <cfRule type="cellIs" dxfId="785" priority="24" stopIfTrue="1" operator="equal">
      <formula>"已过期"</formula>
    </cfRule>
  </conditionalFormatting>
  <conditionalFormatting sqref="C9:C10">
    <cfRule type="expression" dxfId="784" priority="22">
      <formula>AND($C9-TODAY()&lt;30,TODAY()&lt;$C9)</formula>
    </cfRule>
  </conditionalFormatting>
  <conditionalFormatting sqref="C9:C10">
    <cfRule type="cellIs" dxfId="783" priority="23" stopIfTrue="1" operator="lessThan">
      <formula>$B$2</formula>
    </cfRule>
  </conditionalFormatting>
  <conditionalFormatting sqref="G21">
    <cfRule type="expression" dxfId="782" priority="20" stopIfTrue="1">
      <formula>AND(#REF!-TODAY()&lt;30,TODAY()&lt;#REF!)</formula>
    </cfRule>
  </conditionalFormatting>
  <conditionalFormatting sqref="G21">
    <cfRule type="cellIs" dxfId="781" priority="21" stopIfTrue="1" operator="lessThan">
      <formula>$B$2</formula>
    </cfRule>
  </conditionalFormatting>
  <conditionalFormatting sqref="C14">
    <cfRule type="expression" dxfId="780" priority="18">
      <formula>AND($C14-TODAY()&lt;30,TODAY()&lt;$C14)</formula>
    </cfRule>
  </conditionalFormatting>
  <conditionalFormatting sqref="C14">
    <cfRule type="cellIs" dxfId="779" priority="19" stopIfTrue="1" operator="lessThan">
      <formula>$B$2</formula>
    </cfRule>
  </conditionalFormatting>
  <conditionalFormatting sqref="C14">
    <cfRule type="expression" dxfId="778" priority="16">
      <formula>AND($C14-TODAY()&lt;30,TODAY()&lt;$C14)</formula>
    </cfRule>
  </conditionalFormatting>
  <conditionalFormatting sqref="C14">
    <cfRule type="cellIs" dxfId="777" priority="17" stopIfTrue="1" operator="lessThan">
      <formula>$B$2</formula>
    </cfRule>
  </conditionalFormatting>
  <conditionalFormatting sqref="B14">
    <cfRule type="cellIs" dxfId="776" priority="15" stopIfTrue="1" operator="equal">
      <formula>"已过期"</formula>
    </cfRule>
  </conditionalFormatting>
  <conditionalFormatting sqref="G14">
    <cfRule type="cellIs" dxfId="775" priority="14" stopIfTrue="1" operator="lessThan">
      <formula>$B$2</formula>
    </cfRule>
  </conditionalFormatting>
  <conditionalFormatting sqref="D15">
    <cfRule type="expression" dxfId="774" priority="12">
      <formula>AND($C15-TODAY()&lt;30,TODAY()&lt;$C15)</formula>
    </cfRule>
  </conditionalFormatting>
  <conditionalFormatting sqref="D15">
    <cfRule type="cellIs" dxfId="773" priority="13" stopIfTrue="1" operator="lessThan">
      <formula>$B$2</formula>
    </cfRule>
  </conditionalFormatting>
  <conditionalFormatting sqref="D15">
    <cfRule type="expression" dxfId="772" priority="10">
      <formula>AND($C15-TODAY()&lt;30,TODAY()&lt;$C15)</formula>
    </cfRule>
  </conditionalFormatting>
  <conditionalFormatting sqref="D15">
    <cfRule type="cellIs" dxfId="771" priority="11" stopIfTrue="1" operator="lessThan">
      <formula>$B$2</formula>
    </cfRule>
  </conditionalFormatting>
  <conditionalFormatting sqref="F15">
    <cfRule type="cellIs" dxfId="770" priority="9" stopIfTrue="1" operator="equal">
      <formula>"已过期"</formula>
    </cfRule>
  </conditionalFormatting>
  <conditionalFormatting sqref="C15">
    <cfRule type="expression" dxfId="769" priority="7">
      <formula>AND($C15-TODAY()&lt;30,TODAY()&lt;$C15)</formula>
    </cfRule>
  </conditionalFormatting>
  <conditionalFormatting sqref="C15">
    <cfRule type="cellIs" dxfId="768" priority="8" stopIfTrue="1" operator="lessThan">
      <formula>$B$2</formula>
    </cfRule>
  </conditionalFormatting>
  <conditionalFormatting sqref="C15">
    <cfRule type="expression" dxfId="767" priority="5">
      <formula>AND($C15-TODAY()&lt;30,TODAY()&lt;$C15)</formula>
    </cfRule>
  </conditionalFormatting>
  <conditionalFormatting sqref="C15">
    <cfRule type="cellIs" dxfId="766" priority="6" stopIfTrue="1" operator="lessThan">
      <formula>$B$2</formula>
    </cfRule>
  </conditionalFormatting>
  <conditionalFormatting sqref="B15">
    <cfRule type="cellIs" dxfId="765" priority="4" stopIfTrue="1" operator="equal">
      <formula>"已过期"</formula>
    </cfRule>
  </conditionalFormatting>
  <conditionalFormatting sqref="G15">
    <cfRule type="cellIs" dxfId="764" priority="3" stopIfTrue="1" operator="lessThan">
      <formula>$B$2</formula>
    </cfRule>
  </conditionalFormatting>
  <conditionalFormatting sqref="G20">
    <cfRule type="expression" dxfId="763" priority="1" stopIfTrue="1">
      <formula>AND(#REF!-TODAY()&lt;30,TODAY()&lt;#REF!)</formula>
    </cfRule>
  </conditionalFormatting>
  <conditionalFormatting sqref="G20">
    <cfRule type="cellIs" dxfId="762"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152</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Sheet1</vt:lpstr>
      <vt:lpstr>数据-汇总表</vt:lpstr>
      <vt:lpstr>数据-取费表</vt:lpstr>
      <vt:lpstr>估价对象房地状况</vt:lpstr>
      <vt:lpstr>系统读取表</vt:lpstr>
      <vt:lpstr>结果表</vt:lpstr>
      <vt:lpstr>成本法</vt:lpstr>
      <vt:lpstr>成本法 (元)</vt:lpstr>
      <vt:lpstr>土地比较法-住宅、综合</vt:lpstr>
      <vt:lpstr>Sheet2</vt:lpstr>
      <vt:lpstr>假设开发法</vt:lpstr>
      <vt:lpstr>收益法 (元)</vt:lpstr>
      <vt:lpstr>收益法-酒店模型</vt:lpstr>
      <vt:lpstr>收益法（汇总）</vt:lpstr>
      <vt:lpstr>比较法-住宅</vt:lpstr>
      <vt:lpstr>比较法-办公</vt:lpstr>
      <vt:lpstr>比较法-商业</vt:lpstr>
      <vt:lpstr>比较法-工业</vt:lpstr>
      <vt:lpstr>典型户型修正</vt:lpstr>
      <vt:lpstr>比较法-仓储</vt:lpstr>
      <vt:lpstr>土地比较法-工业</vt:lpstr>
      <vt:lpstr>收益法</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比较法-车位</vt:lpstr>
      <vt:lpstr>办公案例</vt:lpstr>
      <vt:lpstr>商业案例</vt:lpstr>
      <vt:lpstr>仓储案例</vt:lpstr>
      <vt:lpstr>车位案例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2023-03-23T07:25:06Z</dcterms:modified>
</cp:coreProperties>
</file>