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555" windowHeight="10710" tabRatio="899" firstSheet="15"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Sheet1"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state="hidden" r:id="rId24"/>
    <sheet name="收益法 (元)" sheetId="67" state="hidden" r:id="rId25"/>
    <sheet name="收益法-酒店模型" sheetId="77"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年收益" sheetId="81"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4" i="74" l="1"/>
  <c r="B14" i="74"/>
  <c r="I13" i="3"/>
  <c r="C36" i="77" l="1"/>
  <c r="B5" i="77"/>
  <c r="D37" i="43"/>
  <c r="D33" i="43"/>
  <c r="N14" i="1"/>
  <c r="F19" i="6"/>
  <c r="G19" i="6"/>
  <c r="K13" i="3"/>
  <c r="G16" i="80"/>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5" i="79" l="1"/>
  <c r="W5" i="79" s="1"/>
  <c r="R6" i="79"/>
  <c r="R7" i="79"/>
  <c r="R8" i="79"/>
  <c r="V9" i="79"/>
  <c r="V8" i="79"/>
  <c r="V7" i="79"/>
  <c r="V6" i="79"/>
  <c r="T26" i="79"/>
  <c r="W26" i="79" s="1"/>
  <c r="T28" i="79"/>
  <c r="W28" i="79" s="1"/>
  <c r="T27" i="79"/>
  <c r="W27" i="79" s="1"/>
  <c r="P9" i="79"/>
  <c r="T7" i="79"/>
  <c r="W7" i="79" s="1"/>
  <c r="T8" i="79"/>
  <c r="W8" i="79" s="1"/>
  <c r="T6" i="79"/>
  <c r="W6" i="79" s="1"/>
  <c r="K3" i="79"/>
  <c r="M3" i="79"/>
  <c r="P3" i="79" s="1"/>
  <c r="O3" i="79"/>
  <c r="T3" i="79"/>
  <c r="W3" i="79" s="1"/>
  <c r="V3" i="79"/>
  <c r="S5" i="79"/>
  <c r="U5" i="79"/>
  <c r="P5" i="79"/>
  <c r="S9" i="79"/>
  <c r="S8" i="79"/>
  <c r="S6" i="79"/>
  <c r="S7"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R22" i="77"/>
  <c r="R21" i="77"/>
  <c r="N19" i="77"/>
  <c r="R18" i="77"/>
  <c r="R17" i="77"/>
  <c r="R16" i="77"/>
  <c r="M14" i="77"/>
  <c r="N14" i="77" s="1"/>
  <c r="D14" i="77"/>
  <c r="R13" i="77"/>
  <c r="R12" i="77"/>
  <c r="D12" i="77"/>
  <c r="R11" i="77"/>
  <c r="R10" i="77"/>
  <c r="R9" i="77"/>
  <c r="R8" i="77"/>
  <c r="R7" i="77"/>
  <c r="R4" i="77"/>
  <c r="R3" i="77"/>
  <c r="R14" i="77" l="1"/>
  <c r="R24" i="77" s="1"/>
  <c r="R35" i="77"/>
  <c r="U34" i="77" s="1"/>
  <c r="AH9" i="71"/>
  <c r="AG9" i="71"/>
  <c r="AE9" i="71"/>
  <c r="AF9" i="71" s="1"/>
  <c r="AD9" i="71"/>
  <c r="Q9" i="71"/>
  <c r="P9" i="71"/>
  <c r="O9" i="71"/>
  <c r="N9" i="71"/>
  <c r="R25" i="77" l="1"/>
  <c r="R19" i="77"/>
  <c r="AH10" i="71"/>
  <c r="AG10" i="71"/>
  <c r="AE10" i="71"/>
  <c r="AF10" i="71" s="1"/>
  <c r="AD10" i="71"/>
  <c r="Q10" i="71"/>
  <c r="P10" i="71"/>
  <c r="O10" i="71"/>
  <c r="N10" i="71"/>
  <c r="R5" i="77" l="1"/>
  <c r="U5" i="77" s="1"/>
  <c r="D6" i="77" l="1"/>
  <c r="D16" i="77" s="1"/>
  <c r="E24" i="43"/>
  <c r="C23" i="77" l="1"/>
  <c r="C29" i="77" s="1"/>
  <c r="D18" i="77"/>
  <c r="D10" i="77"/>
  <c r="D17" i="77"/>
  <c r="D15" i="77"/>
  <c r="D11" i="77" s="1"/>
  <c r="E11" i="77" s="1"/>
  <c r="E7" i="77" s="1"/>
  <c r="C27" i="77" s="1"/>
  <c r="D9" i="77"/>
  <c r="Q32" i="43"/>
  <c r="P32" i="43"/>
  <c r="O32" i="43"/>
  <c r="N32" i="43"/>
  <c r="M32" i="43"/>
  <c r="AH11" i="71"/>
  <c r="AG11" i="71"/>
  <c r="AE11" i="71"/>
  <c r="AF11" i="71" s="1"/>
  <c r="AD11" i="71"/>
  <c r="Q11" i="71"/>
  <c r="P11" i="71"/>
  <c r="O11" i="71"/>
  <c r="N11" i="71"/>
  <c r="D23" i="77" l="1"/>
  <c r="E23" i="77" s="1"/>
  <c r="D7" i="77"/>
  <c r="C26" i="77" s="1"/>
  <c r="C32" i="77" s="1"/>
  <c r="C38" i="77" s="1"/>
  <c r="C39" i="77" s="1"/>
  <c r="AH12" i="71"/>
  <c r="AG12" i="71"/>
  <c r="AE12" i="71"/>
  <c r="AF12" i="71" s="1"/>
  <c r="AD12" i="71"/>
  <c r="Q12" i="71"/>
  <c r="P12" i="71"/>
  <c r="O12" i="71"/>
  <c r="N12" i="71"/>
  <c r="D26" i="77" l="1"/>
  <c r="D29" i="77"/>
  <c r="E26" i="77"/>
  <c r="E29" i="77"/>
  <c r="AH13" i="71"/>
  <c r="AG13" i="71"/>
  <c r="AE13" i="71"/>
  <c r="AF13" i="71" s="1"/>
  <c r="AD13" i="71"/>
  <c r="Q13" i="71"/>
  <c r="P13" i="71"/>
  <c r="O13" i="71"/>
  <c r="N13" i="71"/>
  <c r="D32" i="77" l="1"/>
  <c r="D38" i="77" s="1"/>
  <c r="D39" i="77" s="1"/>
  <c r="E32" i="77"/>
  <c r="E38" i="77" s="1"/>
  <c r="E39" i="77" s="1"/>
  <c r="H16" i="49"/>
  <c r="D16" i="49"/>
  <c r="D15" i="49"/>
  <c r="B2" i="49"/>
  <c r="F15" i="49" s="1"/>
  <c r="H15" i="49" s="1"/>
  <c r="C40" i="77" l="1"/>
  <c r="B2" i="77" s="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C7" i="69" s="1"/>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D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AB29"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C28" i="71"/>
  <c r="C27" i="71" s="1"/>
  <c r="X25" i="71"/>
  <c r="X27" i="71"/>
  <c r="C31" i="71"/>
  <c r="D31" i="71" s="1"/>
  <c r="D34" i="71"/>
  <c r="C47" i="71"/>
  <c r="D47" i="71"/>
  <c r="D46" i="71"/>
  <c r="C51" i="71"/>
  <c r="D51" i="71" s="1"/>
  <c r="D50" i="71"/>
  <c r="P28" i="71"/>
  <c r="AA3" i="71" s="1"/>
  <c r="E59" i="71"/>
  <c r="E60" i="71" s="1"/>
  <c r="U60" i="71" s="1"/>
  <c r="E63" i="71"/>
  <c r="E64" i="71"/>
  <c r="U64" i="71" s="1"/>
  <c r="Q65" i="71"/>
  <c r="U68" i="71"/>
  <c r="E67" i="71"/>
  <c r="E66" i="71" s="1"/>
  <c r="Q28" i="71"/>
  <c r="C55" i="71"/>
  <c r="D55" i="71" s="1"/>
  <c r="D54" i="71"/>
  <c r="C59" i="71"/>
  <c r="D59" i="71" s="1"/>
  <c r="D58" i="71"/>
  <c r="C63" i="71"/>
  <c r="C64" i="71" s="1"/>
  <c r="Q67" i="71"/>
  <c r="T68" i="71"/>
  <c r="O68" i="71"/>
  <c r="D68" i="71"/>
  <c r="C67" i="71"/>
  <c r="O67" i="71" s="1"/>
  <c r="Q68" i="71"/>
  <c r="C71" i="71"/>
  <c r="D71" i="71" s="1"/>
  <c r="E71" i="71"/>
  <c r="E70" i="71"/>
  <c r="C75" i="71"/>
  <c r="C74" i="71" s="1"/>
  <c r="D74" i="71" s="1"/>
  <c r="E75" i="71"/>
  <c r="E74" i="71"/>
  <c r="D76" i="71"/>
  <c r="C79" i="71"/>
  <c r="C78" i="71" s="1"/>
  <c r="D78" i="71" s="1"/>
  <c r="E79" i="71"/>
  <c r="E78" i="71"/>
  <c r="D80" i="71"/>
  <c r="C83" i="71"/>
  <c r="D83" i="71" s="1"/>
  <c r="C87" i="71"/>
  <c r="T28" i="71"/>
  <c r="F28" i="71"/>
  <c r="F27" i="71"/>
  <c r="F26" i="71" s="1"/>
  <c r="AB25" i="71"/>
  <c r="AB27" i="71"/>
  <c r="E28" i="71"/>
  <c r="E27" i="71" s="1"/>
  <c r="E26" i="71" s="1"/>
  <c r="AA25" i="71"/>
  <c r="AA27" i="71"/>
  <c r="D28" i="71"/>
  <c r="U28" i="71" s="1"/>
  <c r="C66" i="71"/>
  <c r="D66" i="71" s="1"/>
  <c r="D67" i="71"/>
  <c r="D63" i="71"/>
  <c r="C82" i="71"/>
  <c r="D82" i="71" s="1"/>
  <c r="D75" i="71"/>
  <c r="D87" i="71"/>
  <c r="C86" i="71"/>
  <c r="D86" i="71" s="1"/>
  <c r="D79" i="71"/>
  <c r="C70" i="71"/>
  <c r="D70" i="71" s="1"/>
  <c r="C60" i="71"/>
  <c r="T60" i="71" s="1"/>
  <c r="C56" i="71"/>
  <c r="T56" i="71" s="1"/>
  <c r="P67" i="71"/>
  <c r="C52" i="71"/>
  <c r="T52" i="71" s="1"/>
  <c r="C32" i="71"/>
  <c r="T32" i="71" s="1"/>
  <c r="O66" i="71"/>
  <c r="O65" i="71"/>
  <c r="D32"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C21" i="37"/>
  <c r="Q21" i="34"/>
  <c r="Z21" i="34" s="1"/>
  <c r="D84" i="34"/>
  <c r="E84" i="34"/>
  <c r="F21" i="34"/>
  <c r="AA21" i="34"/>
  <c r="C21" i="34"/>
  <c r="Z21" i="33"/>
  <c r="Q21" i="33"/>
  <c r="D83" i="33"/>
  <c r="E83" i="33" s="1"/>
  <c r="F83" i="33" s="1"/>
  <c r="C21" i="33"/>
  <c r="C21" i="21"/>
  <c r="Q21" i="21"/>
  <c r="Z21" i="21" s="1"/>
  <c r="H19" i="21"/>
  <c r="D83" i="21"/>
  <c r="F21" i="21"/>
  <c r="AA21" i="21" s="1"/>
  <c r="D81" i="21"/>
  <c r="G20" i="20"/>
  <c r="B88" i="43"/>
  <c r="C22" i="20"/>
  <c r="B100" i="43" s="1"/>
  <c r="B77" i="43"/>
  <c r="B57" i="43"/>
  <c r="B68" i="43"/>
  <c r="C25" i="40"/>
  <c r="C29" i="39"/>
  <c r="S25" i="40"/>
  <c r="S18" i="36"/>
  <c r="U18" i="36"/>
  <c r="S21" i="34"/>
  <c r="F94" i="40"/>
  <c r="H25" i="40"/>
  <c r="G94" i="40"/>
  <c r="J25" i="40"/>
  <c r="AC25" i="40" s="1"/>
  <c r="H29" i="39"/>
  <c r="AB29" i="39" s="1"/>
  <c r="J29" i="39"/>
  <c r="AC29" i="39" s="1"/>
  <c r="J18" i="36"/>
  <c r="AC18" i="36" s="1"/>
  <c r="F68" i="35"/>
  <c r="H18" i="35"/>
  <c r="AB18" i="35" s="1"/>
  <c r="S18" i="35"/>
  <c r="G68" i="35"/>
  <c r="J18" i="35"/>
  <c r="F77" i="37"/>
  <c r="G77" i="37" s="1"/>
  <c r="H21" i="37"/>
  <c r="F21" i="37"/>
  <c r="AA21" i="37" s="1"/>
  <c r="F84" i="34"/>
  <c r="H21" i="34"/>
  <c r="AB21" i="34" s="1"/>
  <c r="H21" i="33"/>
  <c r="U21" i="33" s="1"/>
  <c r="F21" i="33"/>
  <c r="E83" i="21"/>
  <c r="S21" i="21"/>
  <c r="H1" i="69"/>
  <c r="W25" i="40"/>
  <c r="AB25" i="40"/>
  <c r="U25" i="40"/>
  <c r="U29" i="39"/>
  <c r="W29" i="39"/>
  <c r="W18" i="36"/>
  <c r="AB21" i="37"/>
  <c r="U21" i="37"/>
  <c r="S21" i="37"/>
  <c r="AB21" i="33"/>
  <c r="AA21" i="33"/>
  <c r="S21" i="33"/>
  <c r="AC18" i="35"/>
  <c r="W18" i="35"/>
  <c r="J21" i="37"/>
  <c r="W21" i="37" s="1"/>
  <c r="G84" i="34"/>
  <c r="J21" i="34"/>
  <c r="W21" i="34" s="1"/>
  <c r="G83" i="33"/>
  <c r="J21" i="33"/>
  <c r="W21" i="33" s="1"/>
  <c r="F83" i="21"/>
  <c r="H21" i="21"/>
  <c r="U21" i="21" s="1"/>
  <c r="F38" i="69"/>
  <c r="E37" i="69"/>
  <c r="F36" i="69"/>
  <c r="F35" i="69"/>
  <c r="F21" i="69"/>
  <c r="F40" i="69" s="1"/>
  <c r="F20" i="69"/>
  <c r="F39" i="69" s="1"/>
  <c r="E10" i="69"/>
  <c r="E9" i="69"/>
  <c r="AC21" i="37"/>
  <c r="AC21" i="34"/>
  <c r="AC21" i="33"/>
  <c r="AB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F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35" i="39"/>
  <c r="AC35" i="39"/>
  <c r="F35" i="39"/>
  <c r="AA35" i="39"/>
  <c r="U9"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6" i="35"/>
  <c r="W22" i="35"/>
  <c r="S31" i="35"/>
  <c r="F36" i="34"/>
  <c r="J35" i="34"/>
  <c r="W9" i="34"/>
  <c r="U34" i="34"/>
  <c r="H39" i="33"/>
  <c r="AB39" i="33" s="1"/>
  <c r="F26" i="33"/>
  <c r="AA26" i="33" s="1"/>
  <c r="U33" i="33"/>
  <c r="S40" i="33"/>
  <c r="W39"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A12" i="34"/>
  <c r="AB12" i="36"/>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H36" i="34"/>
  <c r="U36" i="34"/>
  <c r="F37" i="34"/>
  <c r="AA37" i="34" s="1"/>
  <c r="S35" i="34"/>
  <c r="F28" i="34"/>
  <c r="AA28" i="34"/>
  <c r="F25" i="34"/>
  <c r="S25" i="34"/>
  <c r="H23" i="34"/>
  <c r="U23" i="34"/>
  <c r="J23" i="34"/>
  <c r="F19" i="34"/>
  <c r="H17" i="34"/>
  <c r="U17" i="34"/>
  <c r="F15" i="34"/>
  <c r="J15" i="34"/>
  <c r="H15" i="34"/>
  <c r="AB15" i="34"/>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G114" i="34"/>
  <c r="H114" i="34" s="1"/>
  <c r="I114" i="34"/>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S28" i="34"/>
  <c r="U23" i="40"/>
  <c r="H123" i="21"/>
  <c r="I123" i="21" s="1"/>
  <c r="J123" i="21"/>
  <c r="K123" i="21" s="1"/>
  <c r="L123" i="21" s="1"/>
  <c r="M123" i="21" s="1"/>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c r="H89" i="37" s="1"/>
  <c r="I89" i="37" s="1"/>
  <c r="J89" i="37" s="1"/>
  <c r="K89" i="37" s="1"/>
  <c r="L89" i="37" s="1"/>
  <c r="M89" i="37" s="1"/>
  <c r="J29" i="37"/>
  <c r="W29" i="37"/>
  <c r="F29" i="37"/>
  <c r="S29" i="37"/>
  <c r="H36" i="37"/>
  <c r="AB36" i="37" s="1"/>
  <c r="F107" i="37"/>
  <c r="J37" i="37"/>
  <c r="AC37" i="37"/>
  <c r="H37" i="37"/>
  <c r="U37" i="37"/>
  <c r="H40" i="37"/>
  <c r="U40" i="37"/>
  <c r="J40" i="37"/>
  <c r="AC40" i="37"/>
  <c r="F40" i="37"/>
  <c r="AA40" i="37"/>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c r="BQ577" i="3"/>
  <c r="BL577" i="3"/>
  <c r="BQ575" i="3"/>
  <c r="BL575" i="3" s="1"/>
  <c r="AZ575" i="3"/>
  <c r="BQ573" i="3"/>
  <c r="BL573" i="3"/>
  <c r="BQ571" i="3"/>
  <c r="BL571" i="3" s="1"/>
  <c r="AZ571" i="3"/>
  <c r="BQ569" i="3"/>
  <c r="BL569" i="3"/>
  <c r="BQ567" i="3"/>
  <c r="BL567" i="3" s="1"/>
  <c r="AZ567" i="3"/>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c r="BQ515" i="3"/>
  <c r="BL515" i="3"/>
  <c r="BQ513" i="3"/>
  <c r="BL513" i="3" s="1"/>
  <c r="AZ513" i="3"/>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BQ497" i="3"/>
  <c r="BL497" i="3" s="1"/>
  <c r="BQ495" i="3"/>
  <c r="BL495" i="3" s="1"/>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G125" i="33"/>
  <c r="J43" i="33"/>
  <c r="AC43" i="33" s="1"/>
  <c r="U43" i="33"/>
  <c r="S28" i="31"/>
  <c r="S27" i="31"/>
  <c r="S26" i="31"/>
  <c r="U14" i="40"/>
  <c r="U35" i="35"/>
  <c r="AA12" i="35"/>
  <c r="W14" i="37"/>
  <c r="AB28" i="37"/>
  <c r="U33" i="37"/>
  <c r="U39" i="37"/>
  <c r="W26"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33" i="3"/>
  <c r="BQ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BR5" i="3"/>
  <c r="AZ380" i="3"/>
  <c r="AZ384" i="3"/>
  <c r="AZ388" i="3"/>
  <c r="AZ392" i="3"/>
  <c r="AZ396" i="3"/>
  <c r="AZ394" i="3"/>
  <c r="AZ499" i="3"/>
  <c r="AZ509" i="3"/>
  <c r="G509" i="3"/>
  <c r="BL493" i="3"/>
  <c r="AZ493" i="3" s="1"/>
  <c r="AZ491" i="3"/>
  <c r="AZ376" i="3"/>
  <c r="AZ382" i="3"/>
  <c r="U36" i="40"/>
  <c r="F83" i="43"/>
  <c r="H85" i="43" s="1"/>
  <c r="F50" i="43"/>
  <c r="H54" i="43" s="1"/>
  <c r="G54" i="43" s="1"/>
  <c r="M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s="1"/>
  <c r="J30" i="40"/>
  <c r="AC30" i="40" s="1"/>
  <c r="F30" i="40"/>
  <c r="AA30" i="40" s="1"/>
  <c r="AC21" i="40"/>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s="1"/>
  <c r="H23" i="21"/>
  <c r="U23" i="21" s="1"/>
  <c r="S13" i="21"/>
  <c r="D6" i="52"/>
  <c r="AP7" i="1"/>
  <c r="AB45" i="21"/>
  <c r="AB9" i="21"/>
  <c r="U9" i="21"/>
  <c r="AA32" i="21"/>
  <c r="S32" i="21"/>
  <c r="W9" i="21"/>
  <c r="AC9" i="21"/>
  <c r="AB32" i="21"/>
  <c r="U32" i="2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W27" i="33"/>
  <c r="AC27" i="33"/>
  <c r="W25" i="33"/>
  <c r="AC25" i="33"/>
  <c r="AA23" i="33"/>
  <c r="S23" i="33"/>
  <c r="AB19" i="33"/>
  <c r="U19" i="33"/>
  <c r="AA17" i="33"/>
  <c r="S17" i="33"/>
  <c r="U17" i="33"/>
  <c r="AB17" i="33"/>
  <c r="AB23" i="21"/>
  <c r="AC23" i="21"/>
  <c r="W23" i="21"/>
  <c r="H109" i="9"/>
  <c r="AD3" i="71"/>
  <c r="J1" i="73"/>
  <c r="H69" i="43"/>
  <c r="H50" i="43"/>
  <c r="G50" i="43" s="1"/>
  <c r="M50" i="43" s="1"/>
  <c r="N50" i="43" s="1"/>
  <c r="C24" i="12"/>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M24" i="15"/>
  <c r="F26" i="15"/>
  <c r="F37" i="67"/>
  <c r="F20" i="31"/>
  <c r="D3" i="73"/>
  <c r="L47" i="67"/>
  <c r="E10" i="76"/>
  <c r="E7" i="76"/>
  <c r="F6" i="15"/>
  <c r="M24" i="67"/>
  <c r="F26" i="67"/>
  <c r="M23" i="67"/>
  <c r="M6" i="67"/>
  <c r="M22" i="67"/>
  <c r="D7" i="73"/>
  <c r="F42" i="67"/>
  <c r="F36" i="67"/>
  <c r="F37" i="15"/>
  <c r="F13" i="15"/>
  <c r="L48" i="67"/>
  <c r="M28" i="67"/>
  <c r="M8" i="15"/>
  <c r="E13" i="76"/>
  <c r="F38" i="67"/>
  <c r="F36" i="15"/>
  <c r="F5" i="73"/>
  <c r="M29" i="15"/>
  <c r="L48" i="15"/>
  <c r="F4" i="73"/>
  <c r="F6" i="73"/>
  <c r="M6" i="15"/>
  <c r="B11" i="76"/>
  <c r="F9" i="15"/>
  <c r="L47" i="15"/>
  <c r="D6" i="73"/>
  <c r="C76" i="15"/>
  <c r="F16" i="15"/>
  <c r="F9" i="67"/>
  <c r="F7" i="15"/>
  <c r="M29" i="67"/>
  <c r="B8" i="76"/>
  <c r="F3" i="73"/>
  <c r="D19" i="9"/>
  <c r="F8" i="67"/>
  <c r="M9" i="15"/>
  <c r="M23" i="15"/>
  <c r="E12" i="76"/>
  <c r="F8" i="15"/>
  <c r="B10" i="76"/>
  <c r="E2" i="69"/>
  <c r="F42" i="15"/>
  <c r="M9" i="67"/>
  <c r="F16" i="67"/>
  <c r="F7" i="67"/>
  <c r="F40" i="67"/>
  <c r="J15" i="67"/>
  <c r="C76" i="67"/>
  <c r="M28" i="15"/>
  <c r="E9" i="76"/>
  <c r="F43" i="67"/>
  <c r="E2" i="68"/>
  <c r="M22" i="15"/>
  <c r="F7" i="73"/>
  <c r="M8" i="67"/>
  <c r="M26" i="67"/>
  <c r="E8" i="76"/>
  <c r="F38" i="15"/>
  <c r="B12" i="76"/>
  <c r="B9" i="76"/>
  <c r="AO13" i="1"/>
  <c r="J15" i="15"/>
  <c r="F43" i="15"/>
  <c r="F13" i="67"/>
  <c r="F40" i="15"/>
  <c r="F6" i="67"/>
  <c r="E11" i="76"/>
  <c r="B13" i="76"/>
  <c r="M26" i="15"/>
  <c r="B7" i="76"/>
  <c r="G13" i="3" l="1"/>
  <c r="G5" i="3"/>
  <c r="B3" i="3" s="1"/>
  <c r="E74" i="3" s="1"/>
  <c r="AC5" i="3"/>
  <c r="N54" i="43"/>
  <c r="D54" i="43"/>
  <c r="K50" i="43"/>
  <c r="K54" i="43"/>
  <c r="J54" i="43" s="1"/>
  <c r="C28" i="67"/>
  <c r="C21" i="68"/>
  <c r="G6" i="1"/>
  <c r="I24" i="43"/>
  <c r="F29" i="6"/>
  <c r="E29" i="6" s="1"/>
  <c r="K15" i="1" s="1"/>
  <c r="D16" i="53"/>
  <c r="B34" i="72" s="1"/>
  <c r="D17" i="71"/>
  <c r="C16" i="71"/>
  <c r="G28" i="6"/>
  <c r="G30" i="6" s="1"/>
  <c r="G31" i="6" s="1"/>
  <c r="AZ521" i="3"/>
  <c r="AZ508" i="3"/>
  <c r="AC32" i="40"/>
  <c r="W32" i="40"/>
  <c r="S36" i="39"/>
  <c r="AA36" i="39"/>
  <c r="AZ400" i="3"/>
  <c r="E15" i="71"/>
  <c r="E14" i="71" s="1"/>
  <c r="E13" i="71" s="1"/>
  <c r="E12" i="71" s="1"/>
  <c r="V16" i="71"/>
  <c r="D20" i="71"/>
  <c r="U20" i="71" s="1"/>
  <c r="T20" i="71"/>
  <c r="V20" i="71"/>
  <c r="AC12" i="37"/>
  <c r="AZ511" i="3"/>
  <c r="AZ515" i="3"/>
  <c r="AZ519" i="3"/>
  <c r="AZ565" i="3"/>
  <c r="AZ569" i="3"/>
  <c r="AZ573" i="3"/>
  <c r="AZ577" i="3"/>
  <c r="AZ583" i="3"/>
  <c r="AZ558" i="3"/>
  <c r="W11" i="35"/>
  <c r="AC11" i="35"/>
  <c r="AA38" i="40"/>
  <c r="S38" i="40"/>
  <c r="AZ398" i="3"/>
  <c r="AZ405" i="3"/>
  <c r="AZ407" i="3"/>
  <c r="AZ410" i="3"/>
  <c r="AZ415" i="3"/>
  <c r="AZ420" i="3"/>
  <c r="S26" i="33"/>
  <c r="F27" i="34"/>
  <c r="F23" i="35"/>
  <c r="AB12" i="35"/>
  <c r="AC12" i="34"/>
  <c r="J31" i="39"/>
  <c r="F31" i="39"/>
  <c r="W31" i="40"/>
  <c r="W33" i="33"/>
  <c r="U35" i="33"/>
  <c r="U34" i="35"/>
  <c r="W34" i="35"/>
  <c r="U31" i="35"/>
  <c r="U31" i="36"/>
  <c r="U9" i="36"/>
  <c r="U14" i="37"/>
  <c r="W31" i="37"/>
  <c r="J36" i="39"/>
  <c r="H36" i="39"/>
  <c r="J44" i="39"/>
  <c r="H12" i="33"/>
  <c r="J23" i="35"/>
  <c r="F25" i="37"/>
  <c r="J25" i="37"/>
  <c r="F26" i="37"/>
  <c r="H26" i="37"/>
  <c r="F44" i="39"/>
  <c r="H38" i="40"/>
  <c r="J38" i="40"/>
  <c r="H39" i="40"/>
  <c r="AZ424" i="3"/>
  <c r="AZ426" i="3"/>
  <c r="AZ429" i="3"/>
  <c r="AZ431" i="3"/>
  <c r="AZ436" i="3"/>
  <c r="AZ438" i="3"/>
  <c r="AZ443" i="3"/>
  <c r="AZ451" i="3"/>
  <c r="AZ461" i="3"/>
  <c r="AZ463" i="3"/>
  <c r="AZ466" i="3"/>
  <c r="AZ468" i="3"/>
  <c r="AZ470" i="3"/>
  <c r="AZ472" i="3"/>
  <c r="AZ385" i="3"/>
  <c r="AZ210" i="3"/>
  <c r="AZ225" i="3"/>
  <c r="AZ239" i="3"/>
  <c r="AZ255" i="3"/>
  <c r="AZ270" i="3"/>
  <c r="AZ274" i="3"/>
  <c r="AZ277" i="3"/>
  <c r="AZ301" i="3"/>
  <c r="AZ122" i="3"/>
  <c r="AZ125" i="3"/>
  <c r="AZ22" i="3"/>
  <c r="AZ38" i="3"/>
  <c r="AZ48" i="3"/>
  <c r="AZ52" i="3"/>
  <c r="AZ60" i="3"/>
  <c r="AZ64" i="3"/>
  <c r="AZ78" i="3"/>
  <c r="AZ91" i="3"/>
  <c r="AZ98" i="3"/>
  <c r="AZ104" i="3"/>
  <c r="AZ108" i="3"/>
  <c r="T64" i="71"/>
  <c r="D64" i="71"/>
  <c r="P66" i="71"/>
  <c r="P65" i="71"/>
  <c r="C26" i="71"/>
  <c r="D26" i="71" s="1"/>
  <c r="D27" i="71"/>
  <c r="U18" i="35"/>
  <c r="U21" i="34"/>
  <c r="D35" i="71"/>
  <c r="C36" i="71"/>
  <c r="B27" i="71"/>
  <c r="B26" i="71" s="1"/>
  <c r="S28" i="71"/>
  <c r="C39" i="71"/>
  <c r="D38" i="71"/>
  <c r="C43" i="71"/>
  <c r="D42" i="71"/>
  <c r="F30" i="71"/>
  <c r="F31" i="71" s="1"/>
  <c r="F32" i="71" s="1"/>
  <c r="V32" i="71" s="1"/>
  <c r="Y9" i="71"/>
  <c r="Z9" i="71" s="1"/>
  <c r="Y10" i="71"/>
  <c r="Z10" i="71" s="1"/>
  <c r="AA9" i="71"/>
  <c r="AA10" i="71"/>
  <c r="S68" i="71"/>
  <c r="B67" i="71"/>
  <c r="AB24" i="71"/>
  <c r="AA23" i="71"/>
  <c r="AA22" i="71"/>
  <c r="X21" i="71"/>
  <c r="AA21" i="71"/>
  <c r="X18" i="71"/>
  <c r="AA18" i="71"/>
  <c r="AB18" i="71"/>
  <c r="X14" i="71"/>
  <c r="AA12" i="71"/>
  <c r="X17" i="71"/>
  <c r="AA17" i="71"/>
  <c r="V28" i="71"/>
  <c r="AA28" i="71"/>
  <c r="AA26" i="71"/>
  <c r="AB28" i="71"/>
  <c r="AB26" i="71"/>
  <c r="D72" i="71"/>
  <c r="X28" i="71"/>
  <c r="X26" i="71"/>
  <c r="Y28" i="71"/>
  <c r="Z28" i="71" s="1"/>
  <c r="Y27" i="71"/>
  <c r="Z27" i="71" s="1"/>
  <c r="Y26" i="71"/>
  <c r="Z26" i="71" s="1"/>
  <c r="Y25" i="71"/>
  <c r="Z25" i="71" s="1"/>
  <c r="X35" i="71"/>
  <c r="X34" i="71"/>
  <c r="AA32" i="71"/>
  <c r="AA31" i="71"/>
  <c r="AA37" i="71"/>
  <c r="X9" i="71"/>
  <c r="X10" i="71"/>
  <c r="Y39" i="71"/>
  <c r="Z39" i="71" s="1"/>
  <c r="AA39" i="71"/>
  <c r="AB10" i="71"/>
  <c r="AB9" i="71"/>
  <c r="X22" i="71"/>
  <c r="AA24" i="71"/>
  <c r="Y21" i="71"/>
  <c r="Z21" i="71" s="1"/>
  <c r="AB23" i="71"/>
  <c r="AB21" i="71"/>
  <c r="Y18" i="71"/>
  <c r="Z18" i="71" s="1"/>
  <c r="Y14" i="71"/>
  <c r="Z14" i="71" s="1"/>
  <c r="Y17" i="71"/>
  <c r="Z17" i="71" s="1"/>
  <c r="AB17" i="71"/>
  <c r="X24" i="71"/>
  <c r="Y24" i="71"/>
  <c r="Z24" i="71" s="1"/>
  <c r="AB15" i="71"/>
  <c r="AA11" i="71"/>
  <c r="X12" i="71"/>
  <c r="X11" i="71"/>
  <c r="AB12" i="71"/>
  <c r="AB14" i="71"/>
  <c r="Y13" i="71"/>
  <c r="Z13" i="71" s="1"/>
  <c r="Y23" i="71"/>
  <c r="Z23" i="71" s="1"/>
  <c r="Y22" i="71"/>
  <c r="Z22" i="71" s="1"/>
  <c r="X15" i="71"/>
  <c r="AA15" i="71"/>
  <c r="AA13" i="71"/>
  <c r="AA14" i="71"/>
  <c r="X13" i="71"/>
  <c r="AB11" i="71"/>
  <c r="AB13" i="71"/>
  <c r="Y11" i="71"/>
  <c r="Z11" i="71" s="1"/>
  <c r="Y12" i="71"/>
  <c r="Z12" i="71" s="1"/>
  <c r="H83" i="43"/>
  <c r="D102" i="9"/>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27" i="3"/>
  <c r="E327" i="3"/>
  <c r="E400" i="3"/>
  <c r="E489" i="3"/>
  <c r="E211" i="3"/>
  <c r="E109" i="3"/>
  <c r="E14" i="6"/>
  <c r="E63" i="39" s="1"/>
  <c r="I4" i="6"/>
  <c r="G3" i="43" s="1"/>
  <c r="F26" i="43" s="1"/>
  <c r="F30" i="6"/>
  <c r="E28" i="6"/>
  <c r="K14" i="1" s="1"/>
  <c r="K16"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0" i="3"/>
  <c r="E305" i="3"/>
  <c r="E388" i="3"/>
  <c r="E410" i="3"/>
  <c r="E143" i="3"/>
  <c r="E533" i="3"/>
  <c r="E561" i="3"/>
  <c r="E439" i="3"/>
  <c r="E231" i="3"/>
  <c r="E185" i="3"/>
  <c r="E528" i="3"/>
  <c r="E361" i="3"/>
  <c r="E180" i="3"/>
  <c r="E134" i="3"/>
  <c r="E350" i="3"/>
  <c r="E495" i="3"/>
  <c r="E399"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A1" i="79"/>
  <c r="H55" i="43"/>
  <c r="G55" i="43" s="1"/>
  <c r="H86" i="43"/>
  <c r="H87" i="43"/>
  <c r="H89" i="43"/>
  <c r="H88" i="43"/>
  <c r="H84" i="43"/>
  <c r="C69" i="39"/>
  <c r="D67" i="39"/>
  <c r="D69" i="39" s="1"/>
  <c r="A19" i="51"/>
  <c r="B14" i="72" s="1"/>
  <c r="T35" i="4"/>
  <c r="H110" i="9"/>
  <c r="D18" i="53" s="1"/>
  <c r="B35" i="72" s="1"/>
  <c r="H52" i="43"/>
  <c r="G52" i="43" s="1"/>
  <c r="K5" i="4"/>
  <c r="B47" i="48" s="1"/>
  <c r="Y8" i="71"/>
  <c r="Z8" i="71" s="1"/>
  <c r="X8" i="71"/>
  <c r="AB8" i="71"/>
  <c r="AA8" i="71"/>
  <c r="B8" i="74"/>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4" i="73"/>
  <c r="C16" i="15"/>
  <c r="D5" i="73"/>
  <c r="G1" i="73" s="1"/>
  <c r="C16" i="67"/>
  <c r="E377" i="3" l="1"/>
  <c r="E70" i="3"/>
  <c r="E557" i="3"/>
  <c r="AO6" i="3"/>
  <c r="E89" i="3"/>
  <c r="E362" i="3"/>
  <c r="E347" i="3"/>
  <c r="E586" i="3"/>
  <c r="E91" i="3"/>
  <c r="E183" i="3"/>
  <c r="E216" i="3"/>
  <c r="E538" i="3"/>
  <c r="E270" i="3"/>
  <c r="E555" i="3"/>
  <c r="E343" i="3"/>
  <c r="E273" i="3"/>
  <c r="E28" i="3"/>
  <c r="E345" i="3"/>
  <c r="Z6" i="3"/>
  <c r="E368" i="3"/>
  <c r="E124" i="3"/>
  <c r="E301" i="3"/>
  <c r="E503" i="3"/>
  <c r="E261" i="3"/>
  <c r="E380" i="3"/>
  <c r="AR6" i="3"/>
  <c r="E337" i="3"/>
  <c r="E508" i="3"/>
  <c r="E175" i="3"/>
  <c r="E572" i="3"/>
  <c r="E182" i="3"/>
  <c r="E531" i="3"/>
  <c r="E485" i="3"/>
  <c r="E204" i="3"/>
  <c r="E510" i="3"/>
  <c r="B4" i="77"/>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329" i="3"/>
  <c r="E16" i="3"/>
  <c r="E188" i="3"/>
  <c r="E223" i="3"/>
  <c r="E116" i="3"/>
  <c r="E105" i="3"/>
  <c r="E393" i="3"/>
  <c r="E493" i="3"/>
  <c r="E564" i="3"/>
  <c r="E543" i="3"/>
  <c r="E427" i="3"/>
  <c r="E486"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490" i="3"/>
  <c r="E498" i="3"/>
  <c r="E463" i="3"/>
  <c r="E178" i="3"/>
  <c r="E226" i="3"/>
  <c r="E372" i="3"/>
  <c r="E540" i="3"/>
  <c r="E79" i="3"/>
  <c r="E137" i="3"/>
  <c r="E299" i="3"/>
  <c r="AQ6" i="3"/>
  <c r="E123" i="3"/>
  <c r="E364" i="3"/>
  <c r="E176" i="3"/>
  <c r="E524" i="3"/>
  <c r="E507" i="3"/>
  <c r="E376" i="3"/>
  <c r="E419" i="3"/>
  <c r="E40" i="3"/>
  <c r="E119" i="3"/>
  <c r="E276" i="3"/>
  <c r="L6" i="3"/>
  <c r="E473" i="3"/>
  <c r="E38" i="3"/>
  <c r="E194" i="3"/>
  <c r="E339" i="3"/>
  <c r="E52" i="3"/>
  <c r="E147" i="3"/>
  <c r="E50" i="3"/>
  <c r="E218" i="3"/>
  <c r="E101" i="3"/>
  <c r="E340" i="3"/>
  <c r="E440" i="3"/>
  <c r="E333" i="3"/>
  <c r="E219" i="3"/>
  <c r="E112" i="3"/>
  <c r="E365" i="3"/>
  <c r="E422" i="3"/>
  <c r="AH6" i="3"/>
  <c r="E483" i="3"/>
  <c r="E25" i="3"/>
  <c r="E202" i="3"/>
  <c r="E346" i="3"/>
  <c r="E60" i="3"/>
  <c r="E15" i="3"/>
  <c r="E100" i="3"/>
  <c r="E234" i="3"/>
  <c r="E325" i="3"/>
  <c r="E36" i="3"/>
  <c r="E289" i="3"/>
  <c r="E20" i="3"/>
  <c r="E265" i="3"/>
  <c r="J6" i="3"/>
  <c r="E401" i="3"/>
  <c r="E108" i="3"/>
  <c r="E242" i="3"/>
  <c r="E43" i="3"/>
  <c r="E455" i="3"/>
  <c r="E170" i="3"/>
  <c r="E392" i="3"/>
  <c r="E62" i="3"/>
  <c r="E583" i="3"/>
  <c r="E336" i="3"/>
  <c r="E293" i="3"/>
  <c r="E518" i="3"/>
  <c r="E578" i="3"/>
  <c r="E382" i="3"/>
  <c r="E245" i="3"/>
  <c r="E61" i="3"/>
  <c r="E290" i="3"/>
  <c r="E117" i="3"/>
  <c r="E550" i="3"/>
  <c r="E260" i="3"/>
  <c r="E395" i="3"/>
  <c r="E415" i="3"/>
  <c r="E114" i="3"/>
  <c r="E130" i="3"/>
  <c r="E230" i="3"/>
  <c r="E294" i="3"/>
  <c r="E320" i="3"/>
  <c r="E407" i="3"/>
  <c r="V6" i="3"/>
  <c r="E551" i="3"/>
  <c r="E559" i="3"/>
  <c r="E358" i="3"/>
  <c r="E151" i="3"/>
  <c r="E229" i="3"/>
  <c r="E396" i="3"/>
  <c r="E569" i="3"/>
  <c r="E516" i="3"/>
  <c r="E239" i="3"/>
  <c r="N6" i="3"/>
  <c r="E282" i="3"/>
  <c r="E553" i="3"/>
  <c r="E366" i="3"/>
  <c r="E125" i="3"/>
  <c r="E441" i="3"/>
  <c r="E44" i="3"/>
  <c r="E384" i="3"/>
  <c r="E331" i="3"/>
  <c r="E210" i="3"/>
  <c r="E186" i="3"/>
  <c r="E162" i="3"/>
  <c r="E27" i="3"/>
  <c r="E447" i="3"/>
  <c r="E476"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253" i="3"/>
  <c r="E315" i="3"/>
  <c r="E214" i="3"/>
  <c r="E171" i="3"/>
  <c r="E146" i="3"/>
  <c r="E106" i="3"/>
  <c r="E454" i="3"/>
  <c r="E468" i="3"/>
  <c r="E577" i="3"/>
  <c r="E587" i="3"/>
  <c r="E465" i="3"/>
  <c r="E406" i="3"/>
  <c r="E472" i="3"/>
  <c r="E560" i="3"/>
  <c r="K6" i="3"/>
  <c r="E133" i="3"/>
  <c r="E277" i="3"/>
  <c r="E228" i="3"/>
  <c r="AK6" i="3"/>
  <c r="E545" i="3"/>
  <c r="E181" i="3"/>
  <c r="E568" i="3"/>
  <c r="E77"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319" i="3"/>
  <c r="E53"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X6" i="3"/>
  <c r="E246" i="3"/>
  <c r="E385" i="3"/>
  <c r="AI6" i="3"/>
  <c r="E423" i="3"/>
  <c r="E263" i="3"/>
  <c r="E191" i="3"/>
  <c r="E135" i="3"/>
  <c r="E161" i="3"/>
  <c r="E535" i="3"/>
  <c r="E445" i="3"/>
  <c r="E172" i="3"/>
  <c r="E563" i="3"/>
  <c r="E278" i="3"/>
  <c r="E69" i="3"/>
  <c r="E189" i="3"/>
  <c r="E215" i="3"/>
  <c r="E335" i="3"/>
  <c r="E387" i="3"/>
  <c r="AB6" i="3"/>
  <c r="M6" i="3"/>
  <c r="H6" i="3" s="1"/>
  <c r="E570" i="3"/>
  <c r="E514" i="3"/>
  <c r="E311" i="3"/>
  <c r="E201" i="3"/>
  <c r="E247" i="3"/>
  <c r="E431" i="3"/>
  <c r="E579" i="3"/>
  <c r="E509" i="3"/>
  <c r="AJ6" i="3"/>
  <c r="E322" i="3"/>
  <c r="E268" i="3"/>
  <c r="E526" i="3"/>
  <c r="E217"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13" i="3"/>
  <c r="K53" i="43"/>
  <c r="M53" i="43"/>
  <c r="N53" i="43" s="1"/>
  <c r="M55" i="43"/>
  <c r="N55" i="43" s="1"/>
  <c r="K55" i="43"/>
  <c r="K51" i="43"/>
  <c r="M51" i="43"/>
  <c r="N51" i="43" s="1"/>
  <c r="K57" i="43"/>
  <c r="J57" i="43" s="1"/>
  <c r="D57" i="43" s="1"/>
  <c r="M57" i="43"/>
  <c r="N57" i="43" s="1"/>
  <c r="M52" i="43"/>
  <c r="N52" i="43" s="1"/>
  <c r="K52" i="43"/>
  <c r="M56" i="43"/>
  <c r="N56" i="43" s="1"/>
  <c r="K56" i="43"/>
  <c r="M58" i="43"/>
  <c r="N58" i="43" s="1"/>
  <c r="K58" i="43"/>
  <c r="J50" i="43"/>
  <c r="D50" i="43"/>
  <c r="N370" i="46"/>
  <c r="N94" i="46"/>
  <c r="E26" i="43"/>
  <c r="H26" i="43"/>
  <c r="H7" i="36"/>
  <c r="J26" i="43"/>
  <c r="G26" i="43"/>
  <c r="B15" i="71"/>
  <c r="B14" i="71" s="1"/>
  <c r="B13" i="71" s="1"/>
  <c r="B12" i="71" s="1"/>
  <c r="S16" i="71"/>
  <c r="B66" i="71"/>
  <c r="N67" i="71"/>
  <c r="D43" i="71"/>
  <c r="C44" i="71"/>
  <c r="D39" i="71"/>
  <c r="C40" i="71"/>
  <c r="AC38" i="40"/>
  <c r="W38" i="40"/>
  <c r="AA44" i="39"/>
  <c r="S44" i="39"/>
  <c r="AA26" i="37"/>
  <c r="S26" i="37"/>
  <c r="AA25" i="37"/>
  <c r="S25" i="37"/>
  <c r="U12" i="33"/>
  <c r="AB12" i="33"/>
  <c r="AB36" i="39"/>
  <c r="U36" i="39"/>
  <c r="AA31" i="39"/>
  <c r="S31" i="39"/>
  <c r="AA23" i="35"/>
  <c r="S23" i="35"/>
  <c r="C15" i="71"/>
  <c r="T16" i="71"/>
  <c r="T36" i="71"/>
  <c r="D36" i="71"/>
  <c r="U39" i="40"/>
  <c r="AB39" i="40"/>
  <c r="AB38" i="40"/>
  <c r="U38" i="40"/>
  <c r="AB26" i="37"/>
  <c r="U26" i="37"/>
  <c r="AC25" i="37"/>
  <c r="W25" i="37"/>
  <c r="AC23" i="35"/>
  <c r="W23" i="35"/>
  <c r="AC44" i="39"/>
  <c r="W44" i="39"/>
  <c r="AC36" i="39"/>
  <c r="W36" i="39"/>
  <c r="AC31" i="39"/>
  <c r="W31" i="39"/>
  <c r="AA27" i="34"/>
  <c r="S27" i="34"/>
  <c r="E11" i="71"/>
  <c r="E10" i="71" s="1"/>
  <c r="E9" i="71" s="1"/>
  <c r="E8" i="71" s="1"/>
  <c r="E7" i="71" s="1"/>
  <c r="E6" i="71" s="1"/>
  <c r="E5" i="71" s="1"/>
  <c r="V12"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C7" i="74" s="1"/>
  <c r="F67" i="39"/>
  <c r="F59" i="67"/>
  <c r="H7" i="37"/>
  <c r="AB7"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AC6" i="3" l="1"/>
  <c r="E6" i="3" s="1"/>
  <c r="B3" i="77"/>
  <c r="C41" i="77"/>
  <c r="D26" i="43"/>
  <c r="C25" i="43" s="1"/>
  <c r="J58" i="43"/>
  <c r="D58" i="43"/>
  <c r="J56" i="43"/>
  <c r="D56" i="43"/>
  <c r="J52" i="43"/>
  <c r="D52" i="43"/>
  <c r="J55" i="43"/>
  <c r="D55" i="43"/>
  <c r="J51" i="43"/>
  <c r="D51" i="43"/>
  <c r="E50" i="43" s="1"/>
  <c r="B48" i="43" s="1"/>
  <c r="C28" i="43" s="1"/>
  <c r="J53" i="43"/>
  <c r="D53" i="43"/>
  <c r="D15" i="71"/>
  <c r="C14" i="71"/>
  <c r="N65" i="71"/>
  <c r="N66" i="71"/>
  <c r="B11" i="71"/>
  <c r="B10" i="71" s="1"/>
  <c r="B9" i="71" s="1"/>
  <c r="B8" i="71" s="1"/>
  <c r="B7" i="71" s="1"/>
  <c r="B6" i="71" s="1"/>
  <c r="B5" i="71" s="1"/>
  <c r="S12" i="71"/>
  <c r="T42" i="37"/>
  <c r="G42" i="37" s="1"/>
  <c r="G47" i="37" s="1"/>
  <c r="H47" i="37" s="1"/>
  <c r="E65" i="39"/>
  <c r="T40" i="71"/>
  <c r="D40" i="71"/>
  <c r="T44" i="71"/>
  <c r="D44"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D20" i="9"/>
  <c r="M27" i="67"/>
  <c r="D103" i="9" l="1"/>
  <c r="T13" i="43"/>
  <c r="V13" i="43" s="1"/>
  <c r="T9" i="43"/>
  <c r="V9" i="43" s="1"/>
  <c r="T16" i="43"/>
  <c r="V16" i="43" s="1"/>
  <c r="T12" i="43"/>
  <c r="V12" i="43" s="1"/>
  <c r="T8" i="43"/>
  <c r="V8" i="43" s="1"/>
  <c r="T3" i="43"/>
  <c r="V3" i="43" s="1"/>
  <c r="T6" i="43"/>
  <c r="V6" i="43" s="1"/>
  <c r="C33" i="43"/>
  <c r="C34" i="43" s="1"/>
  <c r="E34" i="43" s="1"/>
  <c r="C37" i="43"/>
  <c r="C39" i="43"/>
  <c r="C38" i="43"/>
  <c r="T15" i="43"/>
  <c r="V15" i="43" s="1"/>
  <c r="T11" i="43"/>
  <c r="V11" i="43" s="1"/>
  <c r="T7" i="43"/>
  <c r="V7" i="43" s="1"/>
  <c r="T14" i="43"/>
  <c r="V14" i="43" s="1"/>
  <c r="T10" i="43"/>
  <c r="V10" i="43" s="1"/>
  <c r="T4" i="43"/>
  <c r="V4" i="43" s="1"/>
  <c r="T2" i="43"/>
  <c r="V2" i="43" s="1"/>
  <c r="T5" i="43"/>
  <c r="V5" i="43" s="1"/>
  <c r="C40" i="43"/>
  <c r="C41" i="43"/>
  <c r="C42" i="43"/>
  <c r="E42" i="43" s="1"/>
  <c r="G54" i="34"/>
  <c r="H54" i="34" s="1"/>
  <c r="D116" i="43"/>
  <c r="D14" i="71"/>
  <c r="C13" i="71"/>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4" i="67"/>
  <c r="C17" i="15"/>
  <c r="C25" i="11" l="1"/>
  <c r="C22" i="11" s="1"/>
  <c r="C31" i="11" s="1"/>
  <c r="C12" i="71"/>
  <c r="D13"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D21" i="9"/>
  <c r="R25" i="6"/>
  <c r="R12" i="1" s="1"/>
  <c r="C10" i="68"/>
  <c r="B29" i="1" s="1"/>
  <c r="C8" i="68" s="1"/>
  <c r="D19" i="68"/>
  <c r="B2" i="43"/>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B3" i="43" l="1"/>
  <c r="C6" i="68"/>
  <c r="C7" i="68" s="1"/>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5" i="68" l="1"/>
  <c r="C23" i="68" s="1"/>
  <c r="C21" i="12"/>
  <c r="C22" i="12" s="1"/>
  <c r="J7" i="2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0" i="68" l="1"/>
  <c r="C28" i="68" s="1"/>
  <c r="C27" i="68" s="1"/>
  <c r="C27" i="12"/>
  <c r="C25" i="12" s="1"/>
  <c r="C30" i="12"/>
  <c r="C28"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M21" i="67"/>
  <c r="F35" i="15"/>
  <c r="C25" i="68" l="1"/>
  <c r="C22" i="68" s="1"/>
  <c r="C31" i="68" s="1"/>
  <c r="C32" i="12"/>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19" i="9"/>
  <c r="D2" i="21"/>
  <c r="C102" i="9" l="1"/>
  <c r="G19" i="9"/>
  <c r="G21" i="9" s="1"/>
  <c r="D22" i="9"/>
  <c r="C21" i="9"/>
  <c r="C57" i="68"/>
  <c r="C56" i="68" s="1"/>
  <c r="B3" i="68"/>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5" i="9"/>
  <c r="D34" i="9"/>
  <c r="L51" i="67"/>
  <c r="C20" i="9"/>
  <c r="D2" i="33"/>
  <c r="G20" i="9" l="1"/>
  <c r="C32" i="9" s="1"/>
  <c r="C35" i="9" s="1"/>
  <c r="C34" i="9" s="1"/>
  <c r="C103" i="9"/>
  <c r="Q67" i="67"/>
  <c r="L57" i="67"/>
  <c r="L60" i="67" s="1"/>
  <c r="L46" i="67" s="1"/>
  <c r="D2" i="67" s="1"/>
  <c r="B2" i="67" s="1"/>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6"/>
  <c r="D2" i="35"/>
  <c r="D2" i="37"/>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8" i="1"/>
  <c r="AO12" i="1"/>
  <c r="AO6" i="1"/>
  <c r="AO9" i="1"/>
  <c r="AO10" i="1"/>
  <c r="AO7"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F119" i="9" s="1"/>
  <c r="F5" i="52" s="1"/>
  <c r="B53" i="72" s="1"/>
  <c r="H118" i="9"/>
  <c r="I118" i="9" l="1"/>
  <c r="C105" i="9" s="1"/>
  <c r="D14" i="74"/>
  <c r="H101" i="9"/>
  <c r="M48" i="9" s="1"/>
  <c r="D4" i="52"/>
  <c r="B47" i="72" s="1"/>
  <c r="H4" i="52"/>
  <c r="H119" i="9"/>
  <c r="H5" i="52" s="1"/>
  <c r="C104" i="9"/>
  <c r="F4" i="52"/>
  <c r="B51" i="72" s="1"/>
  <c r="G118" i="9"/>
  <c r="G4" i="52" s="1"/>
  <c r="B52" i="72" s="1"/>
  <c r="H107" i="9" l="1"/>
  <c r="G14" i="74"/>
  <c r="B6" i="74" s="1"/>
  <c r="D6" i="74" s="1"/>
  <c r="D5" i="53"/>
  <c r="B20" i="72" s="1"/>
  <c r="I4" i="52"/>
  <c r="H102" i="9"/>
  <c r="B5" i="74"/>
  <c r="D5" i="74" s="1"/>
  <c r="E14" i="74"/>
  <c r="F14" i="74"/>
  <c r="D45" i="9"/>
  <c r="D53" i="9" s="1"/>
  <c r="D48" i="9" s="1"/>
  <c r="M52" i="9" s="1"/>
  <c r="D122" i="9"/>
  <c r="D13" i="53"/>
  <c r="M49" i="9"/>
  <c r="E118" i="9"/>
  <c r="E4" i="52" s="1"/>
  <c r="B48" i="72" s="1"/>
  <c r="D6" i="53" l="1"/>
  <c r="B22" i="72" s="1"/>
  <c r="C5" i="74"/>
  <c r="D7" i="53"/>
  <c r="B21" i="72" s="1"/>
  <c r="H108" i="9"/>
  <c r="D15" i="53" s="1"/>
  <c r="B31" i="72" s="1"/>
  <c r="C64" i="9"/>
  <c r="C63" i="9" s="1"/>
  <c r="C67" i="9" s="1"/>
  <c r="C68" i="9" s="1"/>
  <c r="D54" i="9" s="1"/>
  <c r="C72" i="9"/>
  <c r="D52" i="9"/>
  <c r="C85" i="9"/>
  <c r="C93" i="9"/>
  <c r="C86" i="9" s="1"/>
  <c r="C78" i="9"/>
  <c r="C73" i="9" s="1"/>
  <c r="C79" i="9" s="1"/>
  <c r="C80" i="9" s="1"/>
  <c r="E80" i="9" s="1"/>
  <c r="E81" i="9" s="1"/>
  <c r="D55" i="9"/>
  <c r="M53" i="9" s="1"/>
  <c r="L66" i="9"/>
  <c r="M66" i="9" s="1"/>
  <c r="L67" i="9"/>
  <c r="M67" i="9" s="1"/>
  <c r="L64" i="9"/>
  <c r="M64" i="9" s="1"/>
  <c r="L68" i="9"/>
  <c r="M68" i="9" s="1"/>
  <c r="L65" i="9"/>
  <c r="M65" i="9" s="1"/>
  <c r="L63" i="9"/>
  <c r="M63" i="9" s="1"/>
  <c r="D59" i="9"/>
  <c r="M55" i="9" s="1"/>
  <c r="B30" i="72"/>
  <c r="D14" i="53"/>
  <c r="B32" i="72" s="1"/>
  <c r="D123" i="9"/>
  <c r="D9" i="52" s="1"/>
  <c r="D8" i="52"/>
  <c r="C6" i="74" l="1"/>
  <c r="C95" i="9"/>
  <c r="C96" i="9" s="1"/>
  <c r="E96" i="9" s="1"/>
  <c r="E97" i="9" s="1"/>
  <c r="C81" i="9"/>
  <c r="M69" i="9"/>
  <c r="N69" i="9" s="1"/>
  <c r="C97" i="9" l="1"/>
  <c r="D58" i="9" s="1"/>
  <c r="D56" i="9" s="1"/>
  <c r="M54" i="9" s="1"/>
  <c r="N57" i="9" s="1"/>
  <c r="N58" i="9" s="1"/>
  <c r="P57" i="9" l="1"/>
  <c r="N59" i="9"/>
  <c r="N60" i="9" s="1"/>
  <c r="H111" i="9" l="1"/>
  <c r="D126" i="9" s="1"/>
  <c r="N61" i="9"/>
  <c r="H112" i="9" s="1"/>
  <c r="C8" i="74" s="1"/>
  <c r="D19" i="53" l="1"/>
  <c r="B38" i="72" s="1"/>
  <c r="D21" i="53"/>
  <c r="B39" i="72" s="1"/>
  <c r="D12" i="52"/>
  <c r="D127" i="9"/>
  <c r="D13" i="52" s="1"/>
  <c r="D20" i="53" l="1"/>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<sst xmlns="http://schemas.openxmlformats.org/spreadsheetml/2006/main" count="7837" uniqueCount="3427">
  <si>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</si>
  <si>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</si>
  <si>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</si>
  <si>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</si>
  <si>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</si>
  <si>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</si>
  <si>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</si>
  <si>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</si>
  <si>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</si>
  <si>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</si>
  <si>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</si>
  <si>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</si>
  <si>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</si>
  <si>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</si>
  <si>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</si>
  <si>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</si>
  <si>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</si>
  <si>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</si>
  <si>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</si>
  <si>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</si>
  <si>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</si>
  <si>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</si>
  <si>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</si>
  <si>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</si>
  <si>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</si>
  <si>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</si>
  <si>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</si>
  <si>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</si>
  <si>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</si>
  <si>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</si>
  <si>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</si>
  <si>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</si>
  <si>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</si>
  <si>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</si>
  <si>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</si>
  <si>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</si>
  <si>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</si>
  <si>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</si>
  <si>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</si>
  <si>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</si>
  <si>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</si>
  <si>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</si>
  <si>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</si>
  <si>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</si>
  <si>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</si>
  <si>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</si>
  <si>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</si>
  <si>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</si>
  <si>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</si>
  <si>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</si>
  <si>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</si>
  <si>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</si>
  <si>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</si>
  <si>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</si>
  <si>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</si>
  <si>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</si>
  <si>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</si>
  <si>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</si>
  <si>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</si>
  <si>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</si>
  <si>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</si>
  <si>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</si>
  <si>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</si>
  <si>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</si>
  <si>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</si>
  <si>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</si>
  <si>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</si>
  <si>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</si>
  <si>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</si>
  <si>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</si>
  <si>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</si>
  <si>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</si>
  <si>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</si>
  <si>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</si>
  <si>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</si>
  <si>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</si>
  <si>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</si>
  <si>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</si>
  <si>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</si>
  <si>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</si>
  <si>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</si>
  <si>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</si>
  <si>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</si>
  <si>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</si>
  <si>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</si>
  <si>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</si>
  <si>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</si>
  <si>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</si>
  <si>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</si>
  <si>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</si>
  <si>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</si>
  <si>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</si>
  <si>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</si>
  <si>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</si>
  <si>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</si>
  <si>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</si>
  <si>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</si>
  <si>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</si>
  <si>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</si>
  <si>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</si>
  <si>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</si>
  <si>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</si>
  <si>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</si>
  <si>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</si>
  <si>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</si>
  <si>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</si>
  <si>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</si>
  <si>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</si>
  <si>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</si>
  <si>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</si>
  <si>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</si>
  <si>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</si>
  <si>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</si>
  <si>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</si>
  <si>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</si>
  <si>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</si>
  <si>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</si>
  <si>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</si>
  <si>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</si>
  <si>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</si>
  <si>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</si>
  <si>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</si>
  <si>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</si>
  <si>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</si>
  <si>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</si>
  <si>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</si>
  <si>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</si>
  <si>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</si>
  <si>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</si>
  <si>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</si>
  <si>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</si>
  <si>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</si>
  <si>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</si>
  <si>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</si>
  <si>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</si>
  <si>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</si>
  <si>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</si>
  <si>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</si>
  <si>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</si>
  <si>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</si>
  <si>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</si>
  <si>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</si>
  <si>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</si>
  <si>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</si>
  <si>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</si>
  <si>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</si>
  <si>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</si>
  <si>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</si>
  <si>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</si>
  <si>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</si>
  <si>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</si>
  <si>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</si>
  <si>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</si>
  <si>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</si>
  <si>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</si>
  <si>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</si>
  <si>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</si>
  <si>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</si>
  <si>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</si>
  <si>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</si>
  <si>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</si>
  <si>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</si>
  <si>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</si>
  <si>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</si>
  <si>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</si>
  <si>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</si>
  <si>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</si>
  <si>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</si>
  <si>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</si>
  <si>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</si>
  <si>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</si>
  <si>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</si>
  <si>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</si>
  <si>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</si>
  <si>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</si>
  <si>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</si>
  <si>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</si>
  <si>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</si>
  <si>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</si>
  <si>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</si>
  <si>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</si>
  <si>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</si>
  <si>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</si>
  <si>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</si>
  <si>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</si>
  <si>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</si>
  <si>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</si>
  <si>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</si>
  <si>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</si>
  <si>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</si>
  <si>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</si>
  <si>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</si>
  <si>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</si>
  <si>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</si>
  <si>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</si>
  <si>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</si>
  <si>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</si>
  <si>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</si>
  <si>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</si>
  <si>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</si>
  <si>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</si>
  <si>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</si>
  <si>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</si>
  <si>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</si>
  <si>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</si>
  <si>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</si>
  <si>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</si>
  <si>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</si>
  <si>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</si>
  <si>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</si>
  <si>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</si>
  <si>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</si>
  <si>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</si>
  <si>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</si>
  <si>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</si>
  <si>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</si>
  <si>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</si>
  <si>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</si>
  <si>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</si>
  <si>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</si>
  <si>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</si>
  <si>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</si>
  <si>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</si>
  <si>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</si>
  <si>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</si>
  <si>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</si>
  <si>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</si>
  <si>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</si>
  <si>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</si>
  <si>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</si>
  <si>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</si>
  <si>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</si>
  <si>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</si>
  <si>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</si>
  <si>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</si>
  <si>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</si>
  <si>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</si>
  <si>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</si>
  <si>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</si>
  <si>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</si>
  <si>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</si>
  <si>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</si>
  <si>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</si>
  <si>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</si>
  <si>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</si>
  <si>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</si>
  <si>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</si>
  <si>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</si>
  <si>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</si>
  <si>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</si>
  <si>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</si>
  <si>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</si>
  <si>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</si>
  <si>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</si>
  <si>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</si>
  <si>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</si>
  <si>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</si>
  <si>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</si>
  <si>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</si>
  <si>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</si>
  <si>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</si>
  <si>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</si>
  <si>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</si>
  <si>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</si>
  <si>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</si>
  <si>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</si>
  <si>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</si>
  <si>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</si>
  <si>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</si>
  <si>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</si>
  <si>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</si>
  <si>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</si>
  <si>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</si>
  <si>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</si>
  <si>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</si>
  <si>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</si>
  <si>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</si>
  <si>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</si>
  <si>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</si>
  <si>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</si>
  <si>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</si>
  <si>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</si>
  <si>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</si>
  <si>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</si>
  <si>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</si>
  <si>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</si>
  <si>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</si>
  <si>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</si>
  <si>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</si>
  <si>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</si>
  <si>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</si>
  <si>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</si>
  <si>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</si>
  <si>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</si>
  <si>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</si>
  <si>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</si>
  <si>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</si>
  <si>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</si>
  <si>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</si>
  <si>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</si>
  <si>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</si>
  <si>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</si>
  <si>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</si>
  <si>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</si>
  <si>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</si>
  <si>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</si>
  <si>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</si>
  <si>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</si>
  <si>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</si>
  <si>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</si>
  <si>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</si>
  <si>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</si>
  <si>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</si>
  <si>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</si>
  <si>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</si>
  <si>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</si>
  <si>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</si>
  <si>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</si>
  <si>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</si>
  <si>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</si>
  <si>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</si>
  <si>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</si>
  <si>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</si>
  <si>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</si>
  <si>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</si>
  <si>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</si>
  <si>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</si>
  <si>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</si>
  <si>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</si>
  <si>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</si>
  <si>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</si>
  <si>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</si>
  <si>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</si>
  <si>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</si>
  <si>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</si>
  <si>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</si>
  <si>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</si>
  <si>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</si>
  <si>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</si>
  <si>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</si>
  <si>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</si>
  <si>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</si>
  <si>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</si>
  <si>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</si>
  <si>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</si>
  <si>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</si>
  <si>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</si>
  <si>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</si>
  <si>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</si>
  <si>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</si>
  <si>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</si>
  <si>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</si>
  <si>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</si>
  <si>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</si>
  <si>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</si>
  <si>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</si>
  <si>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</si>
  <si>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</si>
  <si>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</si>
  <si>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</si>
  <si>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</si>
  <si>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</si>
  <si>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</si>
  <si>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</si>
  <si>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</si>
  <si>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</si>
  <si>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</si>
  <si>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</si>
  <si>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</si>
  <si>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</si>
  <si>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</si>
  <si>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</si>
  <si>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</si>
  <si>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</si>
  <si>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</si>
  <si>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</si>
  <si>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</si>
  <si>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</si>
  <si>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</si>
  <si>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</si>
  <si>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</si>
  <si>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</si>
  <si>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</si>
  <si>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</si>
  <si>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</si>
  <si>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</si>
  <si>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</si>
  <si>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</si>
  <si>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</si>
  <si>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</si>
  <si>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</si>
  <si>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</si>
  <si>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</si>
  <si>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</si>
  <si>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</si>
  <si>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</si>
  <si>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</si>
  <si>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</si>
  <si>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</si>
  <si>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</si>
  <si>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</si>
  <si>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</si>
  <si>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</si>
  <si>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</si>
  <si>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</si>
  <si>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</si>
  <si>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</si>
  <si>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</si>
  <si>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</si>
  <si>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</si>
  <si>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</si>
  <si>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</si>
  <si>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</si>
  <si>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</si>
  <si>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</si>
  <si>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</si>
  <si>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</si>
  <si>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</si>
  <si>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</si>
  <si>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</si>
  <si>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</si>
  <si>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</si>
  <si>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</si>
  <si>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</si>
  <si>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</si>
  <si>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</si>
  <si>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</si>
  <si>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</si>
  <si>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</si>
  <si>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</si>
  <si>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</si>
  <si>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</si>
  <si>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</si>
  <si>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</si>
  <si>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</si>
  <si>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</si>
  <si>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</si>
  <si>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</si>
  <si>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</si>
  <si>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</si>
  <si>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</si>
  <si>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</si>
  <si>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</si>
  <si>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</si>
  <si>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</si>
  <si>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</si>
  <si>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</si>
  <si>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</si>
  <si>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</si>
  <si>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</si>
  <si>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</si>
  <si>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</si>
  <si>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</si>
  <si>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</si>
  <si>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</si>
  <si>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</si>
  <si>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</si>
  <si>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</si>
  <si>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</si>
  <si>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</si>
  <si>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</si>
  <si>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</si>
  <si>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</si>
  <si>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</si>
  <si>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</si>
  <si>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</si>
  <si>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</si>
  <si>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</si>
  <si>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</si>
  <si>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</si>
  <si>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</si>
  <si>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</si>
  <si>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</si>
  <si>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</si>
  <si>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</si>
  <si>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</si>
  <si>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</si>
  <si>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</si>
  <si>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</si>
  <si>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</si>
  <si>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</si>
  <si>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</si>
  <si>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</si>
  <si>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</si>
  <si>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</si>
  <si>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</si>
  <si>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</si>
  <si>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</si>
  <si>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</si>
  <si>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</si>
  <si>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</si>
  <si>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</si>
  <si>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</si>
  <si>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</si>
  <si>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</si>
  <si>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</si>
  <si>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</si>
  <si>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</si>
  <si>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</si>
  <si>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</si>
  <si>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</si>
  <si>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</si>
  <si>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</si>
  <si>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</si>
  <si>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</si>
  <si>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</si>
  <si>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</si>
  <si>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</si>
  <si>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</si>
  <si>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</si>
  <si>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</si>
  <si>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</si>
  <si>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</si>
  <si>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</si>
  <si>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</si>
  <si>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</si>
  <si>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</si>
  <si>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</si>
  <si>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</si>
  <si>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</si>
  <si>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</si>
  <si>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</si>
  <si>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</si>
  <si>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</si>
  <si>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</si>
  <si>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</si>
  <si>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</si>
  <si>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</si>
  <si>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</si>
  <si>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</si>
  <si>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</si>
  <si>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</si>
  <si>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</si>
  <si>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</si>
  <si>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</si>
  <si>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</si>
  <si>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</si>
  <si>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</si>
  <si>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</si>
  <si>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</si>
  <si>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</si>
  <si>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</si>
  <si>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</si>
  <si>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</si>
  <si>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</si>
  <si>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</si>
  <si>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</si>
  <si>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</si>
  <si>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</si>
  <si>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</si>
  <si>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</si>
  <si>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</si>
  <si>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</si>
  <si>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</si>
  <si>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</si>
  <si>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</si>
  <si>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</si>
  <si>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</si>
  <si>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</si>
  <si>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</si>
  <si>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</si>
  <si>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</si>
  <si>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</si>
  <si>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</si>
  <si>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</si>
  <si>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</si>
  <si>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</si>
  <si>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</si>
  <si>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</si>
  <si>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</si>
  <si>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</si>
  <si>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</si>
  <si>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</si>
  <si>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</si>
  <si>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</si>
  <si>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</si>
  <si>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</si>
  <si>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</si>
  <si>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</si>
  <si>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</si>
  <si>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</si>
  <si>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</si>
  <si>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</si>
  <si>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</si>
  <si>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</si>
  <si>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</si>
  <si>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</si>
  <si>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</si>
  <si>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</si>
  <si>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</si>
  <si>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</si>
  <si>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</si>
  <si>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</si>
  <si>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</si>
  <si>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</si>
  <si>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</si>
  <si>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</si>
  <si>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</si>
  <si>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</si>
  <si>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</si>
  <si>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</si>
  <si>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</si>
  <si>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</si>
  <si>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</si>
  <si>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</si>
  <si>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</si>
  <si>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</si>
  <si>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</si>
  <si>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</si>
  <si>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</si>
  <si>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</si>
  <si>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</si>
  <si>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</si>
  <si>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</si>
  <si>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</si>
  <si>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</si>
  <si>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</si>
  <si>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</si>
  <si>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</si>
  <si>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</si>
  <si>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</si>
  <si>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</si>
  <si>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</si>
  <si>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</si>
  <si>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</si>
  <si>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</si>
  <si>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</si>
  <si>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</si>
  <si>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</si>
  <si>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</si>
  <si>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</si>
  <si>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</si>
  <si>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</si>
  <si>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</si>
  <si>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</si>
  <si>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</si>
  <si>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</si>
  <si>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</si>
  <si>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</si>
  <si>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</si>
  <si>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</si>
  <si>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</si>
  <si>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</si>
  <si>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</si>
  <si>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</si>
  <si>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</si>
  <si>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</si>
  <si>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</si>
  <si>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</si>
  <si>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</si>
  <si>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</si>
  <si>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</si>
  <si>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</si>
  <si>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</si>
  <si>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</si>
  <si>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</si>
  <si>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</si>
  <si>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</si>
  <si>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</si>
  <si>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</si>
  <si>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</si>
  <si>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</si>
  <si>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</si>
  <si>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</si>
  <si>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</si>
  <si>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</si>
  <si>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</si>
  <si>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</si>
  <si>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</si>
  <si>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</si>
  <si>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</si>
  <si>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</si>
  <si>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</si>
  <si>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</si>
  <si>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</si>
  <si>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</si>
  <si>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</si>
  <si>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</si>
  <si>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</si>
  <si>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</si>
  <si>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</si>
  <si>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</si>
  <si>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</si>
  <si>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</si>
  <si>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</si>
  <si>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</si>
  <si>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</si>
  <si>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</si>
  <si>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</si>
  <si>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</si>
  <si>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</si>
  <si>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</si>
  <si>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</si>
  <si>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</si>
  <si>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</si>
  <si>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</si>
  <si>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</si>
  <si>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</si>
  <si>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</si>
  <si>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</si>
  <si>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</si>
  <si>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</si>
  <si>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</si>
  <si>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</si>
  <si>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</si>
  <si>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</si>
  <si>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</si>
  <si>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</si>
  <si>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</si>
  <si>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</si>
  <si>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</si>
  <si>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</si>
  <si>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</si>
  <si>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</si>
  <si>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</si>
  <si>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</si>
  <si>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</si>
  <si>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</si>
  <si>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</si>
  <si>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</si>
  <si>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</si>
  <si>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</si>
  <si>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</si>
  <si>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</si>
  <si>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</si>
  <si>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</si>
  <si>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</si>
  <si>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</si>
  <si>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</si>
  <si>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</si>
  <si>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</si>
  <si>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</si>
  <si>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</si>
  <si>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</si>
  <si>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</si>
  <si>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</si>
  <si>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</si>
  <si>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</si>
  <si>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</si>
  <si>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</si>
  <si>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</si>
  <si>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</si>
  <si>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</si>
  <si>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</si>
  <si>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</si>
  <si>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</si>
  <si>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</si>
  <si>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</si>
  <si>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</si>
  <si>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</si>
  <si>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</si>
  <si>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</si>
  <si>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</si>
  <si>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</si>
  <si>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</si>
  <si>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</si>
  <si>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</si>
  <si>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</si>
  <si>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</si>
  <si>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</si>
  <si>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</si>
  <si>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</si>
  <si>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</si>
  <si>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</si>
  <si>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</si>
  <si>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</si>
  <si>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</si>
  <si>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</si>
  <si>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</si>
  <si>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</si>
  <si>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</si>
  <si>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</si>
  <si>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</si>
  <si>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</si>
  <si>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</si>
  <si>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</si>
  <si>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</si>
  <si>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</si>
  <si>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</si>
  <si>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</si>
  <si>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</si>
  <si>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</si>
  <si>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</si>
  <si>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</si>
  <si>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</si>
  <si>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</si>
  <si>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</si>
  <si>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</si>
  <si>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</si>
  <si>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</si>
  <si>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</si>
  <si>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</si>
  <si>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</si>
  <si>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</si>
  <si>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</si>
  <si>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</si>
  <si>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</si>
  <si>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</si>
  <si>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</si>
  <si>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</si>
  <si>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</si>
  <si>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</si>
  <si>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</si>
  <si>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</si>
  <si>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</si>
  <si>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</si>
  <si>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</si>
  <si>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</si>
  <si>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</si>
  <si>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</si>
  <si>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</si>
  <si>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</si>
  <si>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</si>
  <si>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</si>
  <si>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</si>
  <si>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</si>
  <si>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</si>
  <si>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</si>
  <si>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</si>
  <si>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</si>
  <si>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</si>
  <si>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</si>
  <si>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</si>
  <si>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</si>
  <si>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</si>
  <si>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</si>
  <si>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</si>
  <si>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</si>
  <si>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</si>
  <si>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</si>
  <si>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</si>
  <si>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</si>
  <si>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</si>
  <si>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</si>
  <si>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</si>
  <si>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</si>
  <si>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</si>
  <si>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</si>
  <si>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</si>
  <si>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</si>
  <si>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</si>
  <si>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</si>
  <si>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</si>
  <si>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</si>
  <si>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</si>
  <si>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</si>
  <si>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</si>
  <si>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</si>
  <si>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</si>
  <si>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</si>
  <si>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</si>
  <si>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</si>
  <si>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</si>
  <si>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</si>
  <si>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</si>
  <si>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</si>
  <si>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</si>
  <si>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</si>
  <si>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</si>
  <si>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</si>
  <si>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</si>
  <si>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</si>
  <si>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</si>
  <si>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</si>
  <si>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</si>
  <si>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</si>
  <si>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</si>
  <si>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</si>
  <si>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</si>
  <si>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</si>
  <si>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</si>
  <si>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</si>
  <si>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</si>
  <si>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</si>
  <si>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</si>
  <si>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</si>
  <si>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</si>
  <si>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</si>
  <si>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</si>
  <si>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</si>
  <si>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</si>
  <si>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</si>
  <si>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</si>
  <si>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</si>
  <si>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</si>
  <si>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</si>
  <si>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</si>
  <si>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</si>
  <si>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</si>
  <si>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</si>
  <si>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</si>
  <si>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</si>
  <si>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</si>
  <si>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</si>
  <si>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</si>
  <si>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</si>
  <si>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</si>
  <si>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</si>
  <si>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</si>
  <si>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</si>
  <si>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</si>
  <si>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</si>
  <si>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</si>
  <si>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</si>
  <si>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</si>
  <si>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</si>
  <si>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</si>
  <si>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</si>
  <si>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</si>
  <si>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</si>
  <si>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</si>
  <si>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</si>
  <si>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</si>
  <si>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</si>
  <si>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</si>
  <si>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</si>
  <si>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</si>
  <si>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</si>
  <si>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</si>
  <si>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</si>
  <si>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</si>
  <si>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</si>
  <si>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</si>
  <si>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</si>
  <si>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</si>
  <si>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</si>
  <si>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</si>
  <si>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</si>
  <si>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</si>
  <si>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</si>
  <si>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</si>
  <si>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</si>
  <si>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</si>
  <si>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</si>
  <si>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</si>
  <si>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</si>
  <si>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</si>
  <si>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</si>
  <si>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</si>
  <si>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</si>
  <si>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</si>
  <si>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</si>
  <si>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</si>
  <si>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</si>
  <si>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</si>
  <si>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</si>
  <si>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</si>
  <si>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</si>
  <si>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</si>
  <si>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</si>
  <si>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</si>
  <si>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</si>
  <si>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</si>
  <si>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</si>
  <si>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</si>
  <si>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</si>
  <si>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</si>
  <si>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</si>
  <si>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</si>
  <si>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</si>
  <si>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</si>
  <si>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</si>
  <si>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</si>
  <si>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</si>
  <si>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</si>
  <si>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</si>
  <si>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</si>
  <si>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</si>
  <si>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</si>
  <si>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</si>
  <si>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</si>
  <si>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</si>
  <si>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</si>
  <si>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</si>
  <si>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</si>
  <si>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</si>
  <si>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</si>
  <si>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</si>
  <si>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</si>
  <si>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</si>
  <si>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</si>
  <si>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</si>
  <si>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</si>
  <si>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</si>
  <si>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</si>
  <si>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</si>
  <si>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</si>
  <si>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</si>
  <si>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</si>
  <si>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</si>
  <si>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</si>
  <si>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</si>
  <si>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</si>
  <si>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</si>
  <si>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</si>
  <si>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</si>
  <si>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</si>
  <si>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</si>
  <si>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</si>
  <si>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</si>
  <si>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</si>
  <si>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</si>
  <si>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</si>
  <si>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</si>
  <si>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</si>
  <si>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</si>
  <si>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</si>
  <si>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</si>
  <si>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</si>
  <si>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</si>
  <si>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</si>
  <si>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</si>
  <si>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</si>
  <si>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</si>
  <si>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</si>
  <si>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</si>
  <si>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</si>
  <si>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</si>
  <si>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</si>
  <si>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</si>
  <si>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</si>
  <si>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</si>
  <si>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</si>
  <si>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</si>
  <si>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</si>
  <si>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</si>
  <si>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</si>
  <si>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</si>
  <si>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</si>
  <si>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</si>
  <si>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</si>
  <si>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</si>
  <si>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</si>
  <si>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</si>
  <si>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</si>
  <si>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</si>
  <si>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</si>
  <si>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</si>
  <si>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</si>
  <si>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</si>
  <si>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</si>
  <si>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</si>
  <si>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</si>
  <si>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</si>
  <si>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</si>
  <si>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</si>
  <si>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</si>
  <si>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</si>
  <si>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</si>
  <si>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</si>
  <si>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</si>
  <si>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</si>
  <si>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</si>
  <si>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</si>
  <si>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</si>
  <si>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</si>
  <si>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</si>
  <si>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</si>
  <si>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</si>
  <si>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</si>
  <si>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</si>
  <si>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</si>
  <si>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</si>
  <si>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</si>
  <si>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</si>
  <si>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</si>
  <si>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</si>
  <si>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</si>
  <si>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</si>
  <si>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</si>
  <si>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</si>
  <si>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</si>
  <si>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</si>
  <si>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</si>
  <si>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</si>
  <si>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</si>
  <si>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</si>
  <si>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</si>
  <si>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</si>
  <si>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</si>
  <si>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</si>
  <si>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</si>
  <si>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</si>
  <si>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</si>
  <si>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</si>
  <si>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</si>
  <si>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</si>
  <si>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</si>
  <si>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</si>
  <si>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</si>
  <si>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</si>
  <si>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</si>
  <si>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</si>
  <si>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</si>
  <si>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</si>
  <si>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</si>
  <si>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</si>
  <si>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</si>
  <si>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</si>
  <si>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</si>
  <si>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</si>
  <si>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</si>
  <si>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</si>
  <si>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</si>
  <si>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</si>
  <si>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</si>
  <si>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</si>
  <si>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</si>
  <si>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</si>
  <si>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</si>
  <si>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</si>
  <si>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</si>
  <si>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</si>
  <si>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</si>
  <si>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</si>
  <si>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</si>
  <si>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</si>
  <si>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</si>
  <si>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</si>
  <si>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</si>
  <si>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</si>
  <si>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</si>
  <si>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</si>
  <si>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</si>
  <si>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</si>
  <si>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</si>
  <si>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</si>
  <si>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</si>
  <si>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</si>
  <si>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</si>
  <si>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</si>
  <si>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</si>
  <si>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</si>
  <si>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</si>
  <si>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</si>
  <si>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</si>
  <si>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</si>
  <si>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</si>
  <si>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</si>
  <si>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</si>
  <si>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</si>
  <si>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</si>
  <si>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</si>
  <si>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</si>
  <si>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</si>
  <si>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</si>
  <si>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</si>
  <si>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</si>
  <si>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</si>
  <si>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</si>
  <si>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</si>
  <si>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</si>
  <si>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</si>
  <si>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</si>
  <si>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</si>
  <si>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</si>
  <si>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</si>
  <si>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</si>
  <si>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</si>
  <si>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</si>
  <si>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</si>
  <si>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</si>
  <si>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</si>
  <si>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</si>
  <si>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</si>
  <si>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</si>
  <si>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</si>
  <si>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</si>
  <si>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</si>
  <si>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</si>
  <si>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</si>
  <si>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</si>
  <si>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</si>
  <si>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</si>
  <si>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</si>
  <si>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</si>
  <si>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</si>
  <si>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</si>
  <si>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</si>
  <si>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</si>
  <si>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</si>
  <si>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</si>
  <si>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</si>
  <si>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</si>
  <si>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</si>
  <si>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</si>
  <si>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</si>
  <si>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</si>
  <si>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</si>
  <si>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</si>
  <si>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</si>
  <si>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</si>
  <si>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</si>
  <si>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</si>
  <si>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</si>
  <si>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</si>
  <si>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</si>
  <si>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</si>
  <si>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</si>
  <si>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</si>
  <si>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</si>
  <si>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</si>
  <si>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</si>
  <si>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</si>
  <si>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</si>
  <si>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</si>
  <si>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</si>
  <si>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</si>
  <si>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</si>
  <si>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</si>
  <si>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</si>
  <si>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</si>
  <si>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</si>
  <si>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</si>
  <si>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</si>
  <si>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</si>
  <si>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</si>
  <si>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</si>
  <si>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</si>
  <si>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</si>
  <si>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</si>
  <si>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</si>
  <si>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</si>
  <si>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</si>
  <si>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</si>
  <si>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</si>
  <si>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</si>
  <si>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</si>
  <si>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</si>
  <si>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</si>
  <si>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</si>
  <si>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</si>
  <si>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</si>
  <si>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</si>
  <si>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</si>
  <si>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</si>
  <si>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</si>
  <si>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</si>
  <si>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</si>
  <si>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</si>
  <si>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</si>
  <si>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</si>
  <si>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</si>
  <si>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</si>
  <si>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</si>
  <si>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</si>
  <si>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</si>
  <si>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</si>
  <si>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</si>
  <si>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</si>
  <si>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</si>
  <si>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</si>
  <si>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</si>
  <si>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</si>
  <si>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</si>
  <si>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</si>
  <si>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</si>
  <si>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</si>
  <si>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</si>
  <si>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</si>
  <si>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</si>
  <si>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</si>
  <si>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</si>
  <si>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</si>
  <si>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</si>
  <si>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</si>
  <si>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</si>
  <si>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</si>
  <si>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</si>
  <si>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</si>
  <si>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</si>
  <si>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</si>
  <si>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</si>
  <si>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</si>
  <si>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</si>
  <si>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</si>
  <si>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</si>
  <si>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</si>
  <si>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</si>
  <si>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</si>
  <si>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</si>
  <si>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</si>
  <si>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</si>
  <si>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</si>
  <si>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</si>
  <si>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</si>
  <si>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</si>
  <si>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</si>
  <si>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</si>
  <si>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</si>
  <si>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</si>
  <si>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</si>
  <si>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</si>
  <si>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</si>
  <si>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</si>
  <si>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</si>
  <si>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</si>
  <si>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</si>
  <si>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</si>
  <si>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</si>
  <si>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</si>
  <si>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</si>
  <si>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</si>
  <si>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</si>
  <si>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</si>
  <si>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</si>
  <si>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</si>
  <si>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</si>
  <si>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</si>
  <si>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</si>
  <si>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</si>
  <si>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</si>
  <si>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</si>
  <si>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</si>
  <si>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</si>
  <si>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</si>
  <si>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</si>
  <si>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</si>
  <si>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</si>
  <si>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</si>
  <si>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</si>
  <si>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</si>
  <si>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</si>
  <si>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</si>
  <si>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</si>
  <si>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</si>
  <si>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</si>
  <si>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</si>
  <si>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</si>
  <si>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</si>
  <si>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</si>
  <si>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</si>
  <si>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</si>
  <si>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</si>
  <si>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</si>
  <si>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</si>
  <si>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</si>
  <si>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</si>
  <si>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</si>
  <si>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</si>
  <si>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</si>
  <si>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</si>
  <si>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</si>
  <si>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</si>
  <si>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</si>
  <si>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</si>
  <si>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</si>
  <si>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</si>
  <si>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</si>
  <si>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</si>
  <si>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</si>
  <si>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</si>
  <si>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</si>
  <si>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</si>
  <si>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</si>
  <si>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</si>
  <si>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</si>
  <si>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</si>
  <si>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</si>
  <si>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</si>
  <si>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</si>
  <si>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</si>
  <si>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</si>
  <si>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</si>
  <si>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</si>
  <si>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</si>
  <si>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</si>
  <si>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</si>
  <si>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</si>
  <si>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</si>
  <si>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</si>
  <si>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</si>
  <si>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</si>
  <si>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</si>
  <si>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</si>
  <si>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</si>
  <si>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</si>
  <si>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</si>
  <si>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</si>
  <si>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</si>
  <si>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</si>
  <si>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</si>
  <si>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</si>
  <si>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</si>
  <si>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</si>
  <si>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</si>
  <si>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</si>
  <si>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</si>
  <si>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</si>
  <si>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</si>
  <si>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</si>
  <si>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</si>
  <si>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</si>
  <si>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</si>
  <si>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</si>
  <si>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</si>
  <si>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</si>
  <si>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</si>
  <si>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</si>
  <si>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</si>
  <si>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</si>
  <si>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</si>
  <si>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</si>
  <si>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</si>
  <si>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</si>
  <si>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</si>
  <si>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</si>
  <si>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</si>
  <si>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</si>
  <si>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</si>
  <si>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</si>
  <si>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</si>
  <si>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</si>
  <si>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</si>
  <si>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</si>
  <si>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</si>
  <si>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</si>
  <si>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</si>
  <si>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</si>
  <si>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</si>
  <si>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</si>
  <si>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</si>
  <si>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</si>
  <si>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</si>
  <si>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</si>
  <si>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</si>
  <si>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</si>
  <si>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</si>
  <si>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</si>
  <si>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</si>
  <si>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</si>
  <si>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</si>
  <si>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</si>
  <si>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</si>
  <si>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</si>
  <si>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</si>
  <si>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</si>
  <si>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</si>
  <si>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</si>
  <si>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</si>
  <si>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</si>
  <si>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</si>
  <si>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</si>
  <si>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</si>
  <si>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</si>
  <si>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</si>
  <si>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</si>
  <si>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</si>
  <si>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</si>
  <si>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</si>
  <si>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</si>
  <si>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</si>
  <si>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</si>
  <si>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</si>
  <si>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</si>
  <si>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</si>
  <si>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</si>
  <si>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</si>
  <si>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</si>
  <si>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</si>
  <si>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</si>
  <si>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</si>
  <si>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</si>
  <si>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</si>
  <si>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</si>
  <si>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</si>
  <si>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</si>
  <si>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</si>
  <si>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</si>
  <si>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</si>
  <si>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</si>
  <si>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</si>
  <si>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</si>
  <si>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</si>
  <si>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</si>
  <si>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</si>
  <si>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</si>
  <si>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</si>
  <si>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</si>
  <si>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</si>
  <si>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</si>
  <si>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</si>
  <si>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</si>
  <si>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</si>
  <si>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</si>
  <si>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</si>
  <si>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</si>
  <si>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</si>
  <si>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</si>
  <si>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</si>
  <si>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</si>
  <si>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</si>
  <si>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</si>
  <si>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</si>
  <si>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</si>
  <si>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</si>
  <si>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</si>
  <si>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</si>
  <si>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</si>
  <si>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</si>
  <si>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</si>
  <si>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</si>
  <si>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</si>
  <si>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</si>
  <si>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</si>
  <si>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</si>
  <si>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</si>
  <si>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</si>
  <si>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</si>
  <si>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</si>
  <si>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</si>
  <si>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</si>
  <si>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</si>
  <si>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</si>
  <si>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</si>
  <si>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</si>
  <si>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</si>
  <si>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</si>
  <si>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</si>
  <si>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</si>
  <si>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</si>
  <si>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</si>
  <si>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</si>
  <si>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</si>
  <si>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</si>
  <si>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</si>
  <si>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</si>
  <si>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</si>
  <si>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</si>
  <si>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</si>
  <si>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</si>
  <si>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</si>
  <si>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</si>
  <si>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</si>
  <si>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</si>
  <si>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</si>
  <si>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</si>
  <si>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</si>
  <si>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</si>
  <si>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</si>
  <si>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</si>
  <si>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</si>
  <si>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</si>
  <si>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</si>
  <si>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</si>
  <si>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</si>
  <si>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</si>
  <si>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</si>
  <si>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</si>
  <si>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</si>
  <si>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</si>
  <si>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</si>
  <si>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</si>
  <si>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</si>
  <si>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</si>
  <si>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</si>
  <si>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</si>
  <si>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</si>
  <si>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</si>
  <si>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</si>
  <si>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</si>
  <si>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</si>
  <si>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</si>
  <si>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</si>
  <si>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</si>
  <si>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</si>
  <si>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</si>
  <si>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</si>
  <si>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</si>
  <si>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</si>
  <si>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</si>
  <si>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</si>
  <si>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</si>
  <si>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</si>
  <si>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</si>
  <si>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</si>
  <si>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</si>
  <si>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</si>
  <si>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</si>
  <si>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</si>
  <si>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</si>
  <si>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</si>
  <si>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</si>
  <si>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</si>
  <si>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</si>
  <si>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</si>
  <si>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</si>
  <si>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</si>
  <si>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</si>
  <si>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</si>
  <si>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</si>
  <si>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</si>
  <si>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</si>
  <si>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</si>
  <si>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</si>
  <si>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</si>
  <si>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</si>
  <si>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</si>
  <si>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</si>
  <si>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</si>
  <si>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</si>
  <si>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</si>
  <si>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</si>
  <si>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</si>
  <si>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</si>
  <si>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</si>
  <si>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</si>
  <si>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</si>
  <si>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</si>
  <si>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</si>
  <si>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</si>
  <si>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</si>
  <si>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</si>
  <si>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</si>
  <si>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</si>
  <si>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</si>
  <si>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</si>
  <si>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</si>
  <si>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</si>
  <si>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</si>
  <si>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</si>
  <si>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</si>
  <si>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</si>
  <si>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</si>
  <si>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</si>
  <si>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</si>
  <si>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</si>
  <si>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</si>
  <si>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</si>
  <si>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</si>
  <si>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</si>
  <si>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</si>
  <si>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</si>
  <si>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</si>
  <si>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</si>
  <si>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</si>
  <si>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</si>
  <si>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</si>
  <si>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</si>
  <si>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</si>
  <si>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</si>
  <si>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</si>
  <si>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</si>
  <si>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</si>
  <si>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</si>
  <si>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</si>
  <si>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</si>
  <si>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</si>
  <si>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</si>
  <si>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</si>
  <si>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</si>
  <si>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</si>
  <si>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</si>
  <si>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</si>
  <si>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</si>
  <si>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</si>
  <si>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</si>
  <si>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</si>
  <si>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</si>
  <si>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</si>
  <si>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</si>
  <si>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</si>
  <si>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</si>
  <si>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</si>
  <si>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</si>
  <si>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</si>
  <si>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</si>
  <si>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</si>
  <si>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</si>
  <si>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</si>
  <si>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</si>
  <si>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</si>
  <si>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</si>
  <si>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</si>
  <si>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</si>
  <si>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</si>
  <si>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</si>
  <si>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</si>
  <si>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</si>
  <si>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</si>
  <si>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</si>
  <si>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</si>
  <si>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</si>
  <si>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</si>
  <si>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</si>
  <si>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</si>
  <si>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</si>
  <si>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</si>
  <si>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</si>
  <si>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</si>
  <si>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</si>
  <si>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</si>
  <si>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</si>
  <si>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</si>
  <si>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</si>
  <si>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</si>
  <si>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</si>
  <si>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</si>
  <si>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</si>
  <si>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</si>
  <si>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</si>
  <si>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</si>
  <si>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</si>
  <si>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</si>
  <si>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</si>
  <si>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</si>
  <si>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</si>
  <si>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</si>
  <si>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</si>
  <si>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</si>
  <si>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</si>
  <si>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</si>
  <si>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</si>
  <si>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</si>
  <si>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</si>
  <si>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</si>
  <si>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</si>
  <si>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</si>
  <si>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</si>
  <si>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</si>
  <si>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</si>
  <si>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</si>
  <si>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</si>
  <si>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</si>
  <si>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</si>
  <si>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</si>
  <si>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</si>
  <si>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</si>
  <si>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</si>
  <si>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</si>
  <si>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</si>
  <si>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</si>
  <si>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</si>
  <si>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</si>
  <si>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</si>
  <si>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</si>
  <si>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</si>
  <si>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</si>
  <si>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</si>
  <si>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</si>
  <si>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</si>
  <si>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</si>
  <si>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</si>
  <si>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</si>
  <si>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</si>
  <si>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</si>
  <si>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</si>
  <si>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</si>
  <si>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</si>
  <si>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</si>
  <si>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</si>
  <si>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</si>
  <si>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</si>
  <si>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</si>
  <si>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</si>
  <si>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</si>
  <si>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</si>
  <si>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</si>
  <si>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</si>
  <si>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</si>
  <si>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</si>
  <si>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</si>
  <si>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</si>
  <si>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</si>
  <si>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</si>
  <si>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</si>
  <si>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</si>
  <si>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</si>
  <si>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</si>
  <si>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</si>
  <si>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</si>
  <si>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</si>
  <si>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</si>
  <si>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</si>
  <si>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</si>
  <si>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</si>
  <si>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</si>
  <si>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</si>
  <si>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</si>
  <si>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</si>
  <si>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</si>
  <si>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</si>
  <si>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</si>
  <si>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</si>
  <si>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</si>
  <si>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</si>
  <si>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</si>
  <si>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</si>
  <si>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</si>
  <si>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</si>
  <si>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</si>
  <si>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</si>
  <si>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</si>
  <si>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</si>
  <si>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</si>
  <si>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</si>
  <si>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</si>
  <si>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</si>
  <si>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</si>
  <si>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</si>
  <si>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</si>
  <si>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</si>
  <si>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</si>
  <si>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</si>
  <si>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</si>
  <si>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</si>
  <si>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</si>
  <si>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</si>
  <si>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</si>
  <si>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</si>
  <si>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</si>
  <si>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</si>
  <si>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</si>
  <si>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</si>
  <si>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</si>
  <si>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</si>
  <si>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</si>
  <si>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</si>
  <si>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</si>
  <si>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</si>
  <si>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</si>
  <si>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</si>
  <si>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</si>
  <si>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</si>
  <si>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</si>
  <si>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</si>
  <si>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</si>
  <si>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</si>
  <si>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</si>
  <si>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</si>
  <si>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</si>
  <si>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</si>
  <si>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</si>
  <si>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</si>
  <si>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</si>
  <si>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</si>
  <si>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</si>
  <si>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</si>
  <si>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</si>
  <si>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</si>
  <si>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</si>
  <si>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</si>
  <si>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</si>
  <si>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</si>
  <si>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</si>
  <si>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</si>
  <si>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</si>
  <si>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</si>
  <si>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</si>
  <si>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</si>
  <si>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</si>
  <si>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</si>
  <si>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</si>
  <si>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</si>
  <si>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</si>
  <si>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</si>
  <si>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</si>
  <si>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</si>
  <si>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</si>
  <si>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</si>
  <si>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</si>
  <si>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</si>
  <si>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</si>
  <si>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</si>
  <si>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</si>
  <si>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</si>
  <si>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</si>
  <si>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</si>
  <si>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</si>
  <si>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</si>
  <si>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</si>
  <si>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</si>
  <si>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</si>
  <si>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</si>
  <si>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</si>
  <si>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</si>
  <si>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</si>
  <si>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</si>
  <si>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</si>
  <si>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</si>
  <si>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</si>
  <si>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</si>
  <si>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</si>
  <si>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</si>
  <si>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</si>
  <si>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</si>
  <si>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</si>
  <si>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</si>
  <si>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</si>
  <si>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</si>
  <si>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</si>
  <si>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</si>
  <si>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</si>
  <si>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</si>
  <si>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</si>
  <si>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</si>
  <si>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</si>
  <si>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</si>
  <si>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</si>
  <si>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</si>
  <si>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</si>
  <si>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</si>
  <si>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</si>
  <si>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</si>
  <si>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</si>
  <si>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</si>
  <si>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</si>
  <si>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</si>
  <si>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</si>
  <si>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</si>
  <si>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</si>
  <si>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</si>
  <si>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</si>
  <si>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</si>
  <si>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</si>
  <si>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</si>
  <si>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</si>
  <si>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</si>
  <si>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</si>
  <si>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</si>
  <si>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</si>
  <si>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</si>
  <si>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</si>
  <si>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</si>
  <si>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</si>
  <si>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</si>
  <si>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</si>
  <si>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</si>
  <si>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</si>
  <si>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</si>
  <si>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</si>
  <si>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</si>
  <si>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</si>
  <si>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</si>
  <si>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</si>
  <si>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</si>
  <si>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</si>
  <si>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</si>
  <si>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</si>
  <si>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</si>
  <si>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</si>
  <si>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</si>
  <si>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</si>
  <si>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</si>
  <si>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</si>
  <si>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</si>
  <si>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</si>
  <si>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</si>
  <si>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</si>
  <si>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</si>
  <si>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</si>
  <si>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</si>
  <si>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</si>
  <si>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</si>
  <si>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</si>
  <si>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</si>
  <si>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</si>
  <si>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</si>
  <si>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</si>
  <si>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</si>
  <si>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</si>
  <si>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</si>
  <si>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</si>
  <si>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</si>
  <si>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</si>
  <si>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</si>
  <si>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</si>
  <si>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</si>
  <si>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</si>
  <si>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</si>
  <si>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</si>
  <si>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</si>
  <si>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</si>
  <si>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</si>
  <si>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</si>
  <si>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</si>
  <si>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</si>
  <si>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</si>
  <si>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</si>
  <si>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</si>
  <si>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</si>
  <si>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</si>
  <si>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</si>
  <si>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</si>
  <si>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</si>
  <si>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</si>
  <si>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</si>
  <si>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</si>
  <si>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</si>
  <si>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</si>
  <si>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</si>
  <si>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</si>
  <si>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</si>
  <si>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</si>
  <si>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</si>
  <si>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</si>
  <si>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</si>
  <si>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</si>
  <si>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</si>
  <si>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</si>
  <si>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</si>
  <si>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</si>
  <si>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</si>
  <si>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</si>
  <si>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</si>
  <si>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</si>
  <si>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</si>
  <si>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</si>
  <si>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</si>
  <si>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</si>
  <si>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</si>
  <si>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</si>
  <si>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</si>
  <si>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</si>
  <si>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</si>
  <si>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</si>
  <si>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</si>
  <si>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</si>
  <si>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</si>
  <si>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</si>
  <si>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</si>
  <si>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</si>
  <si>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</si>
  <si>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</si>
  <si>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</si>
  <si>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</si>
  <si>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</si>
  <si>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</si>
  <si>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</si>
  <si>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</si>
  <si>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</si>
  <si>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</si>
  <si>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</si>
  <si>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</si>
  <si>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</si>
  <si>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</si>
  <si>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</si>
  <si>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</si>
  <si>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</si>
  <si>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</si>
  <si>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</si>
  <si>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</si>
  <si>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</si>
  <si>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</si>
  <si>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</si>
  <si>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</si>
  <si>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</si>
  <si>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</si>
  <si>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</si>
  <si>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</si>
  <si>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</si>
  <si>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</si>
  <si>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</si>
  <si>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</si>
  <si>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</si>
  <si>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</si>
  <si>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</si>
  <si>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</si>
  <si>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</si>
  <si>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</si>
  <si>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</si>
  <si>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</si>
  <si>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</si>
  <si>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</si>
  <si>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</si>
  <si>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</si>
  <si>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</si>
  <si>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</si>
  <si>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</si>
  <si>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</si>
  <si>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</si>
  <si>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</si>
  <si>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</si>
  <si>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</si>
  <si>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</si>
  <si>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</si>
  <si>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</si>
  <si>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</si>
  <si>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</si>
  <si>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</si>
  <si>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</si>
  <si>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</si>
  <si>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</si>
  <si>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</si>
  <si>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</si>
  <si>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</si>
  <si>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</si>
  <si>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</si>
  <si>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</si>
  <si>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</si>
  <si>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</si>
  <si>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</si>
  <si>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</si>
  <si>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</si>
  <si>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</si>
  <si>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</si>
  <si>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</si>
  <si>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</si>
  <si>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</si>
  <si>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</si>
  <si>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</si>
  <si>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</si>
  <si>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</si>
  <si>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</si>
  <si>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</si>
  <si>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</si>
  <si>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</si>
  <si>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</si>
  <si>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</si>
  <si>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</si>
  <si>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</si>
  <si>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</si>
  <si>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</si>
  <si>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</si>
  <si>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</si>
  <si>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</si>
  <si>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</si>
  <si>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</si>
  <si>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</si>
  <si>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</si>
  <si>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</si>
  <si>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</si>
  <si>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</si>
  <si>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</si>
  <si>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</si>
  <si>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</si>
  <si>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</si>
  <si>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</si>
  <si>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</si>
  <si>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</si>
  <si>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</si>
  <si>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</si>
  <si>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</si>
  <si>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</si>
  <si>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</si>
  <si>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</si>
  <si>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</si>
  <si>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</si>
  <si>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</si>
  <si>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</si>
  <si>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</si>
  <si>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</si>
  <si>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</si>
  <si>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</si>
  <si>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</si>
  <si>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</si>
  <si>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</si>
  <si>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</si>
  <si>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</si>
  <si>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</si>
  <si>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</si>
  <si>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</si>
  <si>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</si>
  <si>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</si>
  <si>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</si>
  <si>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</si>
  <si>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</si>
  <si>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</si>
  <si>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</si>
  <si>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</si>
  <si>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</si>
  <si>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</si>
  <si>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</si>
  <si>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</si>
  <si>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</si>
  <si>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</si>
  <si>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</si>
  <si>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</si>
  <si>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</si>
  <si>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</si>
  <si>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</si>
  <si>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</si>
  <si>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</si>
  <si>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</si>
  <si>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</si>
  <si>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</si>
  <si>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</si>
  <si>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</si>
  <si>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</si>
  <si>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</si>
  <si>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</si>
  <si>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</si>
  <si>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</si>
  <si>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</si>
  <si>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</si>
  <si>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</si>
  <si>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</si>
  <si>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</si>
  <si>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</si>
  <si>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</si>
  <si>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</si>
  <si>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</si>
  <si>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</si>
  <si>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</si>
  <si>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</si>
  <si>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</si>
  <si>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</si>
  <si>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</si>
  <si>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</si>
  <si>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</si>
  <si>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</si>
  <si>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</si>
  <si>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</si>
  <si>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</si>
  <si>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</si>
  <si>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</si>
  <si>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</si>
  <si>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</si>
  <si>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</si>
  <si>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</si>
  <si>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</si>
  <si>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</si>
  <si>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</si>
  <si>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</si>
  <si>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</si>
  <si>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</si>
  <si>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</si>
  <si>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</si>
  <si>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</si>
  <si>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</si>
  <si>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</si>
  <si>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</si>
  <si>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</si>
  <si>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</si>
  <si>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</si>
  <si>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</si>
  <si>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</si>
  <si>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</si>
  <si>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</si>
  <si>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</si>
  <si>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</si>
  <si>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</si>
  <si>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</si>
  <si>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</si>
  <si>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</si>
  <si>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</si>
  <si>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</si>
  <si>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</si>
  <si>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</si>
  <si>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</si>
  <si>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</si>
  <si>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</si>
  <si>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</si>
  <si>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</si>
  <si>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</si>
  <si>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</si>
  <si>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</si>
  <si>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</si>
  <si>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</si>
  <si>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</si>
  <si>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</si>
  <si>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</si>
  <si>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</si>
  <si>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</si>
  <si>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</si>
  <si>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</si>
  <si>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</si>
  <si>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</si>
  <si>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</si>
  <si>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</si>
  <si>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</si>
  <si>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</si>
  <si>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</si>
  <si>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</si>
  <si>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</si>
  <si>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</si>
  <si>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</si>
  <si>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</si>
  <si>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</si>
  <si>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</si>
  <si>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</si>
  <si>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</si>
  <si>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</si>
  <si>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</si>
  <si>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</si>
  <si>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</si>
  <si>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</si>
  <si>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</si>
  <si>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</si>
  <si>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</si>
  <si>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</si>
  <si>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</si>
  <si>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</si>
  <si>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</si>
  <si>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</si>
  <si>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</si>
  <si>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</si>
  <si>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</si>
  <si>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</si>
  <si>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</si>
  <si>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</si>
  <si>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</si>
  <si>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</si>
  <si>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</si>
  <si>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</si>
  <si>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</si>
  <si>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</si>
  <si>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</si>
  <si>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</si>
  <si>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</si>
  <si>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</si>
  <si>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</si>
  <si>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</si>
  <si>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</si>
  <si>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</si>
  <si>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</si>
  <si>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</si>
  <si>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</si>
  <si>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</si>
  <si>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</si>
  <si>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</si>
  <si>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</si>
  <si>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</si>
  <si>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</si>
  <si>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</si>
  <si>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</si>
  <si>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</si>
  <si>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</si>
  <si>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</si>
  <si>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</si>
  <si>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</si>
  <si>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</si>
  <si>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</si>
  <si>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</si>
  <si>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</si>
  <si>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</si>
  <si>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</si>
  <si>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</si>
  <si>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</si>
  <si>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</si>
  <si>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</si>
  <si>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</si>
  <si>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</si>
  <si>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</si>
  <si>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</si>
  <si>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</si>
  <si>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</si>
  <si>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</si>
  <si>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</si>
  <si>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</si>
  <si>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</si>
  <si>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</si>
  <si>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</si>
  <si>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</si>
  <si>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</si>
  <si>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</si>
  <si>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</si>
  <si>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</si>
  <si>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</si>
  <si>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</si>
  <si>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</si>
  <si>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</si>
  <si>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</si>
  <si>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</si>
  <si>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</si>
  <si>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</si>
  <si>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</si>
  <si>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</si>
  <si>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</si>
  <si>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</si>
  <si>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</si>
  <si>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</si>
  <si>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</si>
  <si>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</si>
  <si>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</si>
  <si>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</si>
  <si>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</si>
  <si>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</si>
  <si>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</si>
  <si>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</si>
  <si>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</si>
  <si>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</si>
  <si>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</si>
  <si>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</si>
  <si>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</si>
  <si>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</si>
  <si>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</si>
  <si>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</si>
  <si>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</si>
  <si>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</si>
  <si>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</si>
  <si>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</si>
  <si>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</si>
  <si>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</si>
  <si>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</si>
  <si>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</si>
  <si>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</si>
  <si>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</si>
  <si>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</si>
  <si>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</si>
  <si>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</si>
  <si>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</si>
  <si>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</si>
  <si>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</si>
  <si>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</si>
  <si>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</si>
  <si>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</si>
  <si>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</si>
  <si>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</si>
  <si>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</si>
  <si>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</si>
  <si>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</si>
  <si>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</si>
  <si>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</si>
  <si>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</si>
  <si>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</si>
  <si>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</si>
  <si>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</si>
  <si>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</si>
  <si>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</si>
  <si>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</si>
  <si>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</si>
  <si>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</si>
  <si>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</si>
  <si>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</si>
  <si>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</si>
  <si>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</si>
  <si>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</si>
  <si>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</si>
  <si>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</si>
  <si>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</si>
  <si>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</si>
  <si>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</si>
  <si>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</si>
  <si>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</si>
  <si>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</si>
  <si>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</si>
  <si>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</si>
  <si>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</si>
  <si>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</si>
  <si>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</si>
  <si>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</si>
  <si>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</si>
  <si>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</si>
  <si>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</si>
  <si>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</si>
  <si>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</si>
  <si>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</si>
  <si>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</si>
  <si>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</si>
  <si>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</si>
  <si>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</si>
  <si>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</si>
  <si>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</si>
  <si>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</si>
  <si>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</si>
  <si>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</si>
  <si>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</si>
  <si>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</si>
  <si>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</si>
  <si>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</si>
  <si>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</si>
  <si>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</si>
  <si>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</si>
  <si>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</si>
  <si>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</si>
  <si>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</si>
  <si>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</si>
  <si>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</si>
  <si>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</si>
  <si>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</si>
  <si>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</si>
  <si>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</si>
  <si>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</si>
  <si>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</si>
  <si>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</si>
  <si>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</si>
  <si>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</si>
  <si>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</si>
  <si>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</si>
  <si>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</si>
  <si>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</si>
  <si>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</si>
  <si>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</si>
  <si>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</si>
  <si>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</si>
  <si>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</si>
  <si>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</si>
  <si>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</si>
  <si>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</si>
  <si>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</si>
  <si>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</si>
  <si>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</si>
  <si>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</si>
  <si>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</si>
  <si>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</si>
  <si>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</si>
  <si>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</si>
  <si>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</si>
  <si>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</si>
  <si>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</si>
  <si>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</si>
  <si>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</si>
  <si>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</si>
  <si>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</si>
  <si>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</si>
  <si>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</si>
  <si>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</si>
  <si>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</si>
  <si>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</si>
  <si>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</si>
  <si>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</si>
  <si>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</si>
  <si>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</si>
  <si>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</si>
  <si>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</si>
  <si>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</si>
  <si>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</si>
  <si>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</si>
  <si>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</si>
  <si>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</si>
  <si>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</si>
  <si>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</si>
  <si>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</si>
  <si>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</si>
  <si>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</si>
  <si>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</si>
  <si>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</si>
  <si>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</si>
  <si>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</si>
  <si>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</si>
  <si>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</si>
  <si>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</si>
  <si>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</si>
  <si>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</si>
  <si>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</si>
  <si>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</si>
  <si>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</si>
  <si>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</si>
  <si>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</si>
  <si>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</si>
  <si>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</si>
  <si>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</si>
  <si>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</si>
  <si>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</si>
  <si>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</si>
  <si>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</si>
  <si>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</si>
  <si>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</si>
  <si>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</si>
  <si>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</si>
  <si>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</si>
  <si>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</si>
  <si>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</si>
  <si>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</si>
  <si>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</si>
  <si>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</si>
  <si>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</si>
  <si>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</si>
  <si>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</si>
  <si>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</si>
  <si>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</si>
  <si>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</si>
  <si>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</si>
  <si>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</si>
  <si>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</si>
  <si>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</si>
  <si>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</si>
  <si>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</si>
  <si>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</si>
  <si>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</si>
  <si>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</si>
  <si>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</si>
  <si>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</si>
  <si>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</si>
  <si>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</si>
  <si>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</si>
  <si>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</si>
  <si>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</si>
  <si>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</si>
  <si>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</si>
  <si>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</si>
  <si>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</si>
  <si>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</si>
  <si>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</si>
  <si>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</si>
  <si>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</si>
  <si>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</si>
  <si>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</si>
  <si>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</si>
  <si>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</si>
  <si>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</si>
  <si>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</si>
  <si>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</si>
  <si>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</si>
  <si>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</si>
  <si>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</si>
  <si>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</si>
  <si>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</si>
  <si>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</si>
  <si>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</si>
  <si>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</si>
  <si>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</si>
  <si>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</si>
  <si>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</si>
  <si>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</si>
  <si>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</si>
  <si>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</si>
  <si>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</si>
  <si>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</si>
  <si>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</si>
  <si>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</si>
  <si>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</si>
  <si>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</si>
  <si>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</si>
  <si>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</si>
  <si>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</si>
  <si>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</si>
  <si>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</si>
  <si>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</si>
  <si>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</si>
  <si>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</si>
  <si>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</si>
  <si>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</si>
  <si>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</si>
  <si>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</si>
  <si>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</si>
  <si>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</si>
  <si>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</si>
  <si>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</si>
  <si>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</si>
  <si>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</si>
  <si>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</si>
  <si>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</si>
  <si>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</si>
  <si>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</si>
  <si>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</si>
  <si>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</si>
  <si>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</si>
  <si>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</si>
  <si>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</si>
  <si>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</si>
  <si>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</si>
  <si>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</si>
  <si>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</si>
  <si>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</si>
  <si>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</si>
  <si>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</si>
  <si>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</si>
  <si>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</si>
  <si>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</si>
  <si>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</si>
  <si>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</si>
  <si>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</si>
  <si>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</si>
  <si>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</si>
  <si>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</si>
  <si>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</si>
  <si>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</si>
  <si>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</si>
  <si>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</si>
  <si>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</si>
  <si>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</si>
  <si>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</si>
  <si>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</si>
  <si>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</si>
  <si>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</si>
  <si>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</si>
  <si>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</si>
  <si>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</si>
  <si>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</si>
  <si>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</si>
  <si>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</si>
  <si>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</si>
  <si>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</si>
  <si>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</si>
  <si>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</si>
  <si>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</si>
  <si>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</si>
  <si>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</si>
  <si>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</si>
  <si>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</si>
  <si>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</si>
  <si>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</si>
  <si>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</si>
  <si>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</si>
  <si>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</si>
  <si>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</si>
  <si>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</si>
  <si>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</si>
  <si>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</si>
  <si>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</si>
  <si>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</si>
  <si>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</si>
  <si>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</si>
  <si>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</si>
  <si>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</si>
  <si>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</si>
  <si>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</si>
  <si>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</si>
  <si>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</si>
  <si>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</si>
  <si>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</si>
  <si>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</si>
  <si>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</si>
  <si>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</si>
  <si>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</si>
  <si>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</si>
  <si>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</si>
  <si>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</si>
  <si>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</si>
  <si>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</si>
  <si>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</si>
  <si>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</si>
  <si>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</si>
  <si>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</si>
  <si>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</si>
  <si>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</si>
  <si>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</si>
  <si>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</si>
  <si>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</si>
  <si>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</si>
  <si>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</si>
  <si>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</si>
  <si>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</si>
  <si>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</si>
  <si>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</si>
  <si>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</si>
  <si>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</si>
  <si>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</si>
  <si>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</si>
  <si>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</si>
  <si>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</si>
  <si>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</si>
  <si>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</si>
  <si>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</si>
  <si>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</si>
  <si>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</si>
  <si>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</si>
  <si>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</si>
  <si>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</si>
  <si>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</si>
  <si>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</si>
  <si>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</si>
  <si>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</si>
  <si>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</si>
  <si>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</si>
  <si>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</si>
  <si>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</si>
  <si>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</si>
  <si>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</si>
  <si>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</si>
  <si>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</si>
  <si>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</si>
  <si>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</si>
  <si>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</si>
  <si>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</si>
  <si>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</si>
  <si>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</si>
  <si>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</si>
  <si>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</si>
  <si>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</si>
  <si>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</si>
  <si>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</si>
  <si>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</si>
  <si>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</si>
  <si>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</si>
  <si>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</si>
  <si>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</si>
  <si>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</si>
  <si>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</si>
  <si>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</si>
  <si>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</si>
  <si>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</si>
  <si>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</si>
  <si>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</si>
  <si>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</si>
  <si>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</si>
  <si>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</si>
  <si>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</si>
  <si>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</si>
  <si>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</si>
  <si>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</si>
  <si>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</si>
  <si>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</si>
  <si>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</si>
  <si>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</si>
  <si>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</si>
  <si>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</si>
  <si>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</si>
  <si>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</si>
  <si>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</si>
  <si>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</si>
  <si>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</si>
  <si>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</si>
  <si>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</si>
  <si>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</si>
  <si>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</si>
  <si>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</si>
  <si>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</si>
  <si>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</si>
  <si>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</si>
  <si>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</si>
  <si>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</si>
  <si>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</si>
  <si>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</si>
  <si>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</si>
  <si>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</si>
  <si>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</si>
  <si>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</si>
  <si>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</si>
  <si>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</si>
  <si>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</si>
  <si>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</si>
  <si>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</si>
  <si>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</si>
  <si>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</si>
  <si>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</si>
  <si>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</si>
  <si>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</si>
  <si>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</si>
  <si>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</si>
  <si>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</si>
  <si>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</si>
  <si>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</si>
  <si>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</si>
  <si>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</si>
  <si>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</si>
  <si>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</si>
  <si>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</si>
  <si>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</si>
  <si>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</si>
  <si>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</si>
  <si>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</si>
  <si>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</si>
  <si>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</si>
  <si>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</si>
  <si>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</si>
  <si>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</si>
  <si>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</si>
  <si>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</si>
  <si>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</si>
  <si>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</si>
  <si>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</si>
  <si>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</si>
  <si>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</si>
  <si>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</si>
  <si>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</si>
  <si>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</si>
  <si>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</si>
  <si>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</si>
  <si>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</si>
  <si>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</si>
  <si>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</si>
  <si>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</si>
  <si>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</si>
  <si>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</si>
  <si>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</si>
  <si>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</si>
  <si>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</si>
  <si>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</si>
  <si>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</si>
  <si>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</si>
  <si>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</si>
  <si>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</si>
  <si>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</si>
  <si>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</si>
  <si>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</si>
  <si>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</si>
  <si>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</si>
  <si>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</si>
  <si>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</si>
  <si>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</si>
  <si>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</si>
  <si>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</si>
  <si>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</si>
  <si>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</si>
  <si>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</si>
  <si>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</si>
  <si>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</si>
  <si>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</si>
  <si>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</si>
  <si>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</si>
  <si>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</si>
  <si>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</si>
  <si>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</si>
  <si>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</si>
  <si>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</si>
  <si>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</si>
  <si>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</si>
  <si>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</si>
  <si>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</si>
  <si>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</si>
  <si>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</si>
  <si>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</si>
  <si>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</si>
  <si>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</si>
  <si>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</si>
  <si>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</si>
  <si>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</si>
  <si>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</si>
  <si>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</si>
  <si>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</si>
  <si>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</si>
  <si>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</si>
  <si>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</si>
  <si>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</si>
  <si>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</si>
  <si>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</si>
  <si>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</si>
  <si>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</si>
  <si>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</si>
  <si>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</si>
  <si>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</si>
  <si>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</si>
  <si>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</si>
  <si>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</si>
  <si>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</si>
  <si>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</si>
  <si>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</si>
  <si>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</si>
  <si>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</si>
  <si>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</si>
  <si>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</si>
  <si>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</si>
  <si>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</si>
  <si>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</si>
  <si>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</si>
  <si>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</si>
  <si>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</si>
  <si>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</si>
  <si>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</si>
  <si>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</si>
  <si>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</si>
  <si>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</si>
  <si>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</si>
  <si>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</si>
  <si>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</si>
  <si>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</si>
  <si>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</si>
  <si>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</si>
  <si>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</si>
  <si>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</si>
  <si>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</si>
  <si>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</si>
  <si>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</si>
  <si>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</si>
  <si>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</si>
  <si>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</si>
  <si>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</si>
  <si>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</si>
  <si>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</si>
  <si>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</si>
  <si>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</si>
  <si>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</si>
  <si>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</si>
  <si>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</si>
  <si>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</si>
  <si>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</si>
  <si>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</si>
  <si>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</si>
  <si>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</si>
  <si>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</si>
  <si>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</si>
  <si>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</si>
  <si>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</si>
  <si>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</si>
  <si>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</si>
  <si>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</si>
  <si>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</si>
  <si>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</si>
  <si>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</si>
  <si>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</si>
  <si>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</si>
  <si>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</si>
  <si>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</si>
  <si>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</si>
  <si>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</si>
  <si>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</si>
  <si>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</si>
  <si>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</si>
  <si>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</si>
  <si>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</si>
  <si>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</si>
  <si>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</si>
  <si>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</si>
  <si>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</si>
  <si>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</si>
  <si>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</si>
  <si>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</si>
  <si>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</si>
  <si>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</si>
  <si>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</si>
  <si>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</si>
  <si>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</si>
  <si>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</si>
  <si>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</si>
  <si>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</si>
  <si>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</si>
  <si>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</si>
  <si>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</si>
  <si>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</si>
  <si>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</si>
  <si>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</si>
  <si>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</si>
  <si>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</si>
  <si>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</si>
  <si>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</si>
  <si>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</si>
  <si>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</si>
  <si>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</si>
  <si>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</si>
  <si>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</si>
  <si>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</si>
  <si>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</si>
  <si>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</si>
  <si>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</si>
  <si>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</si>
  <si>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</si>
  <si>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</si>
  <si>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</si>
  <si>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</si>
  <si>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</si>
  <si>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</si>
  <si>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</si>
  <si>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</si>
  <si>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</si>
  <si>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</si>
  <si>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</si>
  <si>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</si>
  <si>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</si>
  <si>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</si>
  <si>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</si>
  <si>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</si>
  <si>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</si>
  <si>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</si>
  <si>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</si>
  <si>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</si>
  <si>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</si>
  <si>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</si>
  <si>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</si>
  <si>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</si>
  <si>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</si>
  <si>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</si>
  <si>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</si>
  <si>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</si>
  <si>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</si>
  <si>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</si>
  <si>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</si>
  <si>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</si>
  <si>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</si>
  <si>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</si>
  <si>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</si>
  <si>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</si>
  <si>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</si>
  <si>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</si>
  <si>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</si>
  <si>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</si>
  <si>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</si>
  <si>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</si>
  <si>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</si>
  <si>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</si>
  <si>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</si>
  <si>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</si>
  <si>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</si>
  <si>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</si>
  <si>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</si>
  <si>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</si>
  <si>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</si>
  <si>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</si>
  <si>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</si>
  <si>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</si>
  <si>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</si>
  <si>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</si>
  <si>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</si>
  <si>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</si>
  <si>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</si>
  <si>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</si>
  <si>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</si>
  <si>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</si>
  <si>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</si>
  <si>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</si>
  <si>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</si>
  <si>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</si>
  <si>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</si>
  <si>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</si>
  <si>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</si>
  <si>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</si>
  <si>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</si>
  <si>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</si>
  <si>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</si>
  <si>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</si>
  <si>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</si>
  <si>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</si>
  <si>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</si>
  <si>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</si>
  <si>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</si>
  <si>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</si>
  <si>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</si>
  <si>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</si>
  <si>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</si>
  <si>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</si>
  <si>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</si>
  <si>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</si>
  <si>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</si>
  <si>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</si>
  <si>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</si>
  <si>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</si>
  <si>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</si>
  <si>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</si>
  <si>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</si>
  <si>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</si>
  <si>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</si>
  <si>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</si>
  <si>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</si>
  <si>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</si>
  <si>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</si>
  <si>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</si>
  <si>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</si>
  <si>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</si>
  <si>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</si>
  <si>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</si>
  <si>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</si>
  <si>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</si>
  <si>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</si>
  <si>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</si>
  <si>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</si>
  <si>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</si>
  <si>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</si>
  <si>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</si>
  <si>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</si>
  <si>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</si>
  <si>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</si>
  <si>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</si>
  <si>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</si>
  <si>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</si>
  <si>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</si>
  <si>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</si>
  <si>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</si>
  <si>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</si>
  <si>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</si>
  <si>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</si>
  <si>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</si>
  <si>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</si>
  <si>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</si>
  <si>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</si>
  <si>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</si>
  <si>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</si>
  <si>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</si>
  <si>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</si>
  <si>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</si>
  <si>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</si>
  <si>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</si>
  <si>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</si>
  <si>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</si>
  <si>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</si>
  <si>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</si>
  <si>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</si>
  <si>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</si>
  <si>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</si>
  <si>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</si>
  <si>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</si>
  <si>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</si>
  <si>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</si>
  <si>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</si>
  <si>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</si>
  <si>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</si>
  <si>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</si>
  <si>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</si>
  <si>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</si>
  <si>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</si>
  <si>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</si>
  <si>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</si>
  <si>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</si>
  <si>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</si>
  <si>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</si>
  <si>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</si>
  <si>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</si>
  <si>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</si>
  <si>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</si>
  <si>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</si>
  <si>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</si>
  <si>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</si>
  <si>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</si>
  <si>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</si>
  <si>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</si>
  <si>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</si>
  <si>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</si>
  <si>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</si>
  <si>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</si>
  <si>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</si>
  <si>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</si>
  <si>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</si>
  <si>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</si>
  <si>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</si>
  <si>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</si>
  <si>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</si>
  <si>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</si>
  <si>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</si>
  <si>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</si>
  <si>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</si>
  <si>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</si>
  <si>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</si>
  <si>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</si>
  <si>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</si>
  <si>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</si>
  <si>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</si>
  <si>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</si>
  <si>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</si>
  <si>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</si>
  <si>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</si>
  <si>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</si>
  <si>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</si>
  <si>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</si>
  <si>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</si>
  <si>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</si>
  <si>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</si>
  <si>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</si>
  <si>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</si>
  <si>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</si>
  <si>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</si>
  <si>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</si>
  <si>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</si>
  <si>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</si>
  <si>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</si>
  <si>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</si>
  <si>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</si>
  <si>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</si>
  <si>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</si>
  <si>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</si>
  <si>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</si>
  <si>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</si>
  <si>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</si>
  <si>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</si>
  <si>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</si>
  <si>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</si>
  <si>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</si>
  <si>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</si>
  <si>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</si>
  <si>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</si>
  <si>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</si>
  <si>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</si>
  <si>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</si>
  <si>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</si>
  <si>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</si>
  <si>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</si>
  <si>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</si>
  <si>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</si>
  <si>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</si>
  <si>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</si>
  <si>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</si>
  <si>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</si>
  <si>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</si>
  <si>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</si>
  <si>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</si>
  <si>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</si>
  <si>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</si>
  <si>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</si>
  <si>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</si>
  <si>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</si>
  <si>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</si>
  <si>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</si>
  <si>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</si>
  <si>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</si>
  <si>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</si>
  <si>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</si>
  <si>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</si>
  <si>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</si>
  <si>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</si>
  <si>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</si>
  <si>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</si>
  <si>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</si>
  <si>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</si>
  <si>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</si>
  <si>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</si>
  <si>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</si>
  <si>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</si>
  <si>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</si>
  <si>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</si>
  <si>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</si>
  <si>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</si>
  <si>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</si>
  <si>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</si>
  <si>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</si>
  <si>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</si>
  <si>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</si>
  <si>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</si>
  <si>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</si>
  <si>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</si>
  <si>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</si>
  <si>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</si>
  <si>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</si>
  <si>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</si>
  <si>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</si>
  <si>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</si>
  <si>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</si>
  <si>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</si>
  <si>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</si>
  <si>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</si>
  <si>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</si>
  <si>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</si>
  <si>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</si>
  <si>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</si>
  <si>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</si>
  <si>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</si>
  <si>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</si>
  <si>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</si>
  <si>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</si>
  <si>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</si>
  <si>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</si>
  <si>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</si>
  <si>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</si>
  <si>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</si>
  <si>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</si>
  <si>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</si>
  <si>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</si>
  <si>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</si>
  <si>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</si>
  <si>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</si>
  <si>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</si>
  <si>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</si>
  <si>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</si>
  <si>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</si>
  <si>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</si>
  <si>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</si>
  <si>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</si>
  <si>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</si>
  <si>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</si>
  <si>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</si>
  <si>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</si>
  <si>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</si>
  <si>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</si>
  <si>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</si>
  <si>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</si>
  <si>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</si>
  <si>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</si>
  <si>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</si>
  <si>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</si>
  <si>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</si>
  <si>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</si>
  <si>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</si>
  <si>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</si>
  <si>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</si>
  <si>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</si>
  <si>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</si>
  <si>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</si>
  <si>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</si>
  <si>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</si>
  <si>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</si>
  <si>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</si>
  <si>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</si>
  <si>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</si>
  <si>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</si>
  <si>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</si>
  <si>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</si>
  <si>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</si>
  <si>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</si>
  <si>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</si>
  <si>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</si>
  <si>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</si>
  <si>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</si>
  <si>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</si>
  <si>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</si>
  <si>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</si>
  <si>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</si>
  <si>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</si>
  <si>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</si>
  <si>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</si>
  <si>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</si>
  <si>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</si>
  <si>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</si>
  <si>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</si>
  <si>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</si>
  <si>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</si>
  <si>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</si>
  <si>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</si>
  <si>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</si>
  <si>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</si>
  <si>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</si>
  <si>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</si>
  <si>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</si>
  <si>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</si>
  <si>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不临65条商业街</t>
  </si>
  <si>
    <t>自定义容积率</t>
  </si>
  <si>
    <t>与级别开发程度不一致</t>
  </si>
  <si>
    <t>通路</t>
  </si>
  <si>
    <t>通电</t>
  </si>
  <si>
    <t>通讯</t>
  </si>
  <si>
    <t>通上水</t>
  </si>
  <si>
    <t>通下水</t>
  </si>
  <si>
    <t>燃气</t>
  </si>
  <si>
    <t>平整</t>
  </si>
  <si>
    <t>抵押</t>
  </si>
  <si>
    <t>房地产抵押价值</t>
  </si>
  <si>
    <t>北京市</t>
  </si>
  <si>
    <t>企业</t>
  </si>
  <si>
    <t>幢号</t>
  </si>
  <si>
    <t>层数</t>
  </si>
  <si>
    <t>部位及房号</t>
  </si>
  <si>
    <t>结构</t>
  </si>
  <si>
    <t>建成年份</t>
  </si>
  <si>
    <t>建筑面积</t>
  </si>
  <si>
    <t>混合</t>
  </si>
  <si>
    <t>附1</t>
  </si>
  <si>
    <t>附2</t>
  </si>
  <si>
    <t>砖木</t>
  </si>
  <si>
    <t>是</t>
  </si>
  <si>
    <t>地上</t>
  </si>
  <si>
    <t>地下</t>
  </si>
  <si>
    <t>酒店</t>
    <phoneticPr fontId="7" type="noConversion"/>
  </si>
  <si>
    <t>成新度</t>
  </si>
  <si>
    <t>利息：取LPR加浮动点数</t>
  </si>
  <si>
    <t>较好</t>
  </si>
  <si>
    <t>较差</t>
  </si>
  <si>
    <t>好</t>
  </si>
  <si>
    <t>未包含在土地购买价格中</t>
  </si>
  <si>
    <t>全部缴纳</t>
  </si>
  <si>
    <t>已包含在土地取得成本中</t>
  </si>
  <si>
    <t>标准间</t>
    <phoneticPr fontId="3" type="noConversion"/>
  </si>
  <si>
    <t>单间</t>
    <phoneticPr fontId="3" type="noConversion"/>
  </si>
  <si>
    <t>商务单间</t>
    <phoneticPr fontId="3" type="noConversion"/>
  </si>
  <si>
    <t>商务标准间</t>
    <phoneticPr fontId="3" type="noConversion"/>
  </si>
  <si>
    <t>豪华套间</t>
    <phoneticPr fontId="134" type="noConversion"/>
  </si>
  <si>
    <t>商务套间</t>
    <phoneticPr fontId="3" type="noConversion"/>
  </si>
  <si>
    <t>古典套间</t>
    <phoneticPr fontId="3" type="noConversion"/>
  </si>
  <si>
    <t>成本法</t>
  </si>
  <si>
    <t>收益法-酒店模型</t>
  </si>
  <si>
    <t>出让金+开发费</t>
  </si>
  <si>
    <t>企业提供（在右侧录入）</t>
  </si>
  <si>
    <t>总价</t>
  </si>
  <si>
    <t>成本比率</t>
  </si>
  <si>
    <t>情况3</t>
  </si>
  <si>
    <t>正常</t>
  </si>
  <si>
    <t>自行开发建设</t>
  </si>
  <si>
    <t>非个人房产</t>
  </si>
  <si>
    <r>
      <t>近几年最高是6</t>
    </r>
    <r>
      <rPr>
        <sz val="11"/>
        <color theme="1"/>
        <rFont val="宋体"/>
        <family val="3"/>
        <charset val="134"/>
        <scheme val="minor"/>
      </rPr>
      <t>500左右，今年春节回来酒店基本都是满客</t>
    </r>
    <phoneticPr fontId="134" type="noConversion"/>
  </si>
  <si>
    <t>年收益（万元）</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</si>
</sst>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269" fillId="0" borderId="0" xfId="0" applyFont="1" applyAlignment="1">
      <alignment horizontal="left" vertical="center"/>
    </xf>
    <xf numFmtId="0" fontId="269" fillId="5" borderId="0" xfId="0" applyFont="1" applyFill="1" applyAlignment="1">
      <alignment horizontal="left" vertical="center"/>
    </xf>
    <xf numFmtId="0" fontId="269" fillId="9" borderId="0" xfId="0" applyFont="1" applyFill="1" applyAlignment="1">
      <alignment horizontal="left" vertical="center"/>
    </xf>
    <xf numFmtId="0" fontId="19" fillId="0" borderId="5" xfId="4"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估价对象为北京市房地产，为所有。根据《国有土地使用证》[]，估价对象（分摊）出让国有建设用地使用权面积为3500.6平方米，建筑面积为9852.5平方米。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估价对象为北京市房地产,属开发建设的，该项目尚在开发建设中。根据《国有土地使用证》[]，估价对象（分摊）出让国有建设用地使用权面积为3500.6平方米，规划建筑面积为9852.5平方米。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2023年3月28日</v>
      </c>
    </row>
    <row r="13" spans="1:2" s="1203" customFormat="1">
      <c r="A13" s="1201" t="s">
        <v>529</v>
      </c>
      <c r="B13" s="1202" t="str">
        <f>'预评函-1'!A18</f>
        <v>本次估价的“房地产价值”是指在正常市场情况下，在价值时点2023年3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31055</v>
      </c>
    </row>
    <row r="21" spans="1:2" s="1203" customFormat="1">
      <c r="A21" s="1201" t="s">
        <v>537</v>
      </c>
      <c r="B21" s="1202">
        <f ca="1">'预评函-2'!D7</f>
        <v>31520</v>
      </c>
    </row>
    <row r="22" spans="1:2" s="1203" customFormat="1">
      <c r="A22" s="1201" t="s">
        <v>538</v>
      </c>
      <c r="B22" s="1202" t="str">
        <f ca="1">'预评函-2'!D6</f>
        <v>叁亿壹仟零伍拾伍万元整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31055</v>
      </c>
    </row>
    <row r="31" spans="1:2" s="1203" customFormat="1">
      <c r="A31" s="1201" t="s">
        <v>576</v>
      </c>
      <c r="B31" s="1202">
        <f ca="1">'预评函-2'!D15</f>
        <v>31520</v>
      </c>
    </row>
    <row r="32" spans="1:2" s="1203" customFormat="1">
      <c r="A32" s="1201" t="s">
        <v>543</v>
      </c>
      <c r="B32" s="1202" t="str">
        <f ca="1">'预评函-2'!D14</f>
        <v>叁亿壹仟零伍拾伍万元整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26954</v>
      </c>
    </row>
    <row r="39" spans="1:2" s="1203" customFormat="1">
      <c r="A39" s="1201" t="s">
        <v>545</v>
      </c>
      <c r="B39" s="1202">
        <f ca="1">'预评函-2'!D21</f>
        <v>27358</v>
      </c>
    </row>
    <row r="40" spans="1:2" s="1203" customFormat="1">
      <c r="A40" s="1201" t="s">
        <v>546</v>
      </c>
      <c r="B40" s="1202" t="str">
        <f ca="1">'预评函-2'!D20</f>
        <v>贰亿陆仟玖佰伍拾肆万元整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9852.5</v>
      </c>
    </row>
    <row r="44" spans="1:2" s="1203" customFormat="1">
      <c r="A44" s="1201" t="s">
        <v>575</v>
      </c>
      <c r="B44" s="1202" t="str">
        <f>'预评函-3'!C2</f>
        <v>(分摊)土地面积</v>
      </c>
    </row>
    <row r="45" spans="1:2" s="1203" customFormat="1">
      <c r="A45" s="1201" t="s">
        <v>547</v>
      </c>
      <c r="B45" s="1202">
        <f>'预评函-3'!C4</f>
        <v>3500.6</v>
      </c>
    </row>
    <row r="46" spans="1:2" s="1203" customFormat="1">
      <c r="A46" s="1201" t="s">
        <v>573</v>
      </c>
      <c r="B46" s="1202" t="str">
        <f>'预评函-3'!D2</f>
        <v>出让国有建设用地使用权价值</v>
      </c>
    </row>
    <row r="47" spans="1:2" s="1203" customFormat="1">
      <c r="A47" s="1201" t="s">
        <v>548</v>
      </c>
      <c r="B47" s="1202">
        <f ca="1">'预评函-3'!D4</f>
        <v>25496</v>
      </c>
    </row>
    <row r="48" spans="1:2" s="1203" customFormat="1">
      <c r="A48" s="1201" t="s">
        <v>549</v>
      </c>
      <c r="B48" s="1202">
        <f ca="1">'预评函-3'!E4</f>
        <v>25878</v>
      </c>
    </row>
    <row r="49" spans="1:2" s="1203" customFormat="1">
      <c r="A49" s="1201" t="s">
        <v>550</v>
      </c>
      <c r="B49" s="1202" t="str">
        <f ca="1">'预评函-3'!D5</f>
        <v>贰亿伍仟肆佰玖拾陆万元整</v>
      </c>
    </row>
    <row r="50" spans="1:2" s="1203" customFormat="1">
      <c r="A50" s="1201" t="s">
        <v>574</v>
      </c>
      <c r="B50" s="1202" t="str">
        <f>'预评函-3'!F2</f>
        <v>在建建筑物价值</v>
      </c>
    </row>
    <row r="51" spans="1:2" s="1203" customFormat="1">
      <c r="A51" s="1201" t="s">
        <v>551</v>
      </c>
      <c r="B51" s="1202">
        <f ca="1">'预评函-3'!F4</f>
        <v>5559</v>
      </c>
    </row>
    <row r="52" spans="1:2" s="1203" customFormat="1">
      <c r="A52" s="1201" t="s">
        <v>552</v>
      </c>
      <c r="B52" s="1202">
        <f ca="1">'预评函-3'!G4</f>
        <v>5642</v>
      </c>
    </row>
    <row r="53" spans="1:2" s="1203" customFormat="1">
      <c r="A53" s="1201" t="s">
        <v>580</v>
      </c>
      <c r="B53" s="1202" t="str">
        <f ca="1">'预评函-3'!F5</f>
        <v>伍仟伍佰伍拾玖万元整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2573</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2574</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2429</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4" t="s">
        <v>385</v>
      </c>
      <c r="C54" s="1551" t="s">
        <v>583</v>
      </c>
    </row>
    <row r="55" spans="1:4">
      <c r="A55" s="3494"/>
      <c r="B55" s="1554" t="s">
        <v>386</v>
      </c>
      <c r="C55" s="1551" t="s">
        <v>584</v>
      </c>
    </row>
    <row r="56" spans="1:4">
      <c r="A56" s="3494"/>
      <c r="B56" s="1554" t="s">
        <v>387</v>
      </c>
      <c r="C56" s="1551" t="s">
        <v>588</v>
      </c>
    </row>
    <row r="57" spans="1:4">
      <c r="A57" s="34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2496</v>
      </c>
      <c r="B1" s="3014"/>
      <c r="C1" s="3014"/>
      <c r="D1" s="3014"/>
      <c r="E1" s="3014"/>
      <c r="F1" s="3015"/>
      <c r="I1" s="3437" t="s">
        <v>2589</v>
      </c>
      <c r="J1" s="3226"/>
      <c r="K1" s="3226"/>
      <c r="L1" s="3226"/>
      <c r="M1" s="3226"/>
      <c r="N1" s="3438"/>
      <c r="O1" s="3438"/>
      <c r="P1" s="3438"/>
      <c r="Q1" s="3438"/>
      <c r="R1" s="3438"/>
    </row>
    <row r="2" spans="1:18">
      <c r="A2" s="3017"/>
      <c r="B2" s="3018"/>
      <c r="C2" s="3018"/>
      <c r="D2" s="3018"/>
      <c r="E2" s="3018"/>
      <c r="F2" s="3019"/>
      <c r="I2" s="3495" t="s">
        <v>2576</v>
      </c>
      <c r="J2" s="3495"/>
      <c r="K2" s="3495"/>
      <c r="L2" s="3495"/>
      <c r="M2" s="3495"/>
      <c r="N2" s="3495"/>
      <c r="O2" s="3495"/>
      <c r="P2" s="3495"/>
      <c r="Q2" s="3495"/>
      <c r="R2" s="3495"/>
    </row>
    <row r="3" spans="1:18">
      <c r="A3" s="3020" t="s">
        <v>2497</v>
      </c>
      <c r="B3" s="3021">
        <f>项目基本情况!D3</f>
        <v>45013</v>
      </c>
      <c r="C3" s="3023"/>
      <c r="D3" s="3023"/>
      <c r="E3" s="3023"/>
      <c r="F3" s="3019"/>
      <c r="I3" s="3439"/>
      <c r="J3" s="3439" t="s">
        <v>2580</v>
      </c>
      <c r="K3" s="3439" t="s">
        <v>2581</v>
      </c>
      <c r="L3" s="3439" t="s">
        <v>2582</v>
      </c>
      <c r="M3" s="3439" t="s">
        <v>2583</v>
      </c>
      <c r="N3" s="3440" t="s">
        <v>2584</v>
      </c>
      <c r="O3" s="3440" t="s">
        <v>2585</v>
      </c>
      <c r="P3" s="3440" t="s">
        <v>2586</v>
      </c>
      <c r="Q3" s="3440" t="s">
        <v>2587</v>
      </c>
      <c r="R3" s="3440" t="s">
        <v>2588</v>
      </c>
    </row>
    <row r="4" spans="1:18">
      <c r="A4" s="3020" t="s">
        <v>2498</v>
      </c>
      <c r="B4" s="3023" t="s">
        <v>2499</v>
      </c>
      <c r="C4" s="3023" t="s">
        <v>2500</v>
      </c>
      <c r="D4" s="3023" t="s">
        <v>2501</v>
      </c>
      <c r="E4" s="3023" t="s">
        <v>2502</v>
      </c>
      <c r="F4" s="3019"/>
      <c r="I4" s="3439" t="s">
        <v>2577</v>
      </c>
      <c r="J4" s="3439">
        <v>80</v>
      </c>
      <c r="K4" s="3439">
        <v>70</v>
      </c>
      <c r="L4" s="3439">
        <v>20</v>
      </c>
      <c r="M4" s="3439">
        <v>30</v>
      </c>
      <c r="N4" s="3023">
        <v>45</v>
      </c>
      <c r="O4" s="3023">
        <v>60</v>
      </c>
      <c r="P4" s="3023">
        <v>50</v>
      </c>
      <c r="Q4" s="3023">
        <v>20</v>
      </c>
      <c r="R4" s="3023">
        <v>375</v>
      </c>
    </row>
    <row r="5" spans="1:18">
      <c r="A5" s="3024">
        <v>40</v>
      </c>
      <c r="B5" s="3021">
        <v>46375</v>
      </c>
      <c r="C5" s="3023">
        <f>ROUNDDOWN(MIN((B5-B3)/365,A5),2)</f>
        <v>3.73</v>
      </c>
      <c r="D5" s="3025">
        <f>IF(ISERROR(ROUND(POWER(1+E5,A5-C5)*(POWER(1+E5,C5)-1)/(POWER(1+E5,A5)-1),3)),0,ROUND(POWER(1+E5,A5-C5)*(POWER(1+E5,C5)-1)/(POWER(1+E5,A5)-1),4))</f>
        <v>0.1719</v>
      </c>
      <c r="E5" s="3026">
        <v>0.04</v>
      </c>
      <c r="F5" s="3019"/>
      <c r="I5" s="3439" t="s">
        <v>2578</v>
      </c>
      <c r="J5" s="3439">
        <v>70</v>
      </c>
      <c r="K5" s="3439">
        <v>60</v>
      </c>
      <c r="L5" s="3439">
        <v>15</v>
      </c>
      <c r="M5" s="3439">
        <v>25</v>
      </c>
      <c r="N5" s="3023">
        <v>40</v>
      </c>
      <c r="O5" s="3023">
        <v>50</v>
      </c>
      <c r="P5" s="3023">
        <v>40</v>
      </c>
      <c r="Q5" s="3023">
        <v>15</v>
      </c>
      <c r="R5" s="3023">
        <v>315</v>
      </c>
    </row>
    <row r="6" spans="1:18">
      <c r="A6" s="3024">
        <v>50</v>
      </c>
      <c r="B6" s="3021">
        <v>50028</v>
      </c>
      <c r="C6" s="3023">
        <f>ROUNDDOWN(MIN((B6-B3)/365,A6),2)</f>
        <v>13.73</v>
      </c>
      <c r="D6" s="3025">
        <f>IF(ISERROR(ROUND(POWER(1+E6,A6-C6)*(POWER(1+E6,C6)-1)/(POWER(1+E6,A6)-1),3)),0,ROUND(POWER(1+E6,A6-C6)*(POWER(1+E6,C6)-1)/(POWER(1+E6,A6)-1),4))</f>
        <v>0.48459999999999998</v>
      </c>
      <c r="E6" s="3026">
        <v>0.04</v>
      </c>
      <c r="F6" s="3019"/>
      <c r="I6" s="3439" t="s">
        <v>2579</v>
      </c>
      <c r="J6" s="3439">
        <v>60</v>
      </c>
      <c r="K6" s="3439">
        <v>50</v>
      </c>
      <c r="L6" s="3439">
        <v>10</v>
      </c>
      <c r="M6" s="3439">
        <v>20</v>
      </c>
      <c r="N6" s="3023">
        <v>35</v>
      </c>
      <c r="O6" s="3023">
        <v>40</v>
      </c>
      <c r="P6" s="3023">
        <v>30</v>
      </c>
      <c r="Q6" s="3023">
        <v>10</v>
      </c>
      <c r="R6" s="3023">
        <v>255</v>
      </c>
    </row>
    <row r="7" spans="1:18">
      <c r="A7" s="3024">
        <v>70</v>
      </c>
      <c r="B7" s="3021">
        <v>57333</v>
      </c>
      <c r="C7" s="3023">
        <f>ROUNDDOWN(MIN((B7-B3)/365,A7),2)</f>
        <v>33.75</v>
      </c>
      <c r="D7" s="3025">
        <f>IF(ISERROR(ROUND(POWER(1+E7,A7-C7)*(POWER(1+E7,C7)-1)/(POWER(1+E7,A7)-1),3)),0,ROUND(POWER(1+E7,A7-C7)*(POWER(1+E7,C7)-1)/(POWER(1+E7,A7)-1),4))</f>
        <v>0.78420000000000001</v>
      </c>
      <c r="E7" s="3026">
        <v>0.04</v>
      </c>
      <c r="F7" s="3019"/>
    </row>
    <row r="8" spans="1:18">
      <c r="A8" s="3017"/>
      <c r="B8" s="3018"/>
      <c r="C8" s="3018"/>
      <c r="D8" s="3018"/>
      <c r="E8" s="3018"/>
      <c r="F8" s="3019"/>
    </row>
    <row r="9" spans="1:18">
      <c r="A9" s="3020" t="s">
        <v>2503</v>
      </c>
      <c r="B9" s="3023"/>
      <c r="C9" s="3023"/>
      <c r="D9" s="3023"/>
      <c r="E9" s="3023"/>
      <c r="F9" s="3027"/>
    </row>
    <row r="10" spans="1:18">
      <c r="A10" s="3020" t="s">
        <v>2504</v>
      </c>
      <c r="B10" s="3023"/>
      <c r="C10" s="3023"/>
      <c r="D10" s="3023" t="s">
        <v>2502</v>
      </c>
      <c r="E10" s="3023"/>
      <c r="F10" s="3027" t="s">
        <v>2501</v>
      </c>
    </row>
    <row r="11" spans="1:18">
      <c r="A11" s="3020" t="s">
        <v>2505</v>
      </c>
      <c r="B11" s="3028">
        <v>70</v>
      </c>
      <c r="C11" s="3023" t="s">
        <v>2506</v>
      </c>
      <c r="D11" s="3029">
        <v>4.4999999999999998E-2</v>
      </c>
      <c r="E11" s="3023" t="s">
        <v>2507</v>
      </c>
      <c r="F11" s="3030">
        <f>ROUND(1-(1/(POWER(1+D11,B11))),4)</f>
        <v>0.95409999999999995</v>
      </c>
    </row>
    <row r="12" spans="1:18">
      <c r="A12" s="3020" t="s">
        <v>2508</v>
      </c>
      <c r="B12" s="3028">
        <v>40</v>
      </c>
      <c r="C12" s="3023" t="s">
        <v>2509</v>
      </c>
      <c r="D12" s="3029">
        <v>4.4999999999999998E-2</v>
      </c>
      <c r="E12" s="3023" t="s">
        <v>2510</v>
      </c>
      <c r="F12" s="3030">
        <f>ROUND(1-(1/(POWER(1+D12,B12))),4)</f>
        <v>0.82809999999999995</v>
      </c>
    </row>
    <row r="13" spans="1:18">
      <c r="A13" s="3020" t="s">
        <v>2511</v>
      </c>
      <c r="B13" s="3023"/>
      <c r="C13" s="3023"/>
      <c r="D13" s="3018"/>
      <c r="E13" s="3018"/>
      <c r="F13" s="3019"/>
    </row>
    <row r="14" spans="1:18">
      <c r="A14" s="3020" t="s">
        <v>2512</v>
      </c>
      <c r="B14" s="3028">
        <v>5000</v>
      </c>
      <c r="C14" s="3022"/>
      <c r="D14" s="3018"/>
      <c r="E14" s="3018"/>
      <c r="F14" s="3019"/>
    </row>
    <row r="15" spans="1:18">
      <c r="A15" s="3020" t="s">
        <v>2513</v>
      </c>
      <c r="B15" s="3023">
        <f>ROUND(B14*F12/F11,2)</f>
        <v>4339.6899999999996</v>
      </c>
      <c r="C15" s="3023">
        <f>ROUND(F12/F11,4)</f>
        <v>0.8679</v>
      </c>
      <c r="D15" s="3018"/>
      <c r="E15" s="3018"/>
      <c r="F15" s="3019"/>
    </row>
    <row r="16" spans="1:18">
      <c r="A16" s="3020" t="s">
        <v>2514</v>
      </c>
      <c r="B16" s="3023"/>
      <c r="C16" s="3023"/>
      <c r="D16" s="3018"/>
      <c r="E16" s="3018"/>
      <c r="F16" s="3019"/>
    </row>
    <row r="17" spans="1:13">
      <c r="A17" s="3020" t="s">
        <v>2513</v>
      </c>
      <c r="B17" s="3029">
        <v>4810</v>
      </c>
      <c r="C17" s="3022"/>
      <c r="D17" s="3018"/>
      <c r="E17" s="3018"/>
      <c r="F17" s="3019"/>
    </row>
    <row r="18" spans="1:13" ht="14.25" thickBot="1">
      <c r="A18" s="3031" t="s">
        <v>2512</v>
      </c>
      <c r="B18" s="3032">
        <f>ROUND(B17*F11/F12,2)</f>
        <v>5541.87</v>
      </c>
      <c r="C18" s="3032">
        <f>ROUND(F11/F12,4)</f>
        <v>1.1521999999999999</v>
      </c>
      <c r="D18" s="3033"/>
      <c r="E18" s="3033"/>
      <c r="F18" s="3034"/>
    </row>
    <row r="19" spans="1:13" ht="14.25" thickBot="1"/>
    <row r="20" spans="1:13" s="3069" customFormat="1" ht="14.25" thickTop="1">
      <c r="A20" s="3066" t="s">
        <v>2515</v>
      </c>
      <c r="B20" s="3067"/>
      <c r="C20" s="3067"/>
      <c r="D20" s="3067"/>
      <c r="E20" s="3067"/>
      <c r="F20" s="3067"/>
      <c r="G20" s="3068"/>
      <c r="I20" s="3070" t="s">
        <v>2560</v>
      </c>
      <c r="J20" s="3070" t="s">
        <v>2565</v>
      </c>
      <c r="K20" s="3070"/>
      <c r="L20" s="3070"/>
      <c r="M20" s="3070"/>
    </row>
    <row r="21" spans="1:13">
      <c r="A21" s="3035"/>
      <c r="B21" s="3036" t="s">
        <v>2516</v>
      </c>
      <c r="C21" s="3036" t="s">
        <v>2517</v>
      </c>
      <c r="D21" s="3036" t="s">
        <v>2518</v>
      </c>
      <c r="E21" s="3036" t="s">
        <v>2519</v>
      </c>
      <c r="F21" s="3036" t="s">
        <v>2520</v>
      </c>
      <c r="G21" s="3037" t="s">
        <v>2521</v>
      </c>
      <c r="I21" s="3058">
        <v>5</v>
      </c>
      <c r="J21" s="3058">
        <v>54.2</v>
      </c>
    </row>
    <row r="22" spans="1:13">
      <c r="A22" s="3035" t="s">
        <v>2522</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2523</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2563</v>
      </c>
      <c r="M23" s="3058" t="s">
        <v>2564</v>
      </c>
    </row>
    <row r="24" spans="1:13">
      <c r="A24" s="3035" t="s">
        <v>2524</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2562</v>
      </c>
      <c r="M24" s="3058">
        <v>10</v>
      </c>
    </row>
    <row r="25" spans="1:13">
      <c r="A25" s="3035" t="s">
        <v>2525</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2566</v>
      </c>
      <c r="M25" s="3058">
        <v>8</v>
      </c>
    </row>
    <row r="26" spans="1:13">
      <c r="A26" s="3040"/>
      <c r="B26" s="3041"/>
      <c r="C26" s="3041"/>
      <c r="D26" s="3041"/>
      <c r="E26" s="3041"/>
      <c r="F26" s="3041"/>
      <c r="G26" s="3042"/>
      <c r="I26" s="3058">
        <v>30</v>
      </c>
      <c r="J26" s="3058">
        <v>90.5</v>
      </c>
      <c r="K26" s="3058">
        <f t="shared" si="2"/>
        <v>4.2000000000000028</v>
      </c>
      <c r="L26" s="3058" t="s">
        <v>2567</v>
      </c>
      <c r="M26" s="3058">
        <v>5</v>
      </c>
    </row>
    <row r="27" spans="1:13">
      <c r="A27" s="3040" t="s">
        <v>2526</v>
      </c>
      <c r="B27" s="3041"/>
      <c r="C27" s="3041"/>
      <c r="D27" s="3041"/>
      <c r="E27" s="3041"/>
      <c r="F27" s="3041"/>
      <c r="G27" s="3042"/>
      <c r="I27" s="3058">
        <v>35</v>
      </c>
      <c r="J27" s="3058">
        <v>93.8</v>
      </c>
      <c r="K27" s="3058">
        <f t="shared" si="2"/>
        <v>3.2999999999999972</v>
      </c>
      <c r="L27" s="3058" t="s">
        <v>2568</v>
      </c>
      <c r="M27" s="3058">
        <v>3</v>
      </c>
    </row>
    <row r="28" spans="1:13">
      <c r="A28" s="3040" t="s">
        <v>2527</v>
      </c>
      <c r="B28" s="3041"/>
      <c r="C28" s="3041"/>
      <c r="D28" s="3041"/>
      <c r="E28" s="3041"/>
      <c r="F28" s="3041"/>
      <c r="G28" s="3042"/>
      <c r="I28" s="3058">
        <v>40</v>
      </c>
      <c r="J28" s="3058">
        <v>96.4</v>
      </c>
      <c r="K28" s="3058">
        <f t="shared" si="2"/>
        <v>2.6000000000000085</v>
      </c>
      <c r="L28" s="3058" t="s">
        <v>2569</v>
      </c>
      <c r="M28" s="3058">
        <v>2</v>
      </c>
    </row>
    <row r="29" spans="1:13">
      <c r="A29" s="3040" t="s">
        <v>2528</v>
      </c>
      <c r="B29" s="3041"/>
      <c r="C29" s="3041"/>
      <c r="D29" s="3041"/>
      <c r="E29" s="3041"/>
      <c r="F29" s="3041"/>
      <c r="G29" s="3042"/>
      <c r="I29" s="3058">
        <v>45</v>
      </c>
      <c r="J29" s="3058">
        <v>98.4</v>
      </c>
      <c r="K29" s="3058">
        <f t="shared" si="2"/>
        <v>2</v>
      </c>
    </row>
    <row r="30" spans="1:13">
      <c r="A30" s="3040" t="s">
        <v>2529</v>
      </c>
      <c r="B30" s="3041"/>
      <c r="C30" s="3041"/>
      <c r="D30" s="3041"/>
      <c r="E30" s="3041"/>
      <c r="F30" s="3041"/>
      <c r="G30" s="3042"/>
      <c r="I30" s="3058">
        <v>50</v>
      </c>
      <c r="J30" s="3058">
        <v>100</v>
      </c>
      <c r="K30" s="3058">
        <f t="shared" si="2"/>
        <v>1.5999999999999943</v>
      </c>
    </row>
    <row r="31" spans="1:13">
      <c r="A31" s="3040" t="s">
        <v>2530</v>
      </c>
      <c r="B31" s="3041"/>
      <c r="C31" s="3041"/>
      <c r="D31" s="3041"/>
      <c r="E31" s="3041"/>
      <c r="F31" s="3041"/>
      <c r="G31" s="3042"/>
      <c r="I31" s="3058" t="s">
        <v>2561</v>
      </c>
    </row>
    <row r="32" spans="1:13">
      <c r="A32" s="3040" t="s">
        <v>2531</v>
      </c>
      <c r="B32" s="3041"/>
      <c r="C32" s="3041"/>
      <c r="D32" s="3041"/>
      <c r="E32" s="3041"/>
      <c r="F32" s="3041"/>
      <c r="G32" s="3042"/>
    </row>
    <row r="33" spans="1:13">
      <c r="A33" s="3040" t="s">
        <v>2532</v>
      </c>
      <c r="B33" s="3041"/>
      <c r="C33" s="3041"/>
      <c r="D33" s="3041"/>
      <c r="E33" s="3041"/>
      <c r="F33" s="3041"/>
      <c r="G33" s="3042"/>
      <c r="I33" s="3058" t="s">
        <v>2560</v>
      </c>
      <c r="J33" s="3058" t="s">
        <v>2570</v>
      </c>
    </row>
    <row r="34" spans="1:13">
      <c r="A34" s="3040" t="s">
        <v>2533</v>
      </c>
      <c r="B34" s="3041"/>
      <c r="C34" s="3041"/>
      <c r="D34" s="3041"/>
      <c r="E34" s="3041"/>
      <c r="F34" s="3041"/>
      <c r="G34" s="3042"/>
      <c r="I34" s="3058">
        <v>5</v>
      </c>
      <c r="J34" s="3058">
        <v>55.1</v>
      </c>
    </row>
    <row r="35" spans="1:13">
      <c r="A35" s="3040" t="s">
        <v>2534</v>
      </c>
      <c r="B35" s="3041"/>
      <c r="C35" s="3041"/>
      <c r="D35" s="3041"/>
      <c r="E35" s="3041"/>
      <c r="F35" s="3041"/>
      <c r="G35" s="3042"/>
      <c r="I35" s="3058">
        <v>10</v>
      </c>
      <c r="J35" s="3058">
        <v>67</v>
      </c>
      <c r="K35" s="3058">
        <f>J35-J34</f>
        <v>11.899999999999999</v>
      </c>
    </row>
    <row r="36" spans="1:13">
      <c r="A36" s="3040" t="s">
        <v>2535</v>
      </c>
      <c r="B36" s="3041"/>
      <c r="C36" s="3041"/>
      <c r="D36" s="3041"/>
      <c r="E36" s="3041"/>
      <c r="F36" s="3041"/>
      <c r="G36" s="3042"/>
      <c r="I36" s="3058">
        <v>15</v>
      </c>
      <c r="J36" s="3058">
        <v>76.3</v>
      </c>
      <c r="K36" s="3058">
        <f t="shared" ref="K36:K41" si="3">J36-J35</f>
        <v>9.2999999999999972</v>
      </c>
      <c r="L36" s="3058" t="s">
        <v>2563</v>
      </c>
      <c r="M36" s="3058" t="s">
        <v>2564</v>
      </c>
    </row>
    <row r="37" spans="1:13">
      <c r="A37" s="3040" t="s">
        <v>2536</v>
      </c>
      <c r="B37" s="3041"/>
      <c r="C37" s="3041"/>
      <c r="D37" s="3041"/>
      <c r="E37" s="3041"/>
      <c r="F37" s="3041"/>
      <c r="G37" s="3042"/>
      <c r="I37" s="3058">
        <v>20</v>
      </c>
      <c r="J37" s="3058">
        <v>83.6</v>
      </c>
      <c r="K37" s="3058">
        <f t="shared" si="3"/>
        <v>7.2999999999999972</v>
      </c>
      <c r="L37" s="3058" t="s">
        <v>2562</v>
      </c>
      <c r="M37" s="3058">
        <v>10</v>
      </c>
    </row>
    <row r="38" spans="1:13">
      <c r="A38" s="3040" t="s">
        <v>2537</v>
      </c>
      <c r="B38" s="3041"/>
      <c r="C38" s="3041"/>
      <c r="D38" s="3041"/>
      <c r="E38" s="3041"/>
      <c r="F38" s="3041"/>
      <c r="G38" s="3042"/>
      <c r="I38" s="3058">
        <v>25</v>
      </c>
      <c r="J38" s="3058">
        <v>89.3</v>
      </c>
      <c r="K38" s="3058">
        <f t="shared" si="3"/>
        <v>5.7000000000000028</v>
      </c>
      <c r="L38" s="3058" t="s">
        <v>2566</v>
      </c>
      <c r="M38" s="3058">
        <v>8</v>
      </c>
    </row>
    <row r="39" spans="1:13">
      <c r="A39" s="3040"/>
      <c r="B39" s="3041"/>
      <c r="C39" s="3041"/>
      <c r="D39" s="3041"/>
      <c r="E39" s="3041"/>
      <c r="F39" s="3041"/>
      <c r="G39" s="3042"/>
      <c r="I39" s="3058">
        <v>30</v>
      </c>
      <c r="J39" s="3058">
        <v>93.8</v>
      </c>
      <c r="K39" s="3058">
        <f t="shared" si="3"/>
        <v>4.5</v>
      </c>
      <c r="L39" s="3058" t="s">
        <v>2567</v>
      </c>
      <c r="M39" s="3058">
        <v>6</v>
      </c>
    </row>
    <row r="40" spans="1:13">
      <c r="A40" s="3043" t="s">
        <v>2538</v>
      </c>
      <c r="B40" s="3044"/>
      <c r="C40" s="3044"/>
      <c r="D40" s="3044"/>
      <c r="E40" s="3044"/>
      <c r="F40" s="3044"/>
      <c r="G40" s="3045"/>
      <c r="I40" s="3058">
        <v>35</v>
      </c>
      <c r="J40" s="3058">
        <v>97.2</v>
      </c>
      <c r="K40" s="3058">
        <f t="shared" si="3"/>
        <v>3.4000000000000057</v>
      </c>
      <c r="L40" s="3058" t="s">
        <v>2568</v>
      </c>
      <c r="M40" s="3058">
        <v>3</v>
      </c>
    </row>
    <row r="41" spans="1:13">
      <c r="A41" s="3046" t="s">
        <v>2539</v>
      </c>
      <c r="B41" s="3047" t="s">
        <v>2540</v>
      </c>
      <c r="C41" s="3048" t="s">
        <v>2541</v>
      </c>
      <c r="D41" s="3048" t="s">
        <v>2542</v>
      </c>
      <c r="E41" s="3049"/>
      <c r="F41" s="3050"/>
      <c r="G41" s="3051"/>
      <c r="I41" s="3058">
        <v>40</v>
      </c>
      <c r="J41" s="3058">
        <v>100</v>
      </c>
      <c r="K41" s="3058">
        <f t="shared" si="3"/>
        <v>2.7999999999999972</v>
      </c>
    </row>
    <row r="42" spans="1:13">
      <c r="A42" s="3046" t="s">
        <v>2543</v>
      </c>
      <c r="B42" s="3047" t="s">
        <v>2544</v>
      </c>
      <c r="C42" s="3048" t="s">
        <v>2545</v>
      </c>
      <c r="D42" s="3052" t="s">
        <v>2546</v>
      </c>
      <c r="E42" s="3044" t="s">
        <v>2547</v>
      </c>
      <c r="F42" s="3044"/>
      <c r="G42" s="3045"/>
    </row>
    <row r="43" spans="1:13">
      <c r="A43" s="3046" t="s">
        <v>2548</v>
      </c>
      <c r="B43" s="3047" t="s">
        <v>2549</v>
      </c>
      <c r="C43" s="3048" t="s">
        <v>2550</v>
      </c>
      <c r="D43" s="3048" t="s">
        <v>2551</v>
      </c>
      <c r="E43" s="3049" t="s">
        <v>2552</v>
      </c>
      <c r="F43" s="3050"/>
      <c r="G43" s="3051"/>
      <c r="I43" s="3058" t="s">
        <v>2560</v>
      </c>
      <c r="J43" s="3058" t="s">
        <v>2571</v>
      </c>
    </row>
    <row r="44" spans="1:13">
      <c r="A44" s="3046" t="s">
        <v>2553</v>
      </c>
      <c r="B44" s="3047" t="s">
        <v>2554</v>
      </c>
      <c r="C44" s="3048" t="s">
        <v>2555</v>
      </c>
      <c r="D44" s="3052">
        <v>0.5</v>
      </c>
      <c r="E44" s="3049" t="s">
        <v>2556</v>
      </c>
      <c r="F44" s="3050"/>
      <c r="G44" s="3051"/>
      <c r="I44" s="3058">
        <v>30</v>
      </c>
      <c r="J44" s="3058">
        <v>81.7</v>
      </c>
    </row>
    <row r="45" spans="1:13" ht="14.25" thickBot="1">
      <c r="A45" s="3053" t="s">
        <v>2557</v>
      </c>
      <c r="B45" s="3054" t="s">
        <v>2544</v>
      </c>
      <c r="C45" s="3055" t="s">
        <v>2544</v>
      </c>
      <c r="D45" s="3055" t="s">
        <v>2558</v>
      </c>
      <c r="E45" s="3056" t="s">
        <v>2559</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80" zoomScaleNormal="100" zoomScaleSheetLayoutView="80" workbookViewId="0">
      <selection activeCell="F31" sqref="F3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6" t="str">
        <f>IF(B10="北京市","北京市",C10)&amp;F10&amp;IF(结果表!G1="在建","出让国有建设用地使用权及在建建筑物",IF(结果表!G1="土地","出让国有建设用地使用权",))&amp;B9&amp;"预评估"</f>
        <v>北京市房地产抵押价值预评估</v>
      </c>
      <c r="C1" s="3497"/>
      <c r="D1" s="3497"/>
      <c r="E1" s="3497"/>
      <c r="F1" s="3497"/>
      <c r="G1" s="3497"/>
      <c r="H1" s="3497"/>
      <c r="I1" s="349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45013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3382</v>
      </c>
      <c r="C8" s="2390"/>
      <c r="D8" s="3499" t="s">
        <v>2177</v>
      </c>
      <c r="E8" s="2391" t="s">
        <v>3383</v>
      </c>
      <c r="F8" s="2392"/>
      <c r="G8" s="2663"/>
      <c r="H8" s="2663"/>
      <c r="I8" s="2663"/>
      <c r="J8" s="2439"/>
      <c r="K8" s="2614"/>
      <c r="L8" s="2613"/>
      <c r="M8" s="2613"/>
      <c r="N8" s="2439"/>
      <c r="O8" s="2450"/>
      <c r="P8" s="2439"/>
      <c r="Q8" s="2439"/>
      <c r="R8" s="2439"/>
    </row>
    <row r="9" spans="1:30" ht="13.5" thickBot="1">
      <c r="A9" s="2393" t="s">
        <v>2178</v>
      </c>
      <c r="B9" s="2394" t="s">
        <v>3383</v>
      </c>
      <c r="C9" s="2395"/>
      <c r="D9" s="3500"/>
      <c r="E9" s="2394" t="s">
        <v>587</v>
      </c>
      <c r="F9" s="2396"/>
      <c r="G9" s="2665"/>
      <c r="H9" s="2665"/>
      <c r="I9" s="2665"/>
      <c r="J9" s="2439"/>
      <c r="K9" s="2616"/>
      <c r="L9" s="2613"/>
      <c r="M9" s="2613"/>
      <c r="N9" s="2439"/>
      <c r="O9" s="2450"/>
      <c r="P9" s="2439"/>
      <c r="Q9" s="2439"/>
      <c r="R9" s="2439"/>
    </row>
    <row r="10" spans="1:30" ht="13.5" thickTop="1">
      <c r="A10" s="2397" t="s">
        <v>2179</v>
      </c>
      <c r="B10" s="2398" t="s">
        <v>3384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2572</v>
      </c>
      <c r="J12" s="3062"/>
      <c r="K12" s="2613"/>
      <c r="L12" s="2613"/>
      <c r="M12" s="2439"/>
      <c r="N12" s="2450"/>
      <c r="O12" s="2439"/>
      <c r="P12" s="2439"/>
      <c r="Q12" s="2439"/>
      <c r="AD12" s="1745"/>
    </row>
    <row r="13" spans="1:30">
      <c r="A13" s="3423" t="s">
        <v>3332</v>
      </c>
      <c r="B13" s="2407" t="s">
        <v>2190</v>
      </c>
      <c r="C13" s="856"/>
      <c r="D13" s="856">
        <v>50313</v>
      </c>
      <c r="E13" s="856"/>
      <c r="F13" s="856">
        <v>53965</v>
      </c>
      <c r="G13" s="856"/>
      <c r="H13" s="856"/>
      <c r="I13" s="856"/>
      <c r="J13" s="3062"/>
      <c r="K13" s="2613"/>
      <c r="L13" s="2613"/>
      <c r="M13" s="2439"/>
      <c r="N13" s="2450"/>
      <c r="O13" s="2439"/>
      <c r="P13" s="2439"/>
      <c r="Q13" s="2439"/>
      <c r="AD13" s="1745"/>
    </row>
    <row r="14" spans="1:30">
      <c r="A14" s="1081"/>
      <c r="B14" s="2407" t="s">
        <v>2191</v>
      </c>
      <c r="C14" s="2408"/>
      <c r="D14" s="2408">
        <v>40</v>
      </c>
      <c r="E14" s="2408"/>
      <c r="F14" s="2408">
        <v>50</v>
      </c>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14.52</v>
      </c>
      <c r="E15" s="2410" t="str">
        <f>IF(A13="出让",IF(E13="","",ROUNDDOWN(MIN((E13-$D$3)/365,E14),2)),E14)</f>
        <v/>
      </c>
      <c r="F15" s="2410">
        <f>IF(A13="出让",IF(F13="","",ROUNDDOWN(MIN((F13-$D$3)/365,F14),2)),F14)</f>
        <v>24.52</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6"/>
      <c r="C16" s="3507"/>
      <c r="D16" s="3508"/>
      <c r="E16" s="2413" t="s">
        <v>2194</v>
      </c>
      <c r="F16" s="3509"/>
      <c r="G16" s="3510"/>
      <c r="H16" s="3510"/>
      <c r="I16" s="3511"/>
      <c r="J16" s="2439"/>
      <c r="K16" s="2617"/>
      <c r="L16" s="2451"/>
      <c r="M16" s="2451"/>
      <c r="N16" s="2509"/>
      <c r="O16" s="2451"/>
      <c r="P16" s="2509"/>
      <c r="Q16" s="2439"/>
      <c r="R16" s="2439"/>
    </row>
    <row r="17" spans="1:28">
      <c r="A17" s="313" t="s">
        <v>2195</v>
      </c>
      <c r="B17" s="302" t="s">
        <v>2196</v>
      </c>
      <c r="C17" s="8">
        <f>'数据-汇总表'!E3</f>
        <v>9852.5</v>
      </c>
      <c r="D17" s="2322" t="s">
        <v>2197</v>
      </c>
      <c r="E17" s="3512" t="s">
        <v>2198</v>
      </c>
      <c r="F17" s="3513"/>
      <c r="G17" s="3513"/>
      <c r="H17" s="3513"/>
      <c r="I17" s="3514"/>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3500.6</v>
      </c>
      <c r="D18" s="1092" t="s">
        <v>2201</v>
      </c>
      <c r="E18" s="3515" t="s">
        <v>2202</v>
      </c>
      <c r="F18" s="3516"/>
      <c r="G18" s="3516"/>
      <c r="H18" s="3516"/>
      <c r="I18" s="3517"/>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2" t="s">
        <v>2206</v>
      </c>
      <c r="C20" s="3503"/>
      <c r="D20" s="3504" t="s">
        <v>2207</v>
      </c>
      <c r="E20" s="3505"/>
      <c r="F20" s="2647" t="s">
        <v>1056</v>
      </c>
      <c r="G20" s="2664"/>
      <c r="H20" s="2664"/>
      <c r="I20" s="2664"/>
      <c r="J20" s="2439"/>
      <c r="K20" s="350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9"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9"/>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9"/>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0"/>
      <c r="B30" s="302" t="s">
        <v>2218</v>
      </c>
      <c r="C30" s="3521"/>
      <c r="D30" s="3522"/>
      <c r="E30" s="2664"/>
      <c r="F30" s="2664"/>
      <c r="G30" s="2664"/>
      <c r="H30" s="2664"/>
      <c r="I30" s="2664"/>
      <c r="J30" s="2439"/>
      <c r="K30" s="2616"/>
      <c r="L30" s="2613"/>
      <c r="M30" s="2613"/>
      <c r="N30" s="2439"/>
      <c r="O30" s="2450"/>
      <c r="P30" s="2439"/>
      <c r="Q30" s="2439"/>
      <c r="R30" s="2439"/>
      <c r="S30" s="2439"/>
      <c r="T30" s="2439"/>
      <c r="U30" s="2439"/>
      <c r="V30" s="2439"/>
    </row>
    <row r="31" spans="1:28">
      <c r="A31" s="3523"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8" t="s">
        <v>2228</v>
      </c>
      <c r="T34" s="2428" t="str">
        <f>NUMBERSTRING(7-K34,1)&amp;"通"</f>
        <v>七通</v>
      </c>
      <c r="U34" s="2439"/>
      <c r="V34" s="2439"/>
    </row>
    <row r="35" spans="1:30">
      <c r="A35" s="2429"/>
      <c r="B35" s="3525" t="s">
        <v>2229</v>
      </c>
      <c r="C35" s="3525"/>
      <c r="D35" s="3525"/>
      <c r="E35" s="352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2575</v>
      </c>
      <c r="G36" s="2664"/>
      <c r="H36" s="2664"/>
      <c r="I36" s="2664"/>
      <c r="J36" s="2439"/>
      <c r="K36" s="2616"/>
      <c r="L36" s="2613"/>
      <c r="M36" s="2613"/>
      <c r="N36" s="2439"/>
      <c r="O36" s="2450"/>
      <c r="P36" s="2439"/>
      <c r="Q36" s="2439"/>
      <c r="R36" s="2439"/>
      <c r="S36" s="2439"/>
      <c r="T36" s="2439"/>
      <c r="U36" s="2439"/>
      <c r="V36" s="2439"/>
    </row>
    <row r="37" spans="1:30">
      <c r="A37" s="2630" t="s">
        <v>2230</v>
      </c>
      <c r="B37" s="2431" t="s">
        <v>184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185</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2" width="9.5" style="1573" customWidth="1"/>
    <col min="13"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3500.6</v>
      </c>
      <c r="B3" s="11">
        <f>IF(C3="否",G5-AT5,G5)</f>
        <v>9852.5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9852.5</v>
      </c>
      <c r="H5" s="13">
        <f t="shared" ref="H5:AT5" si="0">SUM(H13:H656)</f>
        <v>9852.5</v>
      </c>
      <c r="I5" s="13">
        <f t="shared" si="0"/>
        <v>9317.7000000000007</v>
      </c>
      <c r="J5" s="13">
        <f t="shared" si="0"/>
        <v>0</v>
      </c>
      <c r="K5" s="13">
        <f t="shared" si="0"/>
        <v>534.79999999999995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9852.5</v>
      </c>
      <c r="BA5" s="15">
        <f t="shared" si="1"/>
        <v>9852.5</v>
      </c>
      <c r="BB5" s="15">
        <f t="shared" si="1"/>
        <v>9317.7000000000007</v>
      </c>
      <c r="BC5" s="15">
        <f t="shared" si="1"/>
        <v>534.79999999999995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3500.6000000000004</v>
      </c>
      <c r="F6" s="13" t="s">
        <v>0</v>
      </c>
      <c r="G6" s="13" t="s">
        <v>1</v>
      </c>
      <c r="H6" s="17">
        <f>SUMIF(I$12:AB$12,"总值",I6:AB6)</f>
        <v>3500.6000000000004</v>
      </c>
      <c r="I6" s="13">
        <f t="shared" ref="I6:AB6" si="2">ROUND($A$3*I5/$B$3,2)</f>
        <v>3310.59</v>
      </c>
      <c r="J6" s="13">
        <f t="shared" si="2"/>
        <v>0</v>
      </c>
      <c r="K6" s="13">
        <f t="shared" si="2"/>
        <v>190.01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3500.6</v>
      </c>
      <c r="AZ6" s="13" t="s">
        <v>2</v>
      </c>
      <c r="BA6" s="13">
        <f>ROUND($AY$6*BA5/$AZ$5,2)</f>
        <v>3500.6</v>
      </c>
      <c r="BB6" s="13">
        <f>ROUND($AY$6*BB5/$AZ$5,2)</f>
        <v>3310.59</v>
      </c>
      <c r="BC6" s="13">
        <f t="shared" ref="BC6:BH6" si="4">ROUND($AY$6*BC5/$AZ$5,2)</f>
        <v>190.01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3397</v>
      </c>
      <c r="J9" s="809"/>
      <c r="K9" s="1603" t="s">
        <v>3398</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3396</v>
      </c>
      <c r="E13" s="13">
        <f>IF($C$3="是",ROUND($A$3*G13/$B$3,2),ROUND($A$3*(G13-AT13)/$B$3,2))</f>
        <v>3500.6</v>
      </c>
      <c r="F13" s="29"/>
      <c r="G13" s="30">
        <f>H13+AC13+AT13</f>
        <v>9852.5</v>
      </c>
      <c r="H13" s="17">
        <f>SUMIF(I$12:AB$12,"总值",I13:AB13)</f>
        <v>9852.5</v>
      </c>
      <c r="I13" s="1626">
        <f>Sheet1!G4+Sheet1!G7+Sheet1!G5+Sheet1!G6+Sheet1!G9+Sheet1!G10+Sheet1!G11+Sheet1!G12+Sheet1!G13+Sheet1!G14+Sheet1!G15</f>
        <v>9317.7000000000007</v>
      </c>
      <c r="J13" s="1626"/>
      <c r="K13" s="1626">
        <f>Sheet1!G8</f>
        <v>534.79999999999995</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3500.6</v>
      </c>
      <c r="AZ13" s="13">
        <f>BA13+BL13</f>
        <v>9852.5</v>
      </c>
      <c r="BA13" s="13">
        <f>SUM(BB13:BK13)</f>
        <v>9852.5</v>
      </c>
      <c r="BB13" s="13">
        <f>IF($D13="是",I13-J13,0)</f>
        <v>9317.7000000000007</v>
      </c>
      <c r="BC13" s="13">
        <f>IF($D13="是",K13-L13,0)</f>
        <v>534.79999999999995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16"/>
  <sheetViews>
    <sheetView workbookViewId="0">
      <selection activeCell="B3" sqref="B3:G16"/>
    </sheetView>
  </sheetViews>
  <sheetFormatPr defaultRowHeight="13.5"/>
  <sheetData>
    <row r="3" spans="2:7" ht="14.25">
      <c r="B3" s="3450" t="s">
        <v>3386</v>
      </c>
      <c r="C3" s="3450" t="s">
        <v>3387</v>
      </c>
      <c r="D3" s="3450" t="s">
        <v>3388</v>
      </c>
      <c r="E3" s="3450" t="s">
        <v>3389</v>
      </c>
      <c r="F3" s="3450" t="s">
        <v>3390</v>
      </c>
      <c r="G3" s="3450" t="s">
        <v>3391</v>
      </c>
    </row>
    <row r="4" spans="2:7" ht="14.25">
      <c r="B4" s="3450">
        <v>1</v>
      </c>
      <c r="C4" s="3450">
        <v>6</v>
      </c>
      <c r="D4" s="3450"/>
      <c r="E4" s="3450" t="s">
        <v>3392</v>
      </c>
      <c r="F4" s="3450">
        <v>95</v>
      </c>
      <c r="G4" s="3450">
        <v>6235.7</v>
      </c>
    </row>
    <row r="5" spans="2:7" ht="14.25">
      <c r="B5" s="3450">
        <v>1</v>
      </c>
      <c r="C5" s="3450"/>
      <c r="D5" s="3450" t="s">
        <v>3393</v>
      </c>
      <c r="E5" s="3450" t="s">
        <v>3392</v>
      </c>
      <c r="F5" s="3450">
        <v>95</v>
      </c>
      <c r="G5" s="3451">
        <v>12.4</v>
      </c>
    </row>
    <row r="6" spans="2:7" ht="14.25">
      <c r="B6" s="3450">
        <v>1</v>
      </c>
      <c r="C6" s="3450"/>
      <c r="D6" s="3450" t="s">
        <v>3394</v>
      </c>
      <c r="E6" s="3450" t="s">
        <v>3392</v>
      </c>
      <c r="F6" s="3450">
        <v>95</v>
      </c>
      <c r="G6" s="3451">
        <v>11.9</v>
      </c>
    </row>
    <row r="7" spans="2:7" ht="14.25">
      <c r="B7" s="3450">
        <v>2</v>
      </c>
      <c r="C7" s="3450">
        <v>7</v>
      </c>
      <c r="D7" s="3450"/>
      <c r="E7" s="3450" t="s">
        <v>3392</v>
      </c>
      <c r="F7" s="3450">
        <v>95</v>
      </c>
      <c r="G7" s="3450">
        <v>2862</v>
      </c>
    </row>
    <row r="8" spans="2:7" ht="14.25">
      <c r="B8" s="3450">
        <v>2</v>
      </c>
      <c r="C8" s="3450">
        <v>-1</v>
      </c>
      <c r="D8" s="3450"/>
      <c r="E8" s="3450" t="s">
        <v>3392</v>
      </c>
      <c r="F8" s="3450">
        <v>95</v>
      </c>
      <c r="G8" s="3452">
        <v>534.79999999999995</v>
      </c>
    </row>
    <row r="9" spans="2:7" ht="14.25">
      <c r="B9" s="3450">
        <v>3</v>
      </c>
      <c r="C9" s="3450"/>
      <c r="D9" s="3450"/>
      <c r="E9" s="3450" t="s">
        <v>3392</v>
      </c>
      <c r="F9" s="3450">
        <v>95</v>
      </c>
      <c r="G9" s="3451">
        <v>21.5</v>
      </c>
    </row>
    <row r="10" spans="2:7" ht="14.25">
      <c r="B10" s="3450">
        <v>4</v>
      </c>
      <c r="C10" s="3450"/>
      <c r="D10" s="3450"/>
      <c r="E10" s="3450" t="s">
        <v>3392</v>
      </c>
      <c r="F10" s="3450">
        <v>95</v>
      </c>
      <c r="G10" s="3451">
        <v>51.7</v>
      </c>
    </row>
    <row r="11" spans="2:7" ht="14.25">
      <c r="B11" s="3450">
        <v>5</v>
      </c>
      <c r="C11" s="3450"/>
      <c r="D11" s="3450"/>
      <c r="E11" s="3450" t="s">
        <v>3395</v>
      </c>
      <c r="F11" s="3450">
        <v>80</v>
      </c>
      <c r="G11" s="3451">
        <v>30</v>
      </c>
    </row>
    <row r="12" spans="2:7" ht="14.25">
      <c r="B12" s="3450">
        <v>6</v>
      </c>
      <c r="C12" s="3450"/>
      <c r="D12" s="3450"/>
      <c r="E12" s="3450" t="s">
        <v>3395</v>
      </c>
      <c r="F12" s="3450">
        <v>80</v>
      </c>
      <c r="G12" s="3451">
        <v>29.9</v>
      </c>
    </row>
    <row r="13" spans="2:7" ht="14.25">
      <c r="B13" s="3450">
        <v>7</v>
      </c>
      <c r="C13" s="3450"/>
      <c r="D13" s="3450"/>
      <c r="E13" s="3450" t="s">
        <v>3392</v>
      </c>
      <c r="F13" s="3450">
        <v>80</v>
      </c>
      <c r="G13" s="3451">
        <v>8.9</v>
      </c>
    </row>
    <row r="14" spans="2:7" ht="14.25">
      <c r="B14" s="3450">
        <v>8</v>
      </c>
      <c r="C14" s="3450"/>
      <c r="D14" s="3450"/>
      <c r="E14" s="3450" t="s">
        <v>3392</v>
      </c>
      <c r="F14" s="3450">
        <v>80</v>
      </c>
      <c r="G14" s="3451">
        <v>45.2</v>
      </c>
    </row>
    <row r="15" spans="2:7" ht="14.25">
      <c r="B15" s="3450">
        <v>9</v>
      </c>
      <c r="C15" s="3450"/>
      <c r="D15" s="3450"/>
      <c r="E15" s="3450" t="s">
        <v>3392</v>
      </c>
      <c r="F15" s="3450">
        <v>70</v>
      </c>
      <c r="G15" s="3451">
        <v>8.5</v>
      </c>
    </row>
    <row r="16" spans="2:7" ht="14.25">
      <c r="B16" s="3450"/>
      <c r="C16" s="3450"/>
      <c r="D16" s="3450"/>
      <c r="E16" s="3450"/>
      <c r="F16" s="3450"/>
      <c r="G16" s="3450">
        <f>SUM(G4:G15)</f>
        <v>9852.5</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100" zoomScaleSheetLayoutView="70" workbookViewId="0">
      <selection activeCell="F41" sqref="F4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5" t="s">
        <v>1131</v>
      </c>
      <c r="B2" s="3535"/>
      <c r="C2" s="3535"/>
      <c r="D2" s="796" t="s">
        <v>1107</v>
      </c>
      <c r="E2" s="1639" t="s">
        <v>1108</v>
      </c>
      <c r="F2" s="2659"/>
      <c r="G2" s="2650"/>
      <c r="H2" s="2651"/>
      <c r="I2" s="2325" t="s">
        <v>1132</v>
      </c>
      <c r="J2" s="2659"/>
      <c r="K2" s="2659"/>
      <c r="L2" s="2659"/>
      <c r="M2" s="2659"/>
      <c r="N2" s="2661"/>
      <c r="O2" s="2659"/>
      <c r="P2" s="2659"/>
    </row>
    <row r="3" spans="1:16" ht="15.75" thickBot="1">
      <c r="A3" s="3536" t="s">
        <v>1105</v>
      </c>
      <c r="B3" s="3536"/>
      <c r="C3" s="3536"/>
      <c r="D3" s="43">
        <f>'数据-基础表'!AY6</f>
        <v>3500.6</v>
      </c>
      <c r="E3" s="43">
        <f>'数据-基础表'!AZ5</f>
        <v>9852.5</v>
      </c>
      <c r="F3" s="2659"/>
      <c r="G3" s="1145"/>
      <c r="H3" s="1026" t="s">
        <v>1106</v>
      </c>
      <c r="I3" s="855">
        <f>ROUND('数据-基础表'!B3/'数据-基础表'!A3,2)</f>
        <v>2.81</v>
      </c>
      <c r="J3" s="2659"/>
      <c r="K3" s="2659"/>
      <c r="L3" s="2659"/>
      <c r="M3" s="2659"/>
      <c r="N3" s="2661"/>
      <c r="O3" s="2659"/>
      <c r="P3" s="2659"/>
    </row>
    <row r="4" spans="1:16" ht="15">
      <c r="A4" s="3537"/>
      <c r="B4" s="3538"/>
      <c r="C4" s="3539"/>
      <c r="D4" s="1641" t="s">
        <v>1107</v>
      </c>
      <c r="E4" s="1642" t="s">
        <v>1108</v>
      </c>
      <c r="F4" s="2659"/>
      <c r="G4" s="2652" t="s">
        <v>1133</v>
      </c>
      <c r="H4" s="1026" t="s">
        <v>1113</v>
      </c>
      <c r="I4" s="855">
        <f>ROUND(SUMIF('数据-基础表'!I9:AS9,"地上",'数据-基础表'!I5:AS5)/'数据-基础表'!A3,2)</f>
        <v>2.66</v>
      </c>
      <c r="J4" s="2659"/>
      <c r="K4" s="2659"/>
      <c r="L4" s="2659"/>
      <c r="M4" s="2659"/>
      <c r="N4" s="2661"/>
      <c r="O4" s="2659"/>
      <c r="P4" s="2659"/>
    </row>
    <row r="5" spans="1:16">
      <c r="A5" s="44" t="s">
        <v>1109</v>
      </c>
      <c r="B5" s="3540" t="s">
        <v>1110</v>
      </c>
      <c r="C5" s="3540"/>
      <c r="D5" s="45">
        <f>ROUND($D$3*E5/$E$3,2)</f>
        <v>0</v>
      </c>
      <c r="E5" s="46">
        <f>SUMIF('数据-基础表'!$11:$11,"住宅",'数据-基础表'!$5:$5)</f>
        <v>0</v>
      </c>
      <c r="F5" s="2659"/>
      <c r="G5" s="1145"/>
      <c r="H5" s="1026" t="s">
        <v>1106</v>
      </c>
      <c r="I5" s="855">
        <f>ROUND(E31/D31,2)</f>
        <v>2.81</v>
      </c>
      <c r="J5" s="2659"/>
      <c r="K5" s="2659"/>
      <c r="L5" s="2659"/>
      <c r="M5" s="2659"/>
      <c r="N5" s="2659"/>
      <c r="O5" s="2659"/>
      <c r="P5" s="2659"/>
    </row>
    <row r="6" spans="1:16" ht="15" thickBot="1">
      <c r="A6" s="1644"/>
      <c r="B6" s="3540" t="s">
        <v>1111</v>
      </c>
      <c r="C6" s="3540"/>
      <c r="D6" s="45">
        <f>ROUND($D$3*E6/$E$3,2)</f>
        <v>3500.6</v>
      </c>
      <c r="E6" s="46">
        <f>E3-E5</f>
        <v>9852.5</v>
      </c>
      <c r="F6" s="2659"/>
      <c r="G6" s="2653" t="s">
        <v>1112</v>
      </c>
      <c r="H6" s="1146" t="s">
        <v>1113</v>
      </c>
      <c r="I6" s="2654">
        <f>ROUND(F31/D31,2)</f>
        <v>2.66</v>
      </c>
      <c r="J6" s="2659"/>
      <c r="K6" s="2659"/>
      <c r="L6" s="2659"/>
      <c r="M6" s="2659"/>
      <c r="N6" s="2659"/>
      <c r="O6" s="2659"/>
      <c r="P6" s="2659"/>
    </row>
    <row r="7" spans="1:16" ht="15.75" thickBot="1">
      <c r="A7" s="3532"/>
      <c r="B7" s="3533"/>
      <c r="C7" s="3534"/>
      <c r="D7" s="1641" t="s">
        <v>1107</v>
      </c>
      <c r="E7" s="1645" t="s">
        <v>1114</v>
      </c>
      <c r="F7" s="2659"/>
      <c r="G7" s="2655" t="s">
        <v>1115</v>
      </c>
      <c r="H7" s="2656"/>
      <c r="I7" s="2657">
        <v>2.66</v>
      </c>
      <c r="J7" s="2659"/>
      <c r="K7" s="2659"/>
      <c r="L7" s="2659"/>
      <c r="M7" s="2659"/>
      <c r="N7" s="2659"/>
      <c r="O7" s="2659"/>
      <c r="P7" s="2659"/>
    </row>
    <row r="8" spans="1:16">
      <c r="A8" s="44" t="s">
        <v>1116</v>
      </c>
      <c r="B8" s="47" t="s">
        <v>1117</v>
      </c>
      <c r="C8" s="45" t="s">
        <v>1118</v>
      </c>
      <c r="D8" s="45">
        <f t="shared" ref="D8:D15" si="0">ROUND($D$3*E8/$E$3,2)</f>
        <v>3310.59</v>
      </c>
      <c r="E8" s="48">
        <f>SUMIF('数据-基础表'!BB10:BK10,"地上",'数据-基础表'!BB5:BK5)</f>
        <v>9317.7000000000007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190.01</v>
      </c>
      <c r="E10" s="48">
        <f>SUMPRODUCT(('数据-基础表'!BB10:BK10="地下")*('数据-基础表'!BB11:BK11="商业")*('数据-基础表'!BB5:BK5))</f>
        <v>534.79999999999995</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3500.6000000000004</v>
      </c>
      <c r="E16" s="50">
        <f>SUM(E8:E15)</f>
        <v>9852.5</v>
      </c>
      <c r="F16" s="2659"/>
      <c r="G16" s="2660"/>
      <c r="H16" s="1648" t="s">
        <v>1135</v>
      </c>
      <c r="I16" s="1649"/>
      <c r="J16" s="1139"/>
      <c r="K16" s="3529" t="s">
        <v>1135</v>
      </c>
      <c r="L16" s="3530"/>
      <c r="M16" s="3530"/>
      <c r="N16" s="3530"/>
      <c r="O16" s="3530"/>
      <c r="P16" s="3531"/>
    </row>
    <row r="17" spans="1:19" ht="15">
      <c r="A17" s="1650" t="s">
        <v>1136</v>
      </c>
      <c r="B17" s="1651" t="s">
        <v>1137</v>
      </c>
      <c r="C17" s="1652" t="s">
        <v>1138</v>
      </c>
      <c r="D17" s="1653" t="s">
        <v>1126</v>
      </c>
      <c r="E17" s="1654" t="s">
        <v>1127</v>
      </c>
      <c r="F17" s="1655"/>
      <c r="G17" s="1656"/>
      <c r="H17" s="1657" t="s">
        <v>1139</v>
      </c>
      <c r="I17" s="1658" t="s">
        <v>1124</v>
      </c>
      <c r="J17" s="1139"/>
      <c r="K17" s="3526" t="s">
        <v>1140</v>
      </c>
      <c r="L17" s="3527"/>
      <c r="M17" s="3528"/>
      <c r="N17" s="3526" t="s">
        <v>1141</v>
      </c>
      <c r="O17" s="3527"/>
      <c r="P17" s="352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3399</v>
      </c>
      <c r="D19" s="45">
        <f>ROUND($D$3*E19/$E$3,2)</f>
        <v>3500.6</v>
      </c>
      <c r="E19" s="53">
        <f t="shared" ref="E19:E26" si="1">SUM(F19:G19)</f>
        <v>9852.5</v>
      </c>
      <c r="F19" s="2795">
        <f>'数据-基础表'!I13</f>
        <v>9317.7000000000007</v>
      </c>
      <c r="G19" s="2796">
        <f>'数据-基础表'!K13</f>
        <v>534.79999999999995</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3500.6</v>
      </c>
      <c r="S19" s="1027">
        <f t="shared" si="5"/>
        <v>9852.5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3500.6</v>
      </c>
      <c r="E27" s="1141">
        <f>IF(SUM(E19:E26)='数据-基础表'!BA5,SUM(E19:E26),IF(F27="地上面积有误","面积有误","地下面积有误"))</f>
        <v>9852.5</v>
      </c>
      <c r="F27" s="1140">
        <f>IF(SUM(F19:F26)=E8,SUM(F19:F26),"地上面积有误")</f>
        <v>9317.7000000000007</v>
      </c>
      <c r="G27" s="1142">
        <f>SUM(G19:G26)</f>
        <v>534.79999999999995</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3500.6</v>
      </c>
      <c r="S27" s="1026">
        <f>IF(SUM(S19:S26)=$E$3,SUM(S19:S26),SUM(S19:S26)&amp;"误差"&amp;ROUND(SUM(S19:S26)-E3,2))</f>
        <v>9852.5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3500.6</v>
      </c>
      <c r="E31" s="676">
        <f>E27+E30</f>
        <v>9852.5</v>
      </c>
      <c r="F31" s="677">
        <f>F27+F30</f>
        <v>9317.7000000000007</v>
      </c>
      <c r="G31" s="678">
        <f>G27+G30</f>
        <v>534.79999999999995</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AH6" activePane="bottomRight" state="frozen"/>
      <selection activeCell="C50" sqref="C50"/>
      <selection pane="topRight" activeCell="C50" sqref="C50"/>
      <selection pane="bottomLeft" activeCell="C50" sqref="C50"/>
      <selection pane="bottomRight" activeCell="B50" sqref="B5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45013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酒店</v>
      </c>
      <c r="B6" s="1713" t="str">
        <f>IF(A6=0,"","经营性")</f>
        <v>经营性</v>
      </c>
      <c r="C6" s="1714" t="s">
        <v>673</v>
      </c>
      <c r="D6" s="858">
        <f>SUMIF(项目基本情况!C$12:I$12,C6,项目基本情况!C$14:I$14)</f>
        <v>40</v>
      </c>
      <c r="E6" s="857">
        <f>IF(B6="","",SUMIF(项目基本情况!C$12:I$12,C6,项目基本情况!C$13:I$13))</f>
        <v>50313</v>
      </c>
      <c r="F6" s="64">
        <f>SUMIF(项目基本情况!C$12:I$12,C6,项目基本情况!C$15:I$15)</f>
        <v>14.52</v>
      </c>
      <c r="G6" s="65">
        <f>IF(ISERROR(ROUND(POWER(1+H6,D6-F6)*(POWER(1+H6,F6)-1)/(POWER(1+H6,D6)-1),3)),0,ROUND(POWER(1+H6,D6-F6)*(POWER(1+H6,F6)-1)/(POWER(1+H6,D6)-1),3))</f>
        <v>0.59199999999999997</v>
      </c>
      <c r="H6" s="732">
        <v>0.05</v>
      </c>
      <c r="I6" s="732">
        <v>5.5E-2</v>
      </c>
      <c r="J6" s="66">
        <v>7.0000000000000007E-2</v>
      </c>
      <c r="K6" s="1030">
        <f>SUMIF('数据-汇总表'!C$19:C$33,A6,'数据-汇总表'!E$19:E$33)</f>
        <v>9852.5</v>
      </c>
      <c r="L6" s="733">
        <v>5000</v>
      </c>
      <c r="M6" s="67">
        <f t="shared" ref="M6:M14" si="0">ROUND(K6*L6/10000,0)</f>
        <v>4926</v>
      </c>
      <c r="N6" s="731">
        <v>0.7</v>
      </c>
      <c r="O6" s="67" t="str">
        <f>IF($N$5="成新度","——",ROUND(M6*N6,0))</f>
        <v>——</v>
      </c>
      <c r="P6" s="68" t="str">
        <f>IF($N$5="成新度","——",M6-O6)</f>
        <v>——</v>
      </c>
      <c r="Q6" s="734">
        <v>0.2</v>
      </c>
      <c r="R6" s="69">
        <f ca="1">SUMIF('数据-汇总表'!C$19:C$33,A6,'数据-汇总表'!R$19:R$27)</f>
        <v>3500.6</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0.01</v>
      </c>
      <c r="AL6" s="79">
        <v>1E-3</v>
      </c>
      <c r="AM6" s="80">
        <v>0.01</v>
      </c>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v>3000</v>
      </c>
      <c r="M14" s="67">
        <f t="shared" si="0"/>
        <v>0</v>
      </c>
      <c r="N14" s="83">
        <f>N6</f>
        <v>0.7</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0.59199999999999997</v>
      </c>
      <c r="H16" s="90">
        <f>ROUND(SUMPRODUCT(H6:H13,K6:K13)/SUMPRODUCT((H6:H13&gt;0)*(K6:K13)),3)</f>
        <v>0.05</v>
      </c>
      <c r="I16" s="91"/>
      <c r="J16" s="91"/>
      <c r="K16" s="92">
        <f>SUM(K6:K15)</f>
        <v>9852.5</v>
      </c>
      <c r="L16" s="93">
        <f>ROUND(M16*10000/SUM(K6:K14),0)</f>
        <v>5000</v>
      </c>
      <c r="M16" s="93">
        <f>SUM(M6:M14)</f>
        <v>4926</v>
      </c>
      <c r="N16" s="94">
        <f>ROUND(SUMPRODUCT(M6:M14,N6:N14)/M16,3)</f>
        <v>0.7</v>
      </c>
      <c r="O16" s="93">
        <f>SUM(O6:O14)</f>
        <v>0</v>
      </c>
      <c r="P16" s="93">
        <f>SUM(P6:P14)</f>
        <v>0</v>
      </c>
      <c r="Q16" s="95">
        <f>ROUND(SUMPRODUCT(Q6:Q13,K6:K13)/SUMPRODUCT((Q6:Q13&gt;0)*(K6:K13)),2)</f>
        <v>0.2</v>
      </c>
      <c r="R16" s="1034">
        <f ca="1">SUM(R6:R13)</f>
        <v>3500.6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197</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3401</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296</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1" t="s">
        <v>2286</v>
      </c>
      <c r="B1" s="3542"/>
      <c r="C1" s="3542"/>
      <c r="D1" s="3542"/>
      <c r="E1" s="3542"/>
      <c r="F1" s="3542"/>
      <c r="G1" s="354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29" sqref="D29"/>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9852.5</v>
      </c>
      <c r="C1" s="2686"/>
      <c r="D1" s="2686"/>
      <c r="E1" s="2686"/>
      <c r="F1" s="2686"/>
      <c r="G1" s="2687"/>
      <c r="H1" s="2688"/>
      <c r="I1" s="2688"/>
      <c r="J1" s="2688"/>
      <c r="K1" s="2688"/>
    </row>
    <row r="2" spans="1:11" ht="16.5">
      <c r="A2" s="2512" t="s">
        <v>653</v>
      </c>
      <c r="B2" s="2512">
        <f>SUM(C14:C23)</f>
        <v>3500.6</v>
      </c>
      <c r="C2" s="2686"/>
      <c r="D2" s="2686"/>
      <c r="E2" s="2686"/>
      <c r="F2" s="2686"/>
      <c r="G2" s="2687"/>
      <c r="H2" s="2688"/>
      <c r="I2" s="2688"/>
      <c r="J2" s="2688"/>
      <c r="K2" s="2688"/>
    </row>
    <row r="3" spans="1:11" ht="16.5">
      <c r="A3" s="2512" t="s">
        <v>662</v>
      </c>
      <c r="B3" s="2514">
        <f>项目基本情况!D3</f>
        <v>45013</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31055</v>
      </c>
      <c r="C5" s="2512">
        <f ca="1">IF(B5=D14,结果表!H102,ROUND(B5*10000/$B$1,0))</f>
        <v>31520</v>
      </c>
      <c r="D5" s="2512">
        <f ca="1">ROUND(B5*10000/$B$2,0)</f>
        <v>88713</v>
      </c>
      <c r="E5" s="2686"/>
      <c r="F5" s="2687"/>
      <c r="G5" s="2687"/>
      <c r="H5" s="2688"/>
      <c r="I5" s="2688"/>
      <c r="J5" s="2688"/>
      <c r="K5" s="2688"/>
    </row>
    <row r="6" spans="1:11" ht="16.5">
      <c r="A6" s="2512" t="s">
        <v>656</v>
      </c>
      <c r="B6" s="2512">
        <f ca="1">SUM(G14:G23)</f>
        <v>31055</v>
      </c>
      <c r="C6" s="2512">
        <f ca="1">IF(B6=G14,结果表!H108,ROUND(B6*10000/$B$1,0))</f>
        <v>31520</v>
      </c>
      <c r="D6" s="2512">
        <f ca="1">ROUND(B6*10000/$B$2,0)</f>
        <v>88713</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f ca="1">IF(B8=I14,结果表!H112,ROUND(B8*10000/$B$1,0))</f>
        <v>27358</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9852.5</v>
      </c>
      <c r="C14" s="2518">
        <f>结果表!C118</f>
        <v>3500.6</v>
      </c>
      <c r="D14" s="2518">
        <f ca="1">结果表!H118</f>
        <v>31055</v>
      </c>
      <c r="E14" s="2518">
        <f ca="1">ROUND(D14*10000/B14,0)</f>
        <v>31520</v>
      </c>
      <c r="F14" s="2518">
        <f ca="1">ROUND(D14*10000/C14,0)</f>
        <v>88713</v>
      </c>
      <c r="G14" s="2518">
        <f ca="1">D14</f>
        <v>31055</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70" zoomScaleNormal="100" zoomScaleSheetLayoutView="70" zoomScalePageLayoutView="80" workbookViewId="0">
      <selection activeCell="D125" sqref="D125:I1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0" t="str">
        <f>项目基本情况!S2</f>
        <v>北京市房地产</v>
      </c>
      <c r="B2" s="3611"/>
      <c r="C2" s="3611"/>
      <c r="D2" s="3611"/>
      <c r="E2" s="3611"/>
      <c r="F2" s="3611"/>
      <c r="G2" s="3611"/>
      <c r="H2" s="3611"/>
      <c r="I2" s="3612"/>
    </row>
    <row r="3" spans="1:12" ht="12.75">
      <c r="A3" s="3614" t="s">
        <v>1264</v>
      </c>
      <c r="B3" s="3615"/>
      <c r="C3" s="3615"/>
      <c r="D3" s="3615"/>
      <c r="E3" s="3615"/>
      <c r="F3" s="3615"/>
      <c r="G3" s="3615"/>
      <c r="H3" s="3615"/>
      <c r="I3" s="3615"/>
    </row>
    <row r="4" spans="1:12" ht="14.25">
      <c r="A4" s="1754" t="s">
        <v>1265</v>
      </c>
      <c r="B4" s="1755" t="s">
        <v>1266</v>
      </c>
      <c r="C4" s="1756" t="s">
        <v>3415</v>
      </c>
      <c r="D4" s="1756" t="s">
        <v>3416</v>
      </c>
      <c r="E4" s="3619" t="s">
        <v>1267</v>
      </c>
      <c r="F4" s="3620"/>
      <c r="G4" s="3620"/>
      <c r="H4" s="3620"/>
      <c r="I4" s="362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8" t="s">
        <v>1268</v>
      </c>
      <c r="B5" s="3613">
        <v>25</v>
      </c>
      <c r="C5" s="3616"/>
      <c r="D5" s="3604"/>
      <c r="E5" s="131" t="s">
        <v>1269</v>
      </c>
      <c r="F5" s="1757"/>
      <c r="G5" s="1757"/>
      <c r="H5" s="1757"/>
      <c r="I5" s="1373"/>
    </row>
    <row r="6" spans="1:12" ht="12.75">
      <c r="A6" s="3558"/>
      <c r="B6" s="3613"/>
      <c r="C6" s="3618"/>
      <c r="D6" s="3604"/>
      <c r="E6" s="131" t="s">
        <v>1270</v>
      </c>
      <c r="F6" s="1757"/>
      <c r="G6" s="1757"/>
      <c r="H6" s="1757"/>
      <c r="I6" s="1373"/>
    </row>
    <row r="7" spans="1:12" ht="12.75">
      <c r="A7" s="3558"/>
      <c r="B7" s="3613"/>
      <c r="C7" s="3617"/>
      <c r="D7" s="3604"/>
      <c r="E7" s="131" t="s">
        <v>1271</v>
      </c>
      <c r="F7" s="1757"/>
      <c r="G7" s="1757"/>
      <c r="H7" s="1757"/>
      <c r="I7" s="1373"/>
    </row>
    <row r="8" spans="1:12" ht="12.75">
      <c r="A8" s="3558" t="s">
        <v>1272</v>
      </c>
      <c r="B8" s="3613">
        <v>15</v>
      </c>
      <c r="C8" s="3616"/>
      <c r="D8" s="3604"/>
      <c r="E8" s="131" t="s">
        <v>1273</v>
      </c>
      <c r="F8" s="1757"/>
      <c r="G8" s="1757"/>
      <c r="H8" s="1757"/>
      <c r="I8" s="1373"/>
    </row>
    <row r="9" spans="1:12" ht="12.75">
      <c r="A9" s="3558"/>
      <c r="B9" s="3613"/>
      <c r="C9" s="3617"/>
      <c r="D9" s="3604"/>
      <c r="E9" s="131" t="s">
        <v>1274</v>
      </c>
      <c r="F9" s="1757"/>
      <c r="G9" s="1757"/>
      <c r="H9" s="1757"/>
      <c r="I9" s="1373"/>
    </row>
    <row r="10" spans="1:12" ht="12.75">
      <c r="A10" s="3558" t="s">
        <v>1275</v>
      </c>
      <c r="B10" s="3613">
        <v>15</v>
      </c>
      <c r="C10" s="3616"/>
      <c r="D10" s="3604"/>
      <c r="E10" s="131" t="s">
        <v>1276</v>
      </c>
      <c r="F10" s="1757"/>
      <c r="G10" s="1757"/>
      <c r="H10" s="1757"/>
      <c r="I10" s="1373"/>
    </row>
    <row r="11" spans="1:12" ht="12.75">
      <c r="A11" s="3558"/>
      <c r="B11" s="3613"/>
      <c r="C11" s="3617"/>
      <c r="D11" s="3604"/>
      <c r="E11" s="131" t="s">
        <v>1277</v>
      </c>
      <c r="F11" s="1757"/>
      <c r="G11" s="1757"/>
      <c r="H11" s="1757"/>
      <c r="I11" s="1373"/>
    </row>
    <row r="12" spans="1:12" ht="12.75">
      <c r="A12" s="3558" t="s">
        <v>1278</v>
      </c>
      <c r="B12" s="3613">
        <v>15</v>
      </c>
      <c r="C12" s="3616"/>
      <c r="D12" s="3604"/>
      <c r="E12" s="131" t="s">
        <v>1279</v>
      </c>
      <c r="F12" s="1757"/>
      <c r="G12" s="1757"/>
      <c r="H12" s="1757"/>
      <c r="I12" s="1373"/>
    </row>
    <row r="13" spans="1:12" ht="12.75">
      <c r="A13" s="3558"/>
      <c r="B13" s="3613"/>
      <c r="C13" s="3617"/>
      <c r="D13" s="3604"/>
      <c r="E13" s="131" t="s">
        <v>1280</v>
      </c>
      <c r="F13" s="1757"/>
      <c r="G13" s="1757"/>
      <c r="H13" s="1757"/>
      <c r="I13" s="1373"/>
    </row>
    <row r="14" spans="1:12" ht="12.75">
      <c r="A14" s="3558" t="s">
        <v>1281</v>
      </c>
      <c r="B14" s="3613">
        <v>30</v>
      </c>
      <c r="C14" s="3616">
        <v>5</v>
      </c>
      <c r="D14" s="3604">
        <v>5</v>
      </c>
      <c r="E14" s="131" t="s">
        <v>1282</v>
      </c>
      <c r="F14" s="1757"/>
      <c r="G14" s="1757"/>
      <c r="H14" s="1757"/>
      <c r="I14" s="1373"/>
    </row>
    <row r="15" spans="1:12" ht="12.75">
      <c r="A15" s="3558"/>
      <c r="B15" s="3613"/>
      <c r="C15" s="3618"/>
      <c r="D15" s="3604"/>
      <c r="E15" s="131" t="s">
        <v>1283</v>
      </c>
      <c r="F15" s="1757"/>
      <c r="G15" s="1757"/>
      <c r="H15" s="1757"/>
      <c r="I15" s="1373"/>
    </row>
    <row r="16" spans="1:12" ht="12.75">
      <c r="A16" s="3558"/>
      <c r="B16" s="3613"/>
      <c r="C16" s="3617"/>
      <c r="D16" s="3604"/>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5" t="s">
        <v>2131</v>
      </c>
      <c r="F18" s="3636"/>
      <c r="G18" s="3636"/>
      <c r="H18" s="3636"/>
      <c r="I18" s="3636"/>
      <c r="K18" s="302" t="s">
        <v>1289</v>
      </c>
      <c r="L18" s="302">
        <f>IF(C1="",'数据-汇总表'!E3,SUMIF(项目类型,C1,'数据-汇总表'!E17:E26)+SUMIF(项目类型,C1,'数据-汇总表'!I17:I26))</f>
        <v>9852.5</v>
      </c>
      <c r="M18" s="302">
        <f>IF(C1="",'数据-汇总表'!E3,SUMIF(项目类型,C1,'数据-汇总表'!E17:E26))</f>
        <v>9852.5</v>
      </c>
    </row>
    <row r="19" spans="1:36" ht="15">
      <c r="A19" s="1761" t="s">
        <v>1290</v>
      </c>
      <c r="B19" s="1762" t="s">
        <v>1291</v>
      </c>
      <c r="C19" s="134">
        <f ca="1">SUMIF(INDIRECT("'"&amp;C4&amp;"'"&amp;"!A:A"),结果表!B19,INDIRECT("'"&amp;C4&amp;"'"&amp;"!B:B"))</f>
        <v>28643</v>
      </c>
      <c r="D19" s="135">
        <f ca="1">SUMIF(INDIRECT("'"&amp;D4&amp;"'"&amp;"!A:A"),结果表!B19,INDIRECT("'"&amp;D4&amp;"'"&amp;"!B:B"))</f>
        <v>33466</v>
      </c>
      <c r="E19" s="1761" t="s">
        <v>1292</v>
      </c>
      <c r="F19" s="1762" t="s">
        <v>1291</v>
      </c>
      <c r="G19" s="136">
        <f ca="1">ROUND(C19*$C$18+D19*$D$18,0)</f>
        <v>31055</v>
      </c>
      <c r="H19" s="1763" t="s">
        <v>1293</v>
      </c>
      <c r="I19" s="129"/>
      <c r="K19" s="302" t="s">
        <v>1294</v>
      </c>
      <c r="L19" s="302">
        <f>IF(C1="",'数据-汇总表'!D3,SUMIF(项目类型,C1,'数据-汇总表'!D17:D26)+SUMIF(项目类型,C1,'数据-汇总表'!H17:H27))</f>
        <v>3500.6</v>
      </c>
      <c r="M19" s="302">
        <f>IF(C1="",'数据-汇总表'!D3,SUMIF(项目类型,C1,'数据-汇总表'!D17:D26))</f>
        <v>3500.6</v>
      </c>
    </row>
    <row r="20" spans="1:36" ht="15">
      <c r="A20" s="1764"/>
      <c r="B20" s="1026" t="s">
        <v>1295</v>
      </c>
      <c r="C20" s="137">
        <f ca="1">SUMIF(INDIRECT("'"&amp;C4&amp;"'"&amp;"!A:A"),结果表!B20,INDIRECT("'"&amp;C4&amp;"'"&amp;"!B:B"))</f>
        <v>29072</v>
      </c>
      <c r="D20" s="138">
        <f ca="1">SUMIF(INDIRECT("'"&amp;D4&amp;"'"&amp;"!A:A"),结果表!B20,INDIRECT("'"&amp;D4&amp;"'"&amp;"!B:B"))</f>
        <v>33967</v>
      </c>
      <c r="E20" s="1764"/>
      <c r="F20" s="1026" t="s">
        <v>1295</v>
      </c>
      <c r="G20" s="139">
        <f ca="1">ROUND(C20*$C$18+D20*$D$18,0)</f>
        <v>31520</v>
      </c>
      <c r="H20" s="808" t="s">
        <v>1296</v>
      </c>
      <c r="I20" s="129"/>
    </row>
    <row r="21" spans="1:36" ht="15" customHeight="1" thickBot="1">
      <c r="A21" s="828"/>
      <c r="B21" s="1765" t="s">
        <v>1297</v>
      </c>
      <c r="C21" s="719">
        <f ca="1">ROUND(C19*10000/L19,0)</f>
        <v>81823</v>
      </c>
      <c r="D21" s="720">
        <f ca="1">ROUND(D19*10000/L19,0)</f>
        <v>95601</v>
      </c>
      <c r="E21" s="828"/>
      <c r="F21" s="1765" t="s">
        <v>1297</v>
      </c>
      <c r="G21" s="140">
        <f ca="1">ROUND(G19*10000/L19,0)</f>
        <v>88713</v>
      </c>
      <c r="H21" s="1766" t="s">
        <v>1296</v>
      </c>
      <c r="I21" s="129"/>
    </row>
    <row r="22" spans="1:36" ht="15" thickBot="1">
      <c r="A22" s="1688" t="s">
        <v>1298</v>
      </c>
      <c r="B22" s="1767"/>
      <c r="C22" s="1768"/>
      <c r="D22" s="721">
        <f ca="1">IF(C19&lt;D19,D19/C19-1,C19/D19-1)</f>
        <v>0.16838320008379015</v>
      </c>
      <c r="E22" s="129"/>
      <c r="F22" s="129"/>
      <c r="G22" s="129"/>
      <c r="H22" s="129"/>
      <c r="I22" s="129"/>
    </row>
    <row r="23" spans="1:36" ht="13.5" thickBot="1">
      <c r="A23" s="1747"/>
      <c r="B23" s="1747"/>
      <c r="C23" s="1747"/>
      <c r="D23" s="1747"/>
      <c r="E23" s="129"/>
      <c r="F23" s="129"/>
      <c r="G23" s="129"/>
      <c r="H23" s="129"/>
      <c r="I23" s="129"/>
    </row>
    <row r="24" spans="1:36" ht="14.25">
      <c r="A24" s="3628" t="s">
        <v>1299</v>
      </c>
      <c r="B24" s="1762" t="s">
        <v>1291</v>
      </c>
      <c r="C24" s="136">
        <f>IF(B30=0,0,D30)</f>
        <v>0</v>
      </c>
      <c r="D24" s="1769"/>
      <c r="E24" s="129"/>
      <c r="F24" s="129"/>
      <c r="G24" s="129"/>
      <c r="H24" s="129"/>
      <c r="I24" s="129"/>
    </row>
    <row r="25" spans="1:36" ht="14.25">
      <c r="A25" s="362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31055</v>
      </c>
      <c r="D32" s="1775" t="s">
        <v>3419</v>
      </c>
      <c r="E32" s="129"/>
      <c r="F32" s="129"/>
      <c r="G32" s="129"/>
      <c r="H32" s="129"/>
      <c r="I32" s="129"/>
    </row>
    <row r="33" spans="1:15" ht="15">
      <c r="A33" s="786" t="s">
        <v>1306</v>
      </c>
      <c r="B33" s="1776"/>
      <c r="C33" s="1777" t="s">
        <v>3420</v>
      </c>
      <c r="D33" s="1778" t="s">
        <v>3415</v>
      </c>
      <c r="E33" s="1779" t="s">
        <v>1307</v>
      </c>
      <c r="F33" s="1780" t="str">
        <f>IF(D32="楼面单价","取值（单价）","取值（总价）")</f>
        <v>取值（总价）</v>
      </c>
      <c r="G33" s="129"/>
      <c r="H33" s="129"/>
      <c r="I33" s="129"/>
    </row>
    <row r="34" spans="1:15" ht="15">
      <c r="A34" s="1781"/>
      <c r="B34" s="1782" t="s">
        <v>1308</v>
      </c>
      <c r="C34" s="148">
        <f ca="1">IF(C33="自定义",F34,C32-C35)</f>
        <v>25496</v>
      </c>
      <c r="D34" s="861">
        <f ca="1">IF(C33="自定义",ROUND(C34/C32,3),IF(C33="收益比率",SUMIF(INDIRECT("'"&amp;D33&amp;"'"&amp;"!b:b"),"土地收益比率",INDIRECT("'"&amp;D33&amp;"'"&amp;"!c:c")),SUMIF(INDIRECT("'"&amp;D33&amp;"'"&amp;"!b:b"),"土地成本比率",INDIRECT("'"&amp;D33&amp;"'"&amp;"!c:c"))))</f>
        <v>0.82099999999999995</v>
      </c>
      <c r="E34" s="1783" t="s">
        <v>1309</v>
      </c>
      <c r="F34" s="1330"/>
      <c r="G34" s="129"/>
      <c r="H34" s="129"/>
      <c r="I34" s="129"/>
    </row>
    <row r="35" spans="1:15" ht="15.75" thickBot="1">
      <c r="A35" s="1784"/>
      <c r="B35" s="1785" t="s">
        <v>1310</v>
      </c>
      <c r="C35" s="1170">
        <f ca="1">IF(C33="自定义",F35,ROUND(C32*D35,0))</f>
        <v>5559</v>
      </c>
      <c r="D35" s="1171">
        <f ca="1">IF(C33="自定义",ROUND(C35/C32,3),IF(C33="收益比率",SUMIF(INDIRECT("'"&amp;D33&amp;"'"&amp;"!b:b"),"建筑物收益比率",INDIRECT("'"&amp;D33&amp;"'"&amp;"!c:c")),SUMIF(INDIRECT("'"&amp;D33&amp;"'"&amp;"!b:b"),"建筑物成本比率",INDIRECT("'"&amp;D33&amp;"'"&amp;"!c:c"))))</f>
        <v>0.17899999999999999</v>
      </c>
      <c r="E35" s="1786" t="s">
        <v>1311</v>
      </c>
      <c r="F35" s="154"/>
      <c r="G35" s="129"/>
      <c r="H35" s="129"/>
      <c r="I35" s="129"/>
    </row>
    <row r="36" spans="1:15" ht="15.75" thickBot="1">
      <c r="A36" s="3605" t="s">
        <v>1312</v>
      </c>
      <c r="B36" s="1787" t="s">
        <v>1313</v>
      </c>
      <c r="C36" s="145"/>
      <c r="D36" s="1788"/>
      <c r="E36" s="1789"/>
      <c r="F36" s="1790"/>
      <c r="G36" s="129"/>
      <c r="H36" s="129"/>
      <c r="I36" s="129"/>
    </row>
    <row r="37" spans="1:15" ht="15.75" thickBot="1">
      <c r="A37" s="3606"/>
      <c r="B37" s="1674" t="s">
        <v>1314</v>
      </c>
      <c r="C37" s="147"/>
      <c r="D37" s="1139"/>
      <c r="E37" s="1139"/>
      <c r="F37" s="1790"/>
      <c r="G37" s="129"/>
      <c r="H37" s="129"/>
      <c r="I37" s="129"/>
    </row>
    <row r="38" spans="1:15" ht="15.75" thickBot="1">
      <c r="A38" s="360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5" t="s">
        <v>1326</v>
      </c>
      <c r="B45" s="3626"/>
      <c r="C45" s="3627"/>
      <c r="D45" s="155">
        <f ca="1">ROUND(H101*F45,0)</f>
        <v>31055</v>
      </c>
      <c r="E45" s="156" t="s">
        <v>1327</v>
      </c>
      <c r="F45" s="157">
        <v>1</v>
      </c>
      <c r="G45" s="158" t="s">
        <v>1328</v>
      </c>
      <c r="H45" s="129"/>
      <c r="I45" s="129"/>
      <c r="J45" s="3545" t="s">
        <v>1329</v>
      </c>
      <c r="K45" s="3545"/>
      <c r="L45" s="3545"/>
      <c r="M45" s="3545"/>
      <c r="N45" s="3545"/>
      <c r="O45" s="3545"/>
    </row>
    <row r="46" spans="1:15" ht="14.25" customHeight="1">
      <c r="A46" s="3622" t="s">
        <v>1330</v>
      </c>
      <c r="B46" s="3623"/>
      <c r="C46" s="3623"/>
      <c r="D46" s="3623"/>
      <c r="E46" s="3623"/>
      <c r="F46" s="3623"/>
      <c r="G46" s="3624"/>
      <c r="H46" s="1806"/>
      <c r="I46" s="159"/>
      <c r="J46" s="2523">
        <v>1</v>
      </c>
      <c r="K46" s="3546" t="s">
        <v>1331</v>
      </c>
      <c r="L46" s="3546"/>
      <c r="M46" s="3547"/>
      <c r="N46" s="3547"/>
      <c r="O46" s="3547"/>
    </row>
    <row r="47" spans="1:15" ht="12" customHeight="1">
      <c r="A47" s="160" t="s">
        <v>1332</v>
      </c>
      <c r="B47" s="161"/>
      <c r="C47" s="162"/>
      <c r="D47" s="1087" t="s">
        <v>1333</v>
      </c>
      <c r="E47" s="302" t="s">
        <v>1334</v>
      </c>
      <c r="F47" s="163" t="s">
        <v>1335</v>
      </c>
      <c r="G47" s="2546" t="s">
        <v>1336</v>
      </c>
      <c r="H47" s="2547"/>
      <c r="I47" s="159"/>
      <c r="J47" s="2523">
        <v>2</v>
      </c>
      <c r="K47" s="3546" t="s">
        <v>1337</v>
      </c>
      <c r="L47" s="3546"/>
      <c r="M47" s="3548">
        <f>'数据-取费表'!B2</f>
        <v>45013</v>
      </c>
      <c r="N47" s="3548"/>
      <c r="O47" s="3548"/>
    </row>
    <row r="48" spans="1:15" ht="25.5">
      <c r="A48" s="3608" t="s">
        <v>1338</v>
      </c>
      <c r="B48" s="3609"/>
      <c r="C48" s="3609"/>
      <c r="D48" s="2324">
        <f ca="1">IF(H48="情况1",0,IF(H48="情况2",D52,IF(H48="情况3",D53,IF(H48="情况4",D54))))</f>
        <v>1656</v>
      </c>
      <c r="E48" s="2334" t="str">
        <f>IF(H48="情况4","(销售额-原购置价)×税（费）率","销售额×税（费）率")</f>
        <v>销售额×税（费）率</v>
      </c>
      <c r="F48" s="2548">
        <f>IF(H48="情况1","免征",'数据-取费表'!B41)</f>
        <v>5.6000000000000001E-2</v>
      </c>
      <c r="G48" s="2549" t="s">
        <v>1339</v>
      </c>
      <c r="H48" s="2550" t="s">
        <v>3421</v>
      </c>
      <c r="I48" s="1806"/>
      <c r="J48" s="2523">
        <v>3</v>
      </c>
      <c r="K48" s="3546" t="s">
        <v>1340</v>
      </c>
      <c r="L48" s="3546"/>
      <c r="M48" s="3549">
        <f ca="1">H101</f>
        <v>31055</v>
      </c>
      <c r="N48" s="3549"/>
      <c r="O48" s="3549"/>
    </row>
    <row r="49" spans="1:35" ht="25.5" customHeight="1">
      <c r="A49" s="2333" t="s">
        <v>1341</v>
      </c>
      <c r="B49" s="3594" t="s">
        <v>1342</v>
      </c>
      <c r="C49" s="3594"/>
      <c r="D49" s="1590">
        <v>0</v>
      </c>
      <c r="E49" s="324" t="s">
        <v>1343</v>
      </c>
      <c r="F49" s="2424" t="s">
        <v>28</v>
      </c>
      <c r="G49" s="3577"/>
      <c r="H49" s="2310" t="s">
        <v>2134</v>
      </c>
      <c r="I49" s="2311"/>
      <c r="J49" s="2523">
        <v>4</v>
      </c>
      <c r="K49" s="3546" t="str">
        <f>IF(项目基本情况!E8="房地产抵押价值","房地产抵押价值","抵押担保权已注销时的房地产抵押价值")</f>
        <v>房地产抵押价值</v>
      </c>
      <c r="L49" s="3546"/>
      <c r="M49" s="3549">
        <f ca="1">IF(项目基本情况!E8="房地产抵押价值",H107,H109)</f>
        <v>31055</v>
      </c>
      <c r="N49" s="3549"/>
      <c r="O49" s="3549"/>
    </row>
    <row r="50" spans="1:35" ht="25.5" customHeight="1">
      <c r="A50" s="2551"/>
      <c r="B50" s="3594" t="s">
        <v>1344</v>
      </c>
      <c r="C50" s="3594"/>
      <c r="D50" s="2552"/>
      <c r="E50" s="332"/>
      <c r="F50" s="2424"/>
      <c r="G50" s="3578"/>
      <c r="H50" s="2312" t="s">
        <v>2135</v>
      </c>
      <c r="I50" s="2311"/>
      <c r="J50" s="3545" t="s">
        <v>1345</v>
      </c>
      <c r="K50" s="3545"/>
      <c r="L50" s="3545"/>
      <c r="M50" s="3545"/>
      <c r="N50" s="3545"/>
      <c r="O50" s="3545"/>
    </row>
    <row r="51" spans="1:35" ht="20.45" customHeight="1">
      <c r="A51" s="2553"/>
      <c r="B51" s="3594" t="s">
        <v>1346</v>
      </c>
      <c r="C51" s="3594"/>
      <c r="D51" s="1087"/>
      <c r="E51" s="327"/>
      <c r="F51" s="2424"/>
      <c r="G51" s="3579"/>
      <c r="H51" s="2312" t="s">
        <v>2136</v>
      </c>
      <c r="I51" s="2311"/>
      <c r="J51" s="2524" t="s">
        <v>1347</v>
      </c>
      <c r="K51" s="3546" t="s">
        <v>1348</v>
      </c>
      <c r="L51" s="3546"/>
      <c r="M51" s="2524" t="s">
        <v>1349</v>
      </c>
      <c r="N51" s="2524" t="s">
        <v>1350</v>
      </c>
      <c r="O51" s="2524" t="s">
        <v>1351</v>
      </c>
    </row>
    <row r="52" spans="1:35" ht="24" customHeight="1">
      <c r="A52" s="2335" t="s">
        <v>1352</v>
      </c>
      <c r="B52" s="3594" t="s">
        <v>1353</v>
      </c>
      <c r="C52" s="3594"/>
      <c r="D52" s="1087">
        <f ca="1">ROUND(D45*'数据-取费表'!B41/(1+'数据-取费表'!C42),0)</f>
        <v>1656</v>
      </c>
      <c r="E52" s="2334" t="s">
        <v>1354</v>
      </c>
      <c r="F52" s="2554">
        <f>'数据-取费表'!B41</f>
        <v>5.6000000000000001E-2</v>
      </c>
      <c r="G52" s="2555"/>
      <c r="H52" s="2544"/>
      <c r="I52" s="1807"/>
      <c r="J52" s="2523">
        <v>1</v>
      </c>
      <c r="K52" s="3571" t="s">
        <v>1355</v>
      </c>
      <c r="L52" s="3571"/>
      <c r="M52" s="2525">
        <f ca="1">D48</f>
        <v>1656</v>
      </c>
      <c r="N52" s="2523" t="str">
        <f>E48</f>
        <v>销售额×税（费）率</v>
      </c>
      <c r="O52" s="2526">
        <f>F48</f>
        <v>5.6000000000000001E-2</v>
      </c>
    </row>
    <row r="53" spans="1:35" ht="12" customHeight="1">
      <c r="A53" s="2335" t="s">
        <v>1356</v>
      </c>
      <c r="B53" s="3595" t="s">
        <v>2291</v>
      </c>
      <c r="C53" s="3596"/>
      <c r="D53" s="1087">
        <f ca="1">ROUND(D45*'数据-取费表'!B41/(1+'数据-取费表'!C42),0)</f>
        <v>1656</v>
      </c>
      <c r="E53" s="2334" t="s">
        <v>1354</v>
      </c>
      <c r="F53" s="2554">
        <f>'数据-取费表'!B41</f>
        <v>5.6000000000000001E-2</v>
      </c>
      <c r="G53" s="2555"/>
      <c r="H53" s="2544"/>
      <c r="I53" s="1807"/>
      <c r="J53" s="2523">
        <v>2</v>
      </c>
      <c r="K53" s="3571" t="s">
        <v>1357</v>
      </c>
      <c r="L53" s="3571"/>
      <c r="M53" s="2525">
        <f t="shared" ref="M53:O54" ca="1" si="0">D55</f>
        <v>16</v>
      </c>
      <c r="N53" s="2523" t="str">
        <f t="shared" si="0"/>
        <v>销售额×税（费）率</v>
      </c>
      <c r="O53" s="2526">
        <f t="shared" si="0"/>
        <v>5.0000000000000001E-4</v>
      </c>
    </row>
    <row r="54" spans="1:35" ht="12" customHeight="1">
      <c r="A54" s="2335" t="s">
        <v>1358</v>
      </c>
      <c r="B54" s="3595" t="s">
        <v>2292</v>
      </c>
      <c r="C54" s="3596"/>
      <c r="D54" s="1087">
        <f ca="1">C68</f>
        <v>1656</v>
      </c>
      <c r="E54" s="327" t="s">
        <v>1359</v>
      </c>
      <c r="F54" s="2554">
        <f>'数据-取费表'!B41</f>
        <v>5.6000000000000001E-2</v>
      </c>
      <c r="G54" s="2555"/>
      <c r="H54" s="2556"/>
      <c r="I54" s="1807"/>
      <c r="J54" s="2523">
        <v>3</v>
      </c>
      <c r="K54" s="3571" t="s">
        <v>1360</v>
      </c>
      <c r="L54" s="3571"/>
      <c r="M54" s="2525">
        <f t="shared" ca="1" si="0"/>
        <v>2429</v>
      </c>
      <c r="N54" s="2523" t="str">
        <f t="shared" si="0"/>
        <v>增值额×税（费）率</v>
      </c>
      <c r="O54" s="2527" t="str">
        <f t="shared" si="0"/>
        <v>——</v>
      </c>
    </row>
    <row r="55" spans="1:35" ht="24" customHeight="1">
      <c r="A55" s="3631" t="s">
        <v>1361</v>
      </c>
      <c r="B55" s="3609"/>
      <c r="C55" s="3609"/>
      <c r="D55" s="2324">
        <f ca="1">IF(H55="个人住宅",0,ROUND(D45*I55,0))</f>
        <v>16</v>
      </c>
      <c r="E55" s="2334" t="s">
        <v>1362</v>
      </c>
      <c r="F55" s="2554">
        <f>IF(H55="正常",I55,"免征")</f>
        <v>5.0000000000000001E-4</v>
      </c>
      <c r="G55" s="2555"/>
      <c r="H55" s="2550" t="s">
        <v>3422</v>
      </c>
      <c r="I55" s="165">
        <f>'数据-取费表'!B49</f>
        <v>5.0000000000000001E-4</v>
      </c>
      <c r="J55" s="2523" t="str">
        <f>IF(H59="非个人房产","",4)</f>
        <v/>
      </c>
      <c r="K55" s="3571" t="str">
        <f>IF(H59="非个人房产","——","个人所得税")</f>
        <v>——</v>
      </c>
      <c r="L55" s="3571"/>
      <c r="M55" s="2528" t="str">
        <f>D59</f>
        <v>——</v>
      </c>
      <c r="N55" s="2040" t="str">
        <f>E59</f>
        <v>——</v>
      </c>
      <c r="O55" s="2529" t="str">
        <f>F59</f>
        <v>——</v>
      </c>
    </row>
    <row r="56" spans="1:35" ht="24.75">
      <c r="A56" s="3631" t="s">
        <v>1363</v>
      </c>
      <c r="B56" s="3609"/>
      <c r="C56" s="3609"/>
      <c r="D56" s="2324">
        <f ca="1">IF(H56="个人住宅",D57,D58)</f>
        <v>2429</v>
      </c>
      <c r="E56" s="2334" t="s">
        <v>1364</v>
      </c>
      <c r="F56" s="2554" t="str">
        <f>IF(H56="正常",F58,"免征")</f>
        <v>——</v>
      </c>
      <c r="G56" s="2557" t="s">
        <v>1365</v>
      </c>
      <c r="H56" s="2558" t="s">
        <v>3422</v>
      </c>
      <c r="I56" s="1808"/>
      <c r="J56" s="2523" t="str">
        <f>IF(项目基本情况!K6="上海银行",IF(J55="",4,J55+1),"")</f>
        <v/>
      </c>
      <c r="K56" s="3552" t="str">
        <f>IF(项目基本情况!K6="上海银行","其他处置费用","")</f>
        <v/>
      </c>
      <c r="L56" s="3553"/>
      <c r="M56" s="2525" t="str">
        <f>IF(项目基本情况!K6="上海银行",M69,"")</f>
        <v/>
      </c>
      <c r="N56" s="3552" t="str">
        <f>IF(项目基本情况!K6="上海银行","包含处置中涉及的律师、诉讼、拍卖、评估等费用","")</f>
        <v/>
      </c>
      <c r="O56" s="3555"/>
    </row>
    <row r="57" spans="1:35" ht="12.75">
      <c r="A57" s="2335" t="s">
        <v>1341</v>
      </c>
      <c r="B57" s="3595" t="s">
        <v>1366</v>
      </c>
      <c r="C57" s="3596"/>
      <c r="D57" s="1590">
        <v>0</v>
      </c>
      <c r="E57" s="324" t="s">
        <v>1343</v>
      </c>
      <c r="F57" s="302"/>
      <c r="G57" s="2555"/>
      <c r="H57" s="2559"/>
      <c r="I57" s="1808"/>
      <c r="J57" s="3571">
        <f>IF(AND(J55="",J56=""),4,IF(项目基本情况!K6="上海银行",结果表!J56+1,结果表!J55+1))</f>
        <v>4</v>
      </c>
      <c r="K57" s="3571" t="s">
        <v>1367</v>
      </c>
      <c r="L57" s="2530" t="s">
        <v>1368</v>
      </c>
      <c r="M57" s="2531"/>
      <c r="N57" s="2532">
        <f ca="1">SUMIF(M52:M56,"&lt;9e307")</f>
        <v>4101</v>
      </c>
      <c r="O57" s="2533"/>
      <c r="P57" s="2690">
        <f ca="1">N57/M49</f>
        <v>0.13205602962485913</v>
      </c>
    </row>
    <row r="58" spans="1:35" ht="24.75">
      <c r="A58" s="2335" t="s">
        <v>1352</v>
      </c>
      <c r="B58" s="3595" t="s">
        <v>1369</v>
      </c>
      <c r="C58" s="3594"/>
      <c r="D58" s="2324">
        <f ca="1">IF(H58="转让取得",C81,C97)</f>
        <v>2429</v>
      </c>
      <c r="E58" s="2334" t="s">
        <v>1364</v>
      </c>
      <c r="F58" s="302" t="s">
        <v>28</v>
      </c>
      <c r="G58" s="2555"/>
      <c r="H58" s="2558" t="s">
        <v>3423</v>
      </c>
      <c r="I58" s="1808"/>
      <c r="J58" s="3571"/>
      <c r="K58" s="3571"/>
      <c r="L58" s="2530" t="s">
        <v>1370</v>
      </c>
      <c r="M58" s="2534"/>
      <c r="N58" s="2535" t="str">
        <f ca="1">NUMBERSTRING(INT(N57*10000),2)&amp;"元整"</f>
        <v>肆仟壹佰零壹万元整</v>
      </c>
      <c r="O58" s="2536"/>
    </row>
    <row r="59" spans="1:35" ht="24.75" thickBot="1">
      <c r="A59" s="3575" t="s">
        <v>1371</v>
      </c>
      <c r="B59" s="3576"/>
      <c r="C59" s="3576"/>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3424</v>
      </c>
      <c r="I59" s="2313" t="s">
        <v>2137</v>
      </c>
      <c r="J59" s="3573">
        <f>J57+1</f>
        <v>5</v>
      </c>
      <c r="K59" s="3571" t="s">
        <v>1372</v>
      </c>
      <c r="L59" s="2523" t="s">
        <v>1368</v>
      </c>
      <c r="M59" s="2537"/>
      <c r="N59" s="2538">
        <f ca="1">M49-N57</f>
        <v>26954</v>
      </c>
      <c r="O59" s="2539"/>
    </row>
    <row r="60" spans="1:35" ht="12" customHeight="1">
      <c r="A60" s="1809"/>
      <c r="B60" s="1747"/>
      <c r="C60" s="1747"/>
      <c r="D60" s="1747"/>
      <c r="E60" s="1578"/>
      <c r="F60" s="1808"/>
      <c r="G60" s="1808"/>
      <c r="H60" s="1810"/>
      <c r="I60" s="129"/>
      <c r="J60" s="3574"/>
      <c r="K60" s="3571"/>
      <c r="L60" s="2530" t="s">
        <v>1370</v>
      </c>
      <c r="M60" s="2534"/>
      <c r="N60" s="2535" t="str">
        <f ca="1">NUMBERSTRING(INT(N59*10000),2)&amp;"元整"</f>
        <v>贰亿陆仟玖佰伍拾肆万元整</v>
      </c>
      <c r="O60" s="2536"/>
    </row>
    <row r="61" spans="1:35" ht="13.5" thickBot="1">
      <c r="A61" s="3630" t="s">
        <v>1373</v>
      </c>
      <c r="B61" s="3630"/>
      <c r="C61" s="3630"/>
      <c r="D61" s="3630"/>
      <c r="E61" s="3630"/>
      <c r="F61" s="1808"/>
      <c r="G61" s="1808"/>
      <c r="H61" s="1810"/>
      <c r="I61" s="129"/>
      <c r="J61" s="2523">
        <f>J59+1</f>
        <v>6</v>
      </c>
      <c r="K61" s="3571" t="s">
        <v>1374</v>
      </c>
      <c r="L61" s="3571"/>
      <c r="M61" s="2540"/>
      <c r="N61" s="2541">
        <f ca="1">ROUND(N59*10000/'数据-汇总表'!E3,0)</f>
        <v>27358</v>
      </c>
      <c r="O61" s="2542"/>
    </row>
    <row r="62" spans="1:35" ht="12.75">
      <c r="A62" s="3590" t="s">
        <v>1375</v>
      </c>
      <c r="B62" s="3591"/>
      <c r="C62" s="2021"/>
      <c r="D62" s="2021" t="s">
        <v>1376</v>
      </c>
      <c r="E62" s="166" t="s">
        <v>1377</v>
      </c>
      <c r="F62" s="1808"/>
      <c r="G62" s="1808"/>
      <c r="H62" s="1810"/>
      <c r="I62" s="129"/>
    </row>
    <row r="63" spans="1:35" ht="12.75">
      <c r="A63" s="173" t="s">
        <v>330</v>
      </c>
      <c r="B63" s="167" t="s">
        <v>1378</v>
      </c>
      <c r="C63" s="2564">
        <f ca="1">ROUND((C64+C65)/(1+'数据-取费表'!C42),0)</f>
        <v>29576</v>
      </c>
      <c r="D63" s="167"/>
      <c r="E63" s="168"/>
      <c r="F63" s="1808"/>
      <c r="G63" s="1808"/>
      <c r="H63" s="1810"/>
      <c r="I63" s="129"/>
      <c r="J63" s="3554" t="s">
        <v>1379</v>
      </c>
      <c r="K63" s="1332" t="s">
        <v>1380</v>
      </c>
      <c r="L63" s="1332">
        <f ca="1">IF(M49&gt;10000,M49*0.5%,IF(AND(M49&gt;1000,M49&lt;=10000),M49*1%,IF(AND(M49&gt;100,M49&lt;=1000),M49*3%,IF(AND(M49&gt;10,M49&lt;=100),M49*5%,M49*8%))))</f>
        <v>155.27500000000001</v>
      </c>
      <c r="M63" s="302">
        <f ca="1">ROUND(L63,1)</f>
        <v>155.30000000000001</v>
      </c>
      <c r="N63" s="2543"/>
      <c r="Z63" s="1752"/>
      <c r="AI63" s="1753"/>
    </row>
    <row r="64" spans="1:35" ht="14.25" customHeight="1">
      <c r="A64" s="169" t="s">
        <v>325</v>
      </c>
      <c r="B64" s="170" t="s">
        <v>1381</v>
      </c>
      <c r="C64" s="2565">
        <f ca="1">D45</f>
        <v>31055</v>
      </c>
      <c r="D64" s="170" t="s">
        <v>26</v>
      </c>
      <c r="E64" s="172"/>
      <c r="F64" s="1808"/>
      <c r="G64" s="1808"/>
      <c r="H64" s="1810"/>
      <c r="I64" s="129"/>
      <c r="J64" s="3554"/>
      <c r="K64" s="1332" t="s">
        <v>1382</v>
      </c>
      <c r="L64" s="1332">
        <f ca="1">IF(M49&gt;2000,M49*0.5%,IF(AND(M49&gt;1000,M49&lt;=2000),M49*0.6%,IF(AND(M49&gt;500,M49&lt;=1000),M49*0.7%,IF(AND(M49&gt;200,M49&lt;=500),M49*0.8%,IF(AND(M49&gt;100,M49&lt;=200),M49*0.9%,IF(AND(M49&gt;50,M49&lt;=100),M49*1%,IF(AND(M49&gt;20,M49&lt;=50),M49*1.5%,IF(AND(M49&gt;10,M49&lt;=20),M49*2%,IF(AND(M49&gt;1,M49&lt;=10),M49*2.5%)))))))))</f>
        <v>155.27500000000001</v>
      </c>
      <c r="M64" s="302">
        <f t="shared" ref="M64:M65" ca="1" si="1">ROUND(L64,1)</f>
        <v>155.30000000000001</v>
      </c>
      <c r="N64" s="2544" t="s">
        <v>1383</v>
      </c>
      <c r="Z64" s="1752"/>
      <c r="AI64" s="1753"/>
    </row>
    <row r="65" spans="1:35" ht="14.25" customHeight="1">
      <c r="A65" s="169" t="s">
        <v>326</v>
      </c>
      <c r="B65" s="170" t="s">
        <v>1384</v>
      </c>
      <c r="C65" s="2566"/>
      <c r="D65" s="170"/>
      <c r="E65" s="172"/>
      <c r="F65" s="1808"/>
      <c r="G65" s="1808"/>
      <c r="H65" s="1810"/>
      <c r="I65" s="129"/>
      <c r="J65" s="3554"/>
      <c r="K65" s="1332" t="s">
        <v>1385</v>
      </c>
      <c r="L65" s="1332">
        <f ca="1">IF(M49&gt;1000,M49*0.1%,IF(AND(M49&gt;500,M49&lt;=1000),M49*0.5%,IF(AND(M49&gt;50,M49&lt;=500),M49*1%,IF(AND(M49&gt;1,M49&lt;=50),M49*1.5%))))</f>
        <v>31.055</v>
      </c>
      <c r="M65" s="302">
        <f t="shared" ca="1" si="1"/>
        <v>31.1</v>
      </c>
      <c r="N65" s="2544" t="s">
        <v>1383</v>
      </c>
      <c r="Z65" s="1752"/>
      <c r="AI65" s="1753"/>
    </row>
    <row r="66" spans="1:35" ht="14.25" customHeight="1">
      <c r="A66" s="173" t="s">
        <v>327</v>
      </c>
      <c r="B66" s="174" t="s">
        <v>1386</v>
      </c>
      <c r="C66" s="2567"/>
      <c r="D66" s="174" t="s">
        <v>26</v>
      </c>
      <c r="E66" s="1338" t="s">
        <v>671</v>
      </c>
      <c r="F66" s="1808"/>
      <c r="G66" s="1808"/>
      <c r="H66" s="1810"/>
      <c r="I66" s="129"/>
      <c r="J66" s="3554"/>
      <c r="K66" s="1332" t="s">
        <v>1387</v>
      </c>
      <c r="L66" s="1332">
        <f ca="1">M49*0.5%</f>
        <v>155.27500000000001</v>
      </c>
      <c r="M66" s="302">
        <f ca="1">IF(L66&gt;0.5,0.5,ROUND(L66,0))</f>
        <v>0.5</v>
      </c>
      <c r="N66" s="2544" t="s">
        <v>1388</v>
      </c>
      <c r="Z66" s="1752"/>
      <c r="AI66" s="1753"/>
    </row>
    <row r="67" spans="1:35" ht="14.25" customHeight="1">
      <c r="A67" s="173" t="s">
        <v>328</v>
      </c>
      <c r="B67" s="174" t="s">
        <v>1389</v>
      </c>
      <c r="C67" s="2568">
        <f ca="1">C63-C66</f>
        <v>29576</v>
      </c>
      <c r="D67" s="170" t="s">
        <v>26</v>
      </c>
      <c r="E67" s="172"/>
      <c r="F67" s="1808"/>
      <c r="G67" s="1808"/>
      <c r="H67" s="1810"/>
      <c r="I67" s="129"/>
      <c r="J67" s="3554"/>
      <c r="K67" s="1332" t="s">
        <v>1390</v>
      </c>
      <c r="L67" s="1332">
        <f ca="1">IF(M49&gt;=10000,(8.25+(M49-10000)*0.01%),IF(AND(M49&gt;=8000,M49&lt;10000),(7.85+(M49-8000)*0.02%),IF(AND(M49&gt;=5000,M49&lt;8000),(6.65+(M49-5000)*0.04%),IF(AND(M49&gt;=2000,M49&lt;5000),(4.25+(PM49-2000)*0.08%),IF(AND(M49&gt;=1000,M49&lt;2000),(2.75+(M49-1000)*0.15%),IF(AND(M49&gt;=100,M49&lt;1000),(0.5+(M49-100)*0.25%),IF(AND(M49&gt;0,M49&lt;100),M49*0.5%)))))))</f>
        <v>10.355499999999999</v>
      </c>
      <c r="M67" s="302">
        <f ca="1">ROUND(L67*0.9,1)</f>
        <v>9.3000000000000007</v>
      </c>
      <c r="N67" s="2543"/>
      <c r="Z67" s="1752"/>
      <c r="AI67" s="1753"/>
    </row>
    <row r="68" spans="1:35" ht="14.25" customHeight="1" thickBot="1">
      <c r="A68" s="176" t="s">
        <v>329</v>
      </c>
      <c r="B68" s="177" t="s">
        <v>1391</v>
      </c>
      <c r="C68" s="2569">
        <f ca="1">IF(C67&lt;=0,0,ROUND(C67*D68,0))</f>
        <v>1656</v>
      </c>
      <c r="D68" s="2570">
        <f>'数据-取费表'!B41</f>
        <v>5.6000000000000001E-2</v>
      </c>
      <c r="E68" s="178"/>
      <c r="F68" s="1808"/>
      <c r="G68" s="1808"/>
      <c r="H68" s="1810"/>
      <c r="I68" s="129"/>
      <c r="J68" s="3554"/>
      <c r="K68" s="1332" t="s">
        <v>1392</v>
      </c>
      <c r="L68" s="1332">
        <f ca="1">IF(M49&gt;10000,M49*0.5%,IF(AND(M49&gt;5000,M49&lt;=10000),M49*1%,IF(AND(M49&gt;1000,M49&lt;=5000),M49*2%,IF(AND(M49&gt;200,M49&lt;=1000),M49*3%,M49*5%))))</f>
        <v>155.27500000000001</v>
      </c>
      <c r="M68" s="302">
        <f ca="1">ROUND(L68,1)</f>
        <v>155.30000000000001</v>
      </c>
      <c r="N68" s="2543"/>
      <c r="Z68" s="1752"/>
      <c r="AI68" s="1753"/>
    </row>
    <row r="69" spans="1:35" s="1772" customFormat="1" ht="16.5" customHeight="1">
      <c r="A69" s="1811"/>
      <c r="B69" s="1812"/>
      <c r="C69" s="1813"/>
      <c r="D69" s="1814"/>
      <c r="E69" s="1815"/>
      <c r="F69" s="1578"/>
      <c r="G69" s="1578"/>
      <c r="H69" s="1577"/>
      <c r="I69" s="1747"/>
      <c r="J69" s="3554"/>
      <c r="K69" s="1332" t="s">
        <v>1393</v>
      </c>
      <c r="L69" s="1332"/>
      <c r="M69" s="302">
        <f ca="1">ROUND(SUM(M63:M68),0)</f>
        <v>507</v>
      </c>
      <c r="N69" s="2545">
        <f ca="1">M69/M49</f>
        <v>1.6325873450330059E-2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8" t="s">
        <v>1394</v>
      </c>
      <c r="B70" s="3599"/>
      <c r="C70" s="3599"/>
      <c r="D70" s="3599"/>
      <c r="E70" s="3599"/>
      <c r="F70" s="3599"/>
      <c r="G70" s="3599"/>
      <c r="H70" s="359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0" t="s">
        <v>1375</v>
      </c>
      <c r="B71" s="359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29576</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177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5" t="s">
        <v>1402</v>
      </c>
      <c r="F76" s="3594"/>
      <c r="G76" s="3594"/>
      <c r="H76" s="359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177</v>
      </c>
      <c r="D78" s="2577">
        <f>'数据-取费表'!B43</f>
        <v>6.000000000000001E-3</v>
      </c>
      <c r="E78" s="3587" t="s">
        <v>1406</v>
      </c>
      <c r="F78" s="3588"/>
      <c r="G78" s="3588"/>
      <c r="H78" s="358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29399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166.09604519774012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17577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8" t="s">
        <v>1410</v>
      </c>
      <c r="B83" s="3599"/>
      <c r="C83" s="3599"/>
      <c r="D83" s="3599"/>
      <c r="E83" s="3599"/>
      <c r="F83" s="3599"/>
      <c r="G83" s="3599"/>
      <c r="H83" s="359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0" t="s">
        <v>1375</v>
      </c>
      <c r="B84" s="359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29576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21480</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12366</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v>12000</v>
      </c>
      <c r="D88" s="2577"/>
      <c r="E88" s="193" t="s">
        <v>1413</v>
      </c>
      <c r="F88" s="2327"/>
      <c r="G88" s="194" t="s">
        <v>1414</v>
      </c>
      <c r="H88" s="1824" t="s">
        <v>3417</v>
      </c>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366</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6" t="s">
        <v>2129</v>
      </c>
      <c r="H90" s="3557"/>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7000</v>
      </c>
      <c r="D91" s="2577"/>
      <c r="E91" s="3587" t="s">
        <v>1419</v>
      </c>
      <c r="F91" s="3588"/>
      <c r="G91" s="3588"/>
      <c r="H91" s="1825" t="s">
        <v>3418</v>
      </c>
      <c r="I91" s="1826">
        <v>7000</v>
      </c>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1937</v>
      </c>
      <c r="D92" s="2583">
        <v>0.1</v>
      </c>
      <c r="E92" s="3587" t="s">
        <v>1422</v>
      </c>
      <c r="F92" s="3588"/>
      <c r="G92" s="3588"/>
      <c r="H92" s="358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177</v>
      </c>
      <c r="D93" s="2577">
        <f>'数据-取费表'!B43</f>
        <v>6.000000000000001E-3</v>
      </c>
      <c r="E93" s="3587" t="s">
        <v>1406</v>
      </c>
      <c r="F93" s="3588"/>
      <c r="G93" s="3588"/>
      <c r="H93" s="358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v>0</v>
      </c>
      <c r="D94" s="2577">
        <v>0.2</v>
      </c>
      <c r="E94" s="3632" t="s">
        <v>1426</v>
      </c>
      <c r="F94" s="3633"/>
      <c r="G94" s="3633"/>
      <c r="H94" s="363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8096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0.37690875232774673</v>
      </c>
      <c r="D96" s="170" t="s">
        <v>26</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2429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7" t="s">
        <v>1428</v>
      </c>
      <c r="B100" s="3538"/>
      <c r="C100" s="3538"/>
      <c r="D100" s="3572"/>
      <c r="E100" s="3538" t="s">
        <v>1429</v>
      </c>
      <c r="F100" s="3538"/>
      <c r="G100" s="3538"/>
      <c r="H100" s="3572"/>
      <c r="I100" s="129"/>
    </row>
    <row r="101" spans="1:35" ht="18.75" customHeight="1">
      <c r="A101" s="3580" t="s">
        <v>1430</v>
      </c>
      <c r="B101" s="3581"/>
      <c r="C101" s="2585" t="str">
        <f>C4</f>
        <v>成本法</v>
      </c>
      <c r="D101" s="2586" t="str">
        <f>D4</f>
        <v>收益法-酒店模型</v>
      </c>
      <c r="E101" s="3550" t="s">
        <v>1431</v>
      </c>
      <c r="F101" s="3551"/>
      <c r="G101" s="1827" t="s">
        <v>1432</v>
      </c>
      <c r="H101" s="2595">
        <f ca="1">H118</f>
        <v>31055</v>
      </c>
      <c r="I101" s="129"/>
    </row>
    <row r="102" spans="1:35" ht="18.75" customHeight="1">
      <c r="A102" s="3582" t="s">
        <v>1433</v>
      </c>
      <c r="B102" s="2584" t="s">
        <v>1432</v>
      </c>
      <c r="C102" s="2585">
        <f ca="1">IF(D32="楼面单价",ROUND(C19,0),C19)</f>
        <v>28643</v>
      </c>
      <c r="D102" s="2586">
        <f ca="1">IF(D32="楼面单价",ROUND(D19,0),D19)</f>
        <v>33466</v>
      </c>
      <c r="E102" s="3550"/>
      <c r="F102" s="3551"/>
      <c r="G102" s="1827" t="s">
        <v>1434</v>
      </c>
      <c r="H102" s="2555">
        <f ca="1">I118</f>
        <v>31520</v>
      </c>
      <c r="I102" s="129"/>
    </row>
    <row r="103" spans="1:35" ht="42.75" customHeight="1">
      <c r="A103" s="3582"/>
      <c r="B103" s="2584" t="s">
        <v>1434</v>
      </c>
      <c r="C103" s="2587">
        <f ca="1">C20</f>
        <v>29072</v>
      </c>
      <c r="D103" s="2588">
        <f ca="1">D20</f>
        <v>33967</v>
      </c>
      <c r="E103" s="3543" t="s">
        <v>1435</v>
      </c>
      <c r="F103" s="3544"/>
      <c r="G103" s="1828" t="s">
        <v>1436</v>
      </c>
      <c r="H103" s="2595">
        <f>IF(D36="正常操作",H104+H105+H106,H105+H106)</f>
        <v>0</v>
      </c>
      <c r="I103" s="129"/>
    </row>
    <row r="104" spans="1:35" ht="18.75" customHeight="1">
      <c r="A104" s="3582" t="s">
        <v>1437</v>
      </c>
      <c r="B104" s="2589" t="s">
        <v>1432</v>
      </c>
      <c r="C104" s="2590">
        <f ca="1">H118</f>
        <v>31055</v>
      </c>
      <c r="D104" s="2591"/>
      <c r="E104" s="1674" t="s">
        <v>1438</v>
      </c>
      <c r="F104" s="1666"/>
      <c r="G104" s="1828" t="s">
        <v>1436</v>
      </c>
      <c r="H104" s="2596">
        <f>IF(D36="同一抵押权人同一抵押物续贷",C36&amp;"（续贷，未扣减，详见特别提示）",C36)</f>
        <v>0</v>
      </c>
      <c r="I104" s="129"/>
    </row>
    <row r="105" spans="1:35" ht="18.75" customHeight="1" thickBot="1">
      <c r="A105" s="3592"/>
      <c r="B105" s="2592" t="s">
        <v>1434</v>
      </c>
      <c r="C105" s="2593">
        <f ca="1">I118</f>
        <v>31520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3" t="str">
        <f>IF(项目基本情况!E8="已注销","——","3.房地产抵押价值")</f>
        <v>3.房地产抵押价值</v>
      </c>
      <c r="F107" s="3551"/>
      <c r="G107" s="1827" t="s">
        <v>1432</v>
      </c>
      <c r="H107" s="2595">
        <f ca="1">IF(E107="——","——",H101-H103)</f>
        <v>31055</v>
      </c>
      <c r="I107" s="129"/>
    </row>
    <row r="108" spans="1:35" ht="18.75" customHeight="1">
      <c r="A108" s="129"/>
      <c r="B108" s="129"/>
      <c r="C108" s="129"/>
      <c r="D108" s="129"/>
      <c r="E108" s="3583"/>
      <c r="F108" s="3551"/>
      <c r="G108" s="1827" t="s">
        <v>1434</v>
      </c>
      <c r="H108" s="2555">
        <f ca="1">IF(H107=H101,H102,ROUND(H107*10000/'数据-汇总表'!E3,0))</f>
        <v>31520</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51"/>
      <c r="G109" s="1827" t="s">
        <v>1432</v>
      </c>
      <c r="H109" s="2598" t="str">
        <f>IF(E109="——","——",H101-H105-H106)</f>
        <v>——</v>
      </c>
      <c r="I109" s="129"/>
    </row>
    <row r="110" spans="1:35" ht="18.75" customHeight="1">
      <c r="A110" s="129"/>
      <c r="B110" s="129"/>
      <c r="C110" s="129"/>
      <c r="D110" s="129"/>
      <c r="E110" s="3583"/>
      <c r="F110" s="3551"/>
      <c r="G110" s="1827" t="s">
        <v>1434</v>
      </c>
      <c r="H110" s="2555" t="str">
        <f>IF(H109="——","——",ROUND(H109*10000/'数据-汇总表'!E3,0))</f>
        <v>——</v>
      </c>
      <c r="I110" s="129"/>
    </row>
    <row r="111" spans="1:35" ht="18.75" customHeight="1">
      <c r="A111" s="129"/>
      <c r="B111" s="129"/>
      <c r="C111" s="129"/>
      <c r="D111" s="129"/>
      <c r="E111" s="3584" t="str">
        <f>IF(项目基本情况!E9="抵押净值",IF(OR(项目基本情况!E8="已注销",项目基本情况!E8="房地产抵押价值"),"4.抵押净值","5.抵押净值"),"——")</f>
        <v>4.抵押净值</v>
      </c>
      <c r="F111" s="3570"/>
      <c r="G111" s="1827" t="s">
        <v>1432</v>
      </c>
      <c r="H111" s="2595">
        <f ca="1">IF(E111="——","——",N59)</f>
        <v>26954</v>
      </c>
      <c r="I111" s="129"/>
    </row>
    <row r="112" spans="1:35" ht="18.75" customHeight="1" thickBot="1">
      <c r="A112" s="129"/>
      <c r="B112" s="129"/>
      <c r="C112" s="129"/>
      <c r="D112" s="129"/>
      <c r="E112" s="3585"/>
      <c r="F112" s="3586"/>
      <c r="G112" s="1830" t="s">
        <v>1434</v>
      </c>
      <c r="H112" s="2599">
        <f ca="1">IF(E111="——","——",N61)</f>
        <v>27358</v>
      </c>
      <c r="I112" s="129"/>
    </row>
    <row r="113" spans="1:27" ht="18.75" customHeight="1">
      <c r="A113" s="129"/>
      <c r="B113" s="129"/>
      <c r="C113" s="129"/>
      <c r="D113" s="129"/>
      <c r="E113" s="3593" t="s">
        <v>1440</v>
      </c>
      <c r="F113" s="3593"/>
      <c r="G113" s="3593"/>
      <c r="H113" s="3593"/>
      <c r="I113" s="129"/>
    </row>
    <row r="114" spans="1:27" ht="3.75" customHeight="1">
      <c r="A114" s="1747"/>
      <c r="B114" s="1747"/>
      <c r="C114" s="1747"/>
      <c r="D114" s="1747"/>
      <c r="E114" s="1809"/>
      <c r="F114" s="1809"/>
      <c r="G114" s="1809"/>
      <c r="H114" s="1809"/>
      <c r="I114" s="1747"/>
    </row>
    <row r="115" spans="1:27" ht="18.75" customHeight="1">
      <c r="A115" s="3601" t="s">
        <v>1442</v>
      </c>
      <c r="B115" s="3602"/>
      <c r="C115" s="3602"/>
      <c r="D115" s="3602"/>
      <c r="E115" s="3602"/>
      <c r="F115" s="3602"/>
      <c r="G115" s="3602"/>
      <c r="H115" s="3602"/>
      <c r="I115" s="3603"/>
    </row>
    <row r="116" spans="1:27" ht="27" customHeight="1">
      <c r="A116" s="3558" t="s">
        <v>1443</v>
      </c>
      <c r="B116" s="3562" t="s">
        <v>1444</v>
      </c>
      <c r="C116" s="3562" t="s">
        <v>1445</v>
      </c>
      <c r="D116" s="3568" t="s">
        <v>1446</v>
      </c>
      <c r="E116" s="3569"/>
      <c r="F116" s="3600" t="s">
        <v>1447</v>
      </c>
      <c r="G116" s="3600"/>
      <c r="H116" s="3558" t="s">
        <v>1448</v>
      </c>
      <c r="I116" s="3558"/>
    </row>
    <row r="117" spans="1:27" ht="18.75" customHeight="1">
      <c r="A117" s="3558"/>
      <c r="B117" s="3563"/>
      <c r="C117" s="3563"/>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9852.5</v>
      </c>
      <c r="C118" s="2329">
        <f>M19</f>
        <v>3500.6</v>
      </c>
      <c r="D118" s="2329">
        <f ca="1">ROUND(IF(D32="总价",C34,E118*B118/10000),0)</f>
        <v>25496</v>
      </c>
      <c r="E118" s="2329">
        <f ca="1">ROUND(IF(C33="自定义",IF(D32="楼面单价",C34,D118*10000/B118),I118-G118),0)</f>
        <v>25878</v>
      </c>
      <c r="F118" s="2329">
        <f ca="1">ROUND(IF(D32="总价",C35,G118*B118/10000),0)</f>
        <v>5559</v>
      </c>
      <c r="G118" s="2329">
        <f ca="1">ROUND(IF(D32="楼面单价",C35,F118*10000/B118),0)</f>
        <v>5642</v>
      </c>
      <c r="H118" s="2329">
        <f ca="1">ROUND(IF(D32="总价",C32,I118*B118/10000),0)</f>
        <v>31055</v>
      </c>
      <c r="I118" s="2329">
        <f ca="1">ROUND(IF(D32="楼面单价",C32,H118*10000/B118),0)</f>
        <v>31520</v>
      </c>
    </row>
    <row r="119" spans="1:27" ht="18.75" customHeight="1">
      <c r="A119" s="3558" t="s">
        <v>1452</v>
      </c>
      <c r="B119" s="3558"/>
      <c r="C119" s="3558"/>
      <c r="D119" s="3564" t="str">
        <f ca="1">NUMBERSTRING(INT(D118*10000),2)&amp;"元整"</f>
        <v>贰亿伍仟肆佰玖拾陆万元整</v>
      </c>
      <c r="E119" s="3565"/>
      <c r="F119" s="3564" t="str">
        <f ca="1">NUMBERSTRING(INT(F118*10000),2)&amp;"元整"</f>
        <v>伍仟伍佰伍拾玖万元整</v>
      </c>
      <c r="G119" s="3565"/>
      <c r="H119" s="3564" t="str">
        <f ca="1">NUMBERSTRING(INT(H118*10000),2)&amp;"元整"</f>
        <v>叁亿壹仟零伍拾伍万元整</v>
      </c>
      <c r="I119" s="3565"/>
    </row>
    <row r="120" spans="1:27" ht="18.75" customHeight="1">
      <c r="A120" s="3559" t="str">
        <f>IF(项目基本情况!B9="房地产市场价值","",MID(E103,3,LEN(E103)-2))</f>
        <v>估价师知悉的法定优先受偿款</v>
      </c>
      <c r="B120" s="3560"/>
      <c r="C120" s="3561"/>
      <c r="D120" s="3559">
        <f>H103</f>
        <v>0</v>
      </c>
      <c r="E120" s="3560"/>
      <c r="F120" s="3560"/>
      <c r="G120" s="3560"/>
      <c r="H120" s="3560"/>
      <c r="I120" s="356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4" t="s">
        <v>1452</v>
      </c>
      <c r="B121" s="3566"/>
      <c r="C121" s="3565"/>
      <c r="D121" s="3564" t="str">
        <f>IF(D120=0,"零元整",NUMBERSTRING(INT(D120*10000),2)&amp;"元整")</f>
        <v>零元整</v>
      </c>
      <c r="E121" s="3566"/>
      <c r="F121" s="3566"/>
      <c r="G121" s="3566"/>
      <c r="H121" s="3566"/>
      <c r="I121" s="3565"/>
      <c r="AA121" s="725"/>
    </row>
    <row r="122" spans="1:27" ht="18.75" customHeight="1">
      <c r="A122" s="3570" t="str">
        <f>IF(项目基本情况!B9="房地产市场价值","",MID(E107,3,LEN(E107)-2))</f>
        <v>房地产抵押价值</v>
      </c>
      <c r="B122" s="3570"/>
      <c r="C122" s="3570"/>
      <c r="D122" s="3559">
        <f ca="1">H107</f>
        <v>31055</v>
      </c>
      <c r="E122" s="3560"/>
      <c r="F122" s="3560"/>
      <c r="G122" s="3560"/>
      <c r="H122" s="3560"/>
      <c r="I122" s="3561"/>
      <c r="AA122" s="725"/>
    </row>
    <row r="123" spans="1:27" ht="18.75" customHeight="1">
      <c r="A123" s="3558" t="s">
        <v>1452</v>
      </c>
      <c r="B123" s="3558"/>
      <c r="C123" s="3558"/>
      <c r="D123" s="3564" t="str">
        <f ca="1">NUMBERSTRING(INT(D122*10000),2)&amp;"元整"</f>
        <v>叁亿壹仟零伍拾伍万元整</v>
      </c>
      <c r="E123" s="3566"/>
      <c r="F123" s="3566"/>
      <c r="G123" s="3566"/>
      <c r="H123" s="3566"/>
      <c r="I123" s="3565"/>
      <c r="AA123" s="725"/>
    </row>
    <row r="124" spans="1:27" ht="18.75" customHeight="1">
      <c r="A124" s="3570" t="str">
        <f>IF(项目基本情况!B9="房地产市场价值","",MID(E109,3,LEN(E109)-2))</f>
        <v/>
      </c>
      <c r="B124" s="3570"/>
      <c r="C124" s="3570"/>
      <c r="D124" s="3559" t="str">
        <f>H109</f>
        <v>——</v>
      </c>
      <c r="E124" s="3560"/>
      <c r="F124" s="3560"/>
      <c r="G124" s="3560"/>
      <c r="H124" s="3560"/>
      <c r="I124" s="3561"/>
      <c r="AA124" s="725"/>
    </row>
    <row r="125" spans="1:27" ht="18.75" customHeight="1">
      <c r="A125" s="3558" t="s">
        <v>1452</v>
      </c>
      <c r="B125" s="3558"/>
      <c r="C125" s="3558"/>
      <c r="D125" s="3564" t="e">
        <f>NUMBERSTRING(INT(D124*10000),2)&amp;"元整"</f>
        <v>#VALUE!</v>
      </c>
      <c r="E125" s="3566"/>
      <c r="F125" s="3566"/>
      <c r="G125" s="3566"/>
      <c r="H125" s="3566"/>
      <c r="I125" s="3565"/>
      <c r="AA125" s="725"/>
    </row>
    <row r="126" spans="1:27" ht="18.75" customHeight="1">
      <c r="A126" s="3570" t="str">
        <f>IF(项目基本情况!B9="房地产市场价值","",MID(E111,3,LEN(E111)-2))</f>
        <v>抵押净值</v>
      </c>
      <c r="B126" s="3570"/>
      <c r="C126" s="3570"/>
      <c r="D126" s="3559">
        <f ca="1">H111</f>
        <v>26954</v>
      </c>
      <c r="E126" s="3560"/>
      <c r="F126" s="3560"/>
      <c r="G126" s="3560"/>
      <c r="H126" s="3560"/>
      <c r="I126" s="3561"/>
      <c r="AA126" s="725"/>
    </row>
    <row r="127" spans="1:27" ht="18.75" customHeight="1">
      <c r="A127" s="3558" t="s">
        <v>1452</v>
      </c>
      <c r="B127" s="3558"/>
      <c r="C127" s="3558"/>
      <c r="D127" s="3564" t="str">
        <f ca="1">NUMBERSTRING(INT(D126*10000),2)&amp;"元整"</f>
        <v>贰亿陆仟玖佰伍拾肆万元整</v>
      </c>
      <c r="E127" s="3566"/>
      <c r="F127" s="3566"/>
      <c r="G127" s="3566"/>
      <c r="H127" s="3566"/>
      <c r="I127" s="3565"/>
      <c r="AA127" s="725"/>
    </row>
    <row r="128" spans="1:27" ht="21.75" customHeight="1">
      <c r="A128" s="3567" t="s">
        <v>1453</v>
      </c>
      <c r="B128" s="3567"/>
      <c r="C128" s="3567"/>
      <c r="D128" s="3567"/>
      <c r="E128" s="3567"/>
      <c r="F128" s="3567"/>
      <c r="G128" s="3567"/>
      <c r="H128" s="3567"/>
      <c r="I128" s="356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北京市房地产抵押价值预评估</v>
      </c>
      <c r="C37" s="3454"/>
      <c r="D37" s="3454"/>
      <c r="E37" s="3454"/>
      <c r="F37" s="3454"/>
      <c r="G37" s="3454"/>
      <c r="H37" s="3454"/>
      <c r="I37" s="34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A20" sqref="A2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28643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29072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16546</v>
      </c>
      <c r="D5" s="211" t="s">
        <v>1469</v>
      </c>
      <c r="E5" s="212" t="s">
        <v>1470</v>
      </c>
      <c r="F5" s="212" t="s">
        <v>1471</v>
      </c>
      <c r="G5" s="213"/>
    </row>
    <row r="6" spans="1:9" s="214" customFormat="1" ht="13.5" customHeight="1">
      <c r="A6" s="778" t="s">
        <v>1472</v>
      </c>
      <c r="B6" s="215" t="s">
        <v>1473</v>
      </c>
      <c r="C6" s="216">
        <f>基准地价修正!B2</f>
        <v>15865</v>
      </c>
      <c r="D6" s="217"/>
      <c r="E6" s="218"/>
      <c r="F6" s="218"/>
      <c r="G6" s="219"/>
    </row>
    <row r="7" spans="1:9" s="214" customFormat="1" ht="13.5" customHeight="1">
      <c r="A7" s="778" t="s">
        <v>1474</v>
      </c>
      <c r="B7" s="215" t="s">
        <v>1475</v>
      </c>
      <c r="C7" s="220">
        <f>ROUND(C6*F7,0)</f>
        <v>484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197</v>
      </c>
      <c r="D8" s="222"/>
      <c r="E8" s="220"/>
      <c r="F8" s="221"/>
      <c r="G8" s="1856" t="s">
        <v>3405</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3406</v>
      </c>
      <c r="H9" s="1137"/>
      <c r="I9" s="1858" t="s">
        <v>1479</v>
      </c>
    </row>
    <row r="10" spans="1:9" s="214" customFormat="1" ht="13.5" customHeight="1">
      <c r="A10" s="779" t="s">
        <v>356</v>
      </c>
      <c r="B10" s="224" t="s">
        <v>1480</v>
      </c>
      <c r="C10" s="225">
        <f ca="1">ROUND(D10*E10/10000,0)</f>
        <v>197</v>
      </c>
      <c r="D10" s="845">
        <f ca="1">IF(B1="",'数据-汇总表'!E6,IF(INDIRECT("'数据-取费表'!c"&amp;$G$1)="住宅",INDIRECT("'数据-取费表'!s"&amp;$G$1),INDIRECT("'数据-取费表'!k"&amp;$G$1)+INDIRECT("'数据-取费表'!s"&amp;$G$1)))</f>
        <v>9852.5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9852.5</v>
      </c>
      <c r="E19" s="211">
        <f>'数据-取费表'!B31</f>
        <v>200</v>
      </c>
      <c r="F19" s="231"/>
      <c r="G19" s="1856" t="s">
        <v>3407</v>
      </c>
    </row>
    <row r="20" spans="1:7" s="214" customFormat="1" ht="13.5" customHeight="1">
      <c r="A20" s="255" t="s">
        <v>1493</v>
      </c>
      <c r="B20" s="210" t="s">
        <v>1494</v>
      </c>
      <c r="C20" s="232">
        <f ca="1">ROUND((C5+C19)*F20,0)</f>
        <v>331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1416</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1402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14</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3375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3375</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23504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5345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4926</v>
      </c>
      <c r="D34" s="217"/>
      <c r="E34" s="220"/>
      <c r="F34" s="257">
        <f ca="1">IF('数据-取费表'!B24=0,1,IF(B1="",'数据-取费表'!N16,INDIRECT("'数据-取费表'!n"&amp;$G$1)))</f>
        <v>1</v>
      </c>
      <c r="G34" s="219" t="s">
        <v>1526</v>
      </c>
    </row>
    <row r="35" spans="1:7" ht="13.5" customHeight="1">
      <c r="A35" s="780" t="s">
        <v>351</v>
      </c>
      <c r="B35" s="215" t="s">
        <v>1527</v>
      </c>
      <c r="C35" s="220">
        <f ca="1">ROUND(C34*F35,0)</f>
        <v>148</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197</v>
      </c>
      <c r="D37" s="217">
        <f ca="1">D19</f>
        <v>9852.5</v>
      </c>
      <c r="E37" s="249">
        <f>'数据-取费表'!B35</f>
        <v>200</v>
      </c>
      <c r="F37" s="259"/>
      <c r="G37" s="261" t="s">
        <v>1532</v>
      </c>
    </row>
    <row r="38" spans="1:7" ht="13.5" customHeight="1">
      <c r="A38" s="780" t="s">
        <v>354</v>
      </c>
      <c r="B38" s="215" t="s">
        <v>1533</v>
      </c>
      <c r="C38" s="220">
        <f ca="1">ROUND(C34*F38,0)</f>
        <v>74</v>
      </c>
      <c r="D38" s="220"/>
      <c r="E38" s="220"/>
      <c r="F38" s="259">
        <f>'数据-取费表'!B36</f>
        <v>1.4999999999999999E-2</v>
      </c>
      <c r="G38" s="219" t="s">
        <v>1528</v>
      </c>
    </row>
    <row r="39" spans="1:7" s="214" customFormat="1" ht="13.5" customHeight="1">
      <c r="A39" s="255" t="s">
        <v>1534</v>
      </c>
      <c r="B39" s="210" t="s">
        <v>1535</v>
      </c>
      <c r="C39" s="232">
        <f ca="1">ROUND(C33*F20,0)</f>
        <v>107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226</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222</v>
      </c>
      <c r="D42" s="238"/>
      <c r="E42" s="238"/>
      <c r="F42" s="239"/>
      <c r="G42" s="3637" t="s">
        <v>1544</v>
      </c>
    </row>
    <row r="43" spans="1:7" ht="13.5" customHeight="1">
      <c r="A43" s="780" t="s">
        <v>347</v>
      </c>
      <c r="B43" s="215" t="s">
        <v>1545</v>
      </c>
      <c r="C43" s="238">
        <f ca="1">ROUND(IF('数据-取费表'!B22&lt;=1,C39*F22*'数据-取费表'!B21/2,C39*(POWER((1+F22),'数据-取费表'!B21/2)-1)),0)</f>
        <v>4</v>
      </c>
      <c r="D43" s="238"/>
      <c r="E43" s="238"/>
      <c r="F43" s="239"/>
      <c r="G43" s="3638"/>
    </row>
    <row r="44" spans="1:7" ht="13.5" customHeight="1">
      <c r="A44" s="780" t="s">
        <v>348</v>
      </c>
      <c r="B44" s="215" t="s">
        <v>1546</v>
      </c>
      <c r="C44" s="238">
        <f ca="1">ROUND(IF('数据-取费表'!B22&lt;=1,C40*F22*'数据-取费表'!B21/2,C40*(POWER((1+F22),'数据-取费表'!B21/2)-1)),4)</f>
        <v>8.0000000000000004E-4</v>
      </c>
      <c r="D44" s="238"/>
      <c r="E44" s="238"/>
      <c r="F44" s="239"/>
      <c r="G44" s="3639"/>
    </row>
    <row r="45" spans="1:7" s="214" customFormat="1" ht="13.5" customHeight="1">
      <c r="A45" s="255" t="s">
        <v>1547</v>
      </c>
      <c r="B45" s="244" t="s">
        <v>1513</v>
      </c>
      <c r="C45" s="245">
        <f ca="1">C46</f>
        <v>1090</v>
      </c>
      <c r="D45" s="235">
        <f ca="1">C47</f>
        <v>4.0000000000000001E-3</v>
      </c>
      <c r="E45" s="236" t="s">
        <v>1539</v>
      </c>
      <c r="F45" s="246">
        <f ca="1">F27</f>
        <v>0.2</v>
      </c>
      <c r="G45" s="247" t="s">
        <v>1548</v>
      </c>
    </row>
    <row r="46" spans="1:7" s="214" customFormat="1" ht="13.5" customHeight="1">
      <c r="A46" s="780" t="s">
        <v>346</v>
      </c>
      <c r="B46" s="248" t="s">
        <v>1549</v>
      </c>
      <c r="C46" s="249">
        <f ca="1">ROUND((C33+C39)*F27,0)</f>
        <v>1090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7341</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5139</v>
      </c>
      <c r="D51" s="232"/>
      <c r="E51" s="232"/>
      <c r="F51" s="264"/>
      <c r="G51" s="234" t="s">
        <v>1560</v>
      </c>
    </row>
    <row r="52" spans="1:7" s="208" customFormat="1" ht="16.5" thickBot="1">
      <c r="A52" s="265" t="s">
        <v>1561</v>
      </c>
      <c r="B52" s="266"/>
      <c r="C52" s="267">
        <f ca="1">C31+C51</f>
        <v>28643</v>
      </c>
      <c r="D52" s="266"/>
      <c r="E52" s="266"/>
      <c r="F52" s="266"/>
      <c r="G52" s="268"/>
    </row>
    <row r="55" spans="1:7" ht="15">
      <c r="B55" s="270" t="s">
        <v>1562</v>
      </c>
      <c r="C55" s="271"/>
    </row>
    <row r="56" spans="1:7">
      <c r="B56" s="273" t="s">
        <v>802</v>
      </c>
      <c r="C56" s="275">
        <f ca="1">1-C57</f>
        <v>0.82099999999999995</v>
      </c>
    </row>
    <row r="57" spans="1:7">
      <c r="B57" s="273" t="s">
        <v>803</v>
      </c>
      <c r="C57" s="274">
        <f ca="1">ROUND(C51/C52,3)</f>
        <v>0.17899999999999999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5699.1556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5784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1970500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1970500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1970500</v>
      </c>
      <c r="D10" s="845">
        <f ca="1">IF(B1="",'数据-汇总表'!E6,IF(INDIRECT("'数据-取费表'!c"&amp;$G$1)="住宅",INDIRECT("'数据-取费表'!s"&amp;$G$1),INDIRECT("'数据-取费表'!k"&amp;$G$1)+INDIRECT("'数据-取费表'!s"&amp;$G$1)))</f>
        <v>9852.5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1970500</v>
      </c>
      <c r="D19" s="849">
        <f ca="1">D9+D10</f>
        <v>9852.5</v>
      </c>
      <c r="E19" s="211">
        <f>'数据-取费表'!B31</f>
        <v>200</v>
      </c>
      <c r="F19" s="231"/>
      <c r="G19" s="1856"/>
    </row>
    <row r="20" spans="1:7" s="214" customFormat="1" ht="13.5" customHeight="1">
      <c r="A20" s="255" t="s">
        <v>1574</v>
      </c>
      <c r="B20" s="210" t="s">
        <v>1575</v>
      </c>
      <c r="C20" s="232">
        <f ca="1">ROUND((C5+C19)*F20,0)</f>
        <v>78820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337161</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166945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166945</v>
      </c>
      <c r="D24" s="238"/>
      <c r="E24" s="238"/>
      <c r="F24" s="239"/>
      <c r="G24" s="240" t="s">
        <v>1586</v>
      </c>
    </row>
    <row r="25" spans="1:7" s="214" customFormat="1" ht="24">
      <c r="A25" s="780" t="s">
        <v>1476</v>
      </c>
      <c r="B25" s="215" t="s">
        <v>1587</v>
      </c>
      <c r="C25" s="1128">
        <f ca="1">ROUND(IF('数据-取费表'!B22&lt;=1,C20*F22*'数据-取费表'!B22/2,C20*(POWER((1+F22),'数据-取费表'!B22/2)-1)),0)</f>
        <v>3271</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803964</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803964</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5598161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53449813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49262500</v>
      </c>
      <c r="D34" s="217"/>
      <c r="E34" s="220"/>
      <c r="F34" s="257"/>
      <c r="G34" s="219"/>
    </row>
    <row r="35" spans="1:7" ht="13.5" customHeight="1">
      <c r="A35" s="780" t="s">
        <v>351</v>
      </c>
      <c r="B35" s="215" t="s">
        <v>1527</v>
      </c>
      <c r="C35" s="220">
        <f ca="1">ROUND(C34*F35,0)</f>
        <v>1477875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1970500</v>
      </c>
      <c r="D37" s="217">
        <f ca="1">D19</f>
        <v>9852.5</v>
      </c>
      <c r="E37" s="249">
        <f>'数据-取费表'!B35</f>
        <v>200</v>
      </c>
      <c r="F37" s="259"/>
      <c r="G37" s="261"/>
    </row>
    <row r="38" spans="1:7" ht="13.5" customHeight="1">
      <c r="A38" s="780" t="s">
        <v>354</v>
      </c>
      <c r="B38" s="215" t="s">
        <v>1533</v>
      </c>
      <c r="C38" s="220">
        <f ca="1">ROUND(C34*F38,0)</f>
        <v>738938</v>
      </c>
      <c r="D38" s="220"/>
      <c r="E38" s="220"/>
      <c r="F38" s="259">
        <f>'数据-取费表'!B36</f>
        <v>1.4999999999999999E-2</v>
      </c>
      <c r="G38" s="219" t="s">
        <v>1528</v>
      </c>
    </row>
    <row r="39" spans="1:7" s="214" customFormat="1" ht="13.5" customHeight="1">
      <c r="A39" s="255" t="s">
        <v>1534</v>
      </c>
      <c r="B39" s="210" t="s">
        <v>1535</v>
      </c>
      <c r="C39" s="232">
        <f ca="1">ROUND(C33*F20,0)</f>
        <v>1068996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2262530</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2218167</v>
      </c>
      <c r="D42" s="238"/>
      <c r="E42" s="238"/>
      <c r="F42" s="239"/>
      <c r="G42" s="3637" t="s">
        <v>1591</v>
      </c>
    </row>
    <row r="43" spans="1:7" ht="13.5" customHeight="1">
      <c r="A43" s="780" t="s">
        <v>347</v>
      </c>
      <c r="B43" s="215" t="s">
        <v>1545</v>
      </c>
      <c r="C43" s="238">
        <f ca="1">ROUND(IF('数据-取费表'!B22&lt;=1,C39*F22*'数据-取费表'!B20/2,C39*(POWER((1+F22),'数据-取费表'!B20/2)-1)),0)</f>
        <v>44363</v>
      </c>
      <c r="D43" s="238"/>
      <c r="E43" s="238"/>
      <c r="F43" s="239"/>
      <c r="G43" s="3638"/>
    </row>
    <row r="44" spans="1:7" ht="13.5" customHeight="1">
      <c r="A44" s="780" t="s">
        <v>348</v>
      </c>
      <c r="B44" s="215" t="s">
        <v>1546</v>
      </c>
      <c r="C44" s="238">
        <f ca="1">ROUND(IF('数据-取费表'!B22&lt;=1,C40*F22*'数据-取费表'!B20/2,C40*(POWER((1+F22),'数据-取费表'!B20/2)-1)),4)</f>
        <v>8.0000000000000004E-4</v>
      </c>
      <c r="D44" s="238"/>
      <c r="E44" s="238"/>
      <c r="F44" s="239"/>
      <c r="G44" s="3639"/>
    </row>
    <row r="45" spans="1:7" s="214" customFormat="1" ht="13.5" customHeight="1">
      <c r="A45" s="255" t="s">
        <v>1547</v>
      </c>
      <c r="B45" s="244" t="s">
        <v>1513</v>
      </c>
      <c r="C45" s="245">
        <f ca="1">C46</f>
        <v>10903762</v>
      </c>
      <c r="D45" s="235">
        <f ca="1">C47</f>
        <v>4.0000000000000001E-3</v>
      </c>
      <c r="E45" s="236" t="s">
        <v>1539</v>
      </c>
      <c r="F45" s="246">
        <f ca="1">F27</f>
        <v>0.2</v>
      </c>
      <c r="G45" s="247" t="s">
        <v>1548</v>
      </c>
    </row>
    <row r="46" spans="1:7" s="214" customFormat="1" ht="13.5" customHeight="1">
      <c r="A46" s="780" t="s">
        <v>346</v>
      </c>
      <c r="B46" s="248" t="s">
        <v>1549</v>
      </c>
      <c r="C46" s="249">
        <f ca="1">ROUND((C33+C39)*F27,0)</f>
        <v>10903762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73419135</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51393395</v>
      </c>
      <c r="D51" s="232"/>
      <c r="E51" s="232"/>
      <c r="F51" s="264"/>
      <c r="G51" s="234" t="s">
        <v>1560</v>
      </c>
    </row>
    <row r="52" spans="1:7" s="208" customFormat="1" ht="16.5" thickBot="1">
      <c r="A52" s="265" t="s">
        <v>1561</v>
      </c>
      <c r="B52" s="266"/>
      <c r="C52" s="267">
        <f ca="1">C31+C51</f>
        <v>56991556</v>
      </c>
      <c r="D52" s="266"/>
      <c r="E52" s="266"/>
      <c r="F52" s="266"/>
      <c r="G52" s="268"/>
    </row>
    <row r="55" spans="1:7" ht="15">
      <c r="B55" s="270" t="s">
        <v>1562</v>
      </c>
      <c r="C55" s="271"/>
    </row>
    <row r="56" spans="1:7">
      <c r="B56" s="273" t="s">
        <v>802</v>
      </c>
      <c r="C56" s="275">
        <f ca="1">1-C57</f>
        <v>9.7999999999999976E-2</v>
      </c>
    </row>
    <row r="57" spans="1:7">
      <c r="B57" s="273" t="s">
        <v>803</v>
      </c>
      <c r="C57" s="274">
        <f ca="1">ROUND(C51/C52,3)</f>
        <v>0.90200000000000002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9852.5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9852.5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197</v>
      </c>
      <c r="D20" s="846">
        <f ca="1">IF(C1="",'数据-汇总表'!E6,IF(INDIRECT("'数据-取费表'!c"&amp;$K$1)="住宅",INDIRECT("'数据-取费表'!s"&amp;$K$1),INDIRECT("'数据-取费表'!k"&amp;$K$1)+INDIRECT("'数据-取费表'!s"&amp;$K$1)))</f>
        <v>9852.5</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 zoomScale="70" zoomScaleNormal="80" zoomScaleSheetLayoutView="70" workbookViewId="0">
      <selection activeCell="C33" sqref="C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9852.5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15865</v>
      </c>
      <c r="C2" s="1999" t="s">
        <v>1935</v>
      </c>
      <c r="D2" s="2000" t="s">
        <v>1936</v>
      </c>
      <c r="E2" s="3422" t="s">
        <v>673</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Ⅱ—09</v>
      </c>
      <c r="J2" s="2002"/>
      <c r="K2" s="1119"/>
      <c r="L2" s="2003" t="s">
        <v>1939</v>
      </c>
      <c r="M2" s="864">
        <f>SUMPRODUCT((区片价!B10:B29=I2)*(区片价!C3:G3=E2)*(区片价!C10:G29))</f>
        <v>26840</v>
      </c>
      <c r="N2" s="866">
        <f>SUMPRODUCT((因素修正幅度!B10:B29=I2)*(因素修正幅度!C3:G3=E2)*(因素修正幅度!C10:G29))</f>
        <v>9.8000000000000004E-2</v>
      </c>
      <c r="O2" s="1119"/>
      <c r="P2" s="1119"/>
      <c r="Q2" s="1119"/>
      <c r="R2" s="1212">
        <v>1</v>
      </c>
      <c r="S2" s="3361">
        <f>ROUND(SUMPRODUCT((B106:B110=R2)*(C105:N105=G2)*(C106:N110)),4)</f>
        <v>1.5206</v>
      </c>
      <c r="T2" s="3361">
        <f t="shared" ref="T2:T16" si="0">ROUND($C$5*$C$22*$C$23*$C$24*S2*$C$28,0)</f>
        <v>24071</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16103</v>
      </c>
      <c r="C3" s="1999" t="s">
        <v>1941</v>
      </c>
      <c r="D3" s="2000" t="s">
        <v>1942</v>
      </c>
      <c r="E3" s="3420" t="s">
        <v>2441</v>
      </c>
      <c r="F3" s="2004" t="s">
        <v>3373</v>
      </c>
      <c r="G3" s="752">
        <f>IF(F3="宗地容积率",'数据-汇总表'!I4,IF(F3="估价对象容积率",'数据-汇总表'!I6,'数据-汇总表'!I7))</f>
        <v>2.66</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19110</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47"/>
      <c r="B4" s="3648"/>
      <c r="C4" s="3648"/>
      <c r="D4" s="3649"/>
      <c r="E4" s="3649"/>
      <c r="F4" s="3649"/>
      <c r="G4" s="3649"/>
      <c r="H4" s="3649"/>
      <c r="I4" s="3649"/>
      <c r="J4" s="365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16512</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26823</v>
      </c>
      <c r="D5" s="1339">
        <f>ROUND(C6*C17+C20,0)</f>
        <v>26823</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14942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26840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14240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二级</v>
      </c>
      <c r="Y7" s="1214" t="s">
        <v>1956</v>
      </c>
      <c r="Z7" s="1215">
        <f>G3</f>
        <v>2.66</v>
      </c>
      <c r="AA7" s="1216"/>
      <c r="AB7" s="1216"/>
      <c r="AC7" s="1217"/>
      <c r="AD7" s="1218"/>
      <c r="AE7" s="1218"/>
      <c r="AF7" s="1218"/>
      <c r="AG7" s="1218"/>
      <c r="AH7" s="1218"/>
      <c r="AI7" s="1218"/>
      <c r="AJ7" s="1219"/>
    </row>
    <row r="8" spans="1:36" ht="25.5">
      <c r="A8" s="3299"/>
      <c r="B8" s="170" t="s">
        <v>1957</v>
      </c>
      <c r="C8" s="2026" t="s">
        <v>3372</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44" t="s">
        <v>1960</v>
      </c>
      <c r="X8" s="364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46"/>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4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51" t="s">
        <v>3254</v>
      </c>
      <c r="B20" s="167" t="s">
        <v>1994</v>
      </c>
      <c r="C20" s="3325">
        <f>ROUND(IF(F21="与级别开发程度一致",0,(G21-E21)/C21),0)</f>
        <v>-17</v>
      </c>
      <c r="D20" s="3341" t="s">
        <v>1998</v>
      </c>
      <c r="E20" s="3342"/>
      <c r="F20" s="3657" t="s">
        <v>1995</v>
      </c>
      <c r="G20" s="3658"/>
      <c r="H20" s="3326" t="s">
        <v>3375</v>
      </c>
      <c r="I20" s="3326" t="s">
        <v>3376</v>
      </c>
      <c r="J20" s="3327" t="s">
        <v>3377</v>
      </c>
      <c r="K20" s="2047" t="s">
        <v>3378</v>
      </c>
      <c r="L20" s="2047" t="s">
        <v>3379</v>
      </c>
      <c r="M20" s="2047" t="s">
        <v>3380</v>
      </c>
      <c r="N20" s="2047" t="s">
        <v>3381</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52"/>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3374</v>
      </c>
      <c r="G21" s="2157">
        <f>SUM(H21:O21)</f>
        <v>315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50</v>
      </c>
      <c r="N21" s="2165">
        <f>SUMPRODUCT((七通一平=N20)*(修正!B1:M1=G2)*(修正!B8:M16))</f>
        <v>20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0.9</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45013</v>
      </c>
      <c r="H23" s="3343" t="s">
        <v>3256</v>
      </c>
      <c r="I23" s="3344" t="str">
        <f>IF(H23="季度增幅（自定义）",SUMIF(N25:N28,E2,O25:O28),"")</f>
        <v/>
      </c>
      <c r="J23" s="3446" t="s">
        <v>3255</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0.61229999999999996</v>
      </c>
      <c r="D24" s="2060" t="s">
        <v>2007</v>
      </c>
      <c r="E24" s="1335">
        <f>存贷款利率!E22/100</f>
        <v>4.3499999999999997E-2</v>
      </c>
      <c r="F24" s="2060" t="s">
        <v>1999</v>
      </c>
      <c r="G24" s="768">
        <f>SUMIF(M30:Q30,E2,M33:Q33)</f>
        <v>5.5E-2</v>
      </c>
      <c r="H24" s="2060" t="s">
        <v>2008</v>
      </c>
      <c r="I24" s="769">
        <f>SUMIF('数据-取费表'!C6:C15,E2,'数据-取费表'!F6:F15)/COUNTIF('数据-取费表'!C6:C15,E2)</f>
        <v>14.52</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1.0354000000000001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1.0354000000000001</v>
      </c>
      <c r="E26" s="752">
        <f>ROUNDDOWN(G3,1)</f>
        <v>2.6</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1.0386</v>
      </c>
      <c r="G26" s="752">
        <f>ROUNDUP(G3,1)</f>
        <v>2.7</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1.0331999999999999</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1.5206</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1.0447</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15865</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148</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16390</v>
      </c>
      <c r="D33" s="2098">
        <f>'数据-基础表'!I13</f>
        <v>9317.7000000000007</v>
      </c>
      <c r="E33" s="773">
        <f>ROUND(C33*D33/10000,0)</f>
        <v>15272</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4098</v>
      </c>
      <c r="D34" s="2103"/>
      <c r="E34" s="773">
        <f>ROUND(IF(B25="楼层修正",SUM(V2:V16)*M40,C34*D34/10000),0)</f>
        <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5"/>
      <c r="B37" s="2113" t="s">
        <v>2036</v>
      </c>
      <c r="C37" s="175">
        <f>ROUND(D5*C22*C23*C24*C28*F37,0)</f>
        <v>11081</v>
      </c>
      <c r="D37" s="2098">
        <f>'数据-基础表'!K13</f>
        <v>534.79999999999995</v>
      </c>
      <c r="E37" s="171">
        <f>ROUND(C37*D37/10000,0)</f>
        <v>593</v>
      </c>
      <c r="F37" s="171">
        <f>SUMIF(修正!A57:A68,G2,修正!B57:B68)</f>
        <v>0.7</v>
      </c>
      <c r="G37" s="171">
        <f>ROUND(IF(E2="工业",C37*$M$42,C37*$M$41),0)</f>
        <v>2770</v>
      </c>
      <c r="H37" s="171">
        <f>D37</f>
        <v>534.79999999999995</v>
      </c>
      <c r="I37" s="171">
        <f>ROUND(G37*H37/10000,0)</f>
        <v>148</v>
      </c>
      <c r="J37" s="3012"/>
      <c r="K37" s="3359" t="s">
        <v>3266</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6"/>
      <c r="B38" s="2041" t="s">
        <v>2037</v>
      </c>
      <c r="C38" s="175">
        <f>ROUND(D5*C22*C23*C24*C28*F38,0)</f>
        <v>6332</v>
      </c>
      <c r="D38" s="2098"/>
      <c r="E38" s="171">
        <f t="shared" ref="E38:E42" si="4">ROUND(C38*D38/10000,0)</f>
        <v>0</v>
      </c>
      <c r="F38" s="171">
        <f>SUMIF(修正!A57:A68,G2,修正!C57:C68)</f>
        <v>0.4</v>
      </c>
      <c r="G38" s="171">
        <f>ROUND(IF(E2="工业",C38*$M$42,C38*$M$41),0)</f>
        <v>1583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56"/>
      <c r="B39" s="2041" t="s">
        <v>3259</v>
      </c>
      <c r="C39" s="175">
        <f>ROUND(D5*C22*C23*C24*C28*F39,0)</f>
        <v>4749</v>
      </c>
      <c r="D39" s="2098"/>
      <c r="E39" s="171">
        <f t="shared" si="4"/>
        <v>0</v>
      </c>
      <c r="F39" s="171">
        <f>SUMIF(修正!A57:A68,G2,修正!D57:D68)</f>
        <v>0.3</v>
      </c>
      <c r="G39" s="171">
        <f>ROUND(IF(E2="工业",C39*$M$42,C39*$M$41),0)</f>
        <v>1187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4749</v>
      </c>
      <c r="D40" s="2098"/>
      <c r="E40" s="171">
        <f t="shared" si="4"/>
        <v>0</v>
      </c>
      <c r="F40" s="175">
        <f>SUMIF(修正!A57:A68,G2,修正!E57:E68)</f>
        <v>0.3</v>
      </c>
      <c r="G40" s="171">
        <f>ROUND(IF(E2="工业",C40*$M$42,C40*$M$41),0)</f>
        <v>1187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1.0447</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3402</v>
      </c>
      <c r="D50" s="1065">
        <f t="shared" ref="D50:D58" si="7">SUMIF($J$49:$N$49,C50,J50:N50)</f>
        <v>1.47E-2</v>
      </c>
      <c r="E50" s="744">
        <f>ROUND(SUM(D50:D58),4)</f>
        <v>4.4699999999999997E-2</v>
      </c>
      <c r="F50" s="1814">
        <f>IF(E2="商业",SUMIF(L1:L12,G2,N1:N12),"——")</f>
        <v>9.8000000000000004E-2</v>
      </c>
      <c r="G50" s="1063">
        <f>H50</f>
        <v>1.47E-2</v>
      </c>
      <c r="H50" s="1066">
        <f t="shared" ref="H50:H58" si="8">IFERROR(ROUNDDOWN($F$50*I50/2,4),"——")</f>
        <v>1.47E-2</v>
      </c>
      <c r="I50" s="3367">
        <v>0.3</v>
      </c>
      <c r="J50" s="1064">
        <f t="shared" ref="J50:J58" si="9">K50+$G50</f>
        <v>2.9399999999999999E-2</v>
      </c>
      <c r="K50" s="1064">
        <f t="shared" ref="K50:K58" si="10">$L50+$G50</f>
        <v>1.47E-2</v>
      </c>
      <c r="L50" s="1064">
        <v>0</v>
      </c>
      <c r="M50" s="1064">
        <f t="shared" ref="M50:N58" si="11">L50-$G50</f>
        <v>-1.47E-2</v>
      </c>
      <c r="N50" s="1064">
        <f t="shared" si="11"/>
        <v>-2.9399999999999999E-2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3402</v>
      </c>
      <c r="D51" s="1065">
        <f t="shared" si="7"/>
        <v>1.0699999999999999E-2</v>
      </c>
      <c r="E51" s="745"/>
      <c r="F51" s="1814"/>
      <c r="G51" s="1063">
        <f t="shared" ref="G51:G58" si="12">H51</f>
        <v>1.0699999999999999E-2</v>
      </c>
      <c r="H51" s="1066">
        <f t="shared" si="8"/>
        <v>1.0699999999999999E-2</v>
      </c>
      <c r="I51" s="3367">
        <v>0.22</v>
      </c>
      <c r="J51" s="1064">
        <f t="shared" si="9"/>
        <v>2.1399999999999999E-2</v>
      </c>
      <c r="K51" s="1064">
        <f t="shared" si="10"/>
        <v>1.0699999999999999E-2</v>
      </c>
      <c r="L51" s="1064">
        <v>0</v>
      </c>
      <c r="M51" s="1064">
        <f t="shared" si="11"/>
        <v>-1.0699999999999999E-2</v>
      </c>
      <c r="N51" s="1064">
        <f t="shared" si="11"/>
        <v>-2.1399999999999999E-2</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t="s">
        <v>3402</v>
      </c>
      <c r="D52" s="1065">
        <f t="shared" si="7"/>
        <v>5.7999999999999996E-3</v>
      </c>
      <c r="E52" s="745"/>
      <c r="F52" s="1814"/>
      <c r="G52" s="1063">
        <f t="shared" si="12"/>
        <v>5.7999999999999996E-3</v>
      </c>
      <c r="H52" s="1066">
        <f t="shared" si="8"/>
        <v>5.7999999999999996E-3</v>
      </c>
      <c r="I52" s="3367">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3402</v>
      </c>
      <c r="D53" s="1065">
        <f t="shared" si="7"/>
        <v>2.3999999999999998E-3</v>
      </c>
      <c r="E53" s="745"/>
      <c r="F53" s="1814"/>
      <c r="G53" s="1063">
        <f t="shared" si="12"/>
        <v>2.3999999999999998E-3</v>
      </c>
      <c r="H53" s="1066">
        <f t="shared" si="8"/>
        <v>2.3999999999999998E-3</v>
      </c>
      <c r="I53" s="3367">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3403</v>
      </c>
      <c r="D54" s="1065">
        <f t="shared" si="7"/>
        <v>-3.8999999999999998E-3</v>
      </c>
      <c r="E54" s="745"/>
      <c r="F54" s="1814"/>
      <c r="G54" s="1063">
        <f t="shared" si="12"/>
        <v>3.8999999999999998E-3</v>
      </c>
      <c r="H54" s="1066">
        <f t="shared" si="8"/>
        <v>3.8999999999999998E-3</v>
      </c>
      <c r="I54" s="3367">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2057</v>
      </c>
      <c r="B55" s="2136" t="s">
        <v>2058</v>
      </c>
      <c r="C55" s="2044" t="s">
        <v>3402</v>
      </c>
      <c r="D55" s="1065">
        <f t="shared" si="7"/>
        <v>2.3999999999999998E-3</v>
      </c>
      <c r="E55" s="745"/>
      <c r="F55" s="1814"/>
      <c r="G55" s="1063">
        <f t="shared" si="12"/>
        <v>2.3999999999999998E-3</v>
      </c>
      <c r="H55" s="1066">
        <f t="shared" si="8"/>
        <v>2.3999999999999998E-3</v>
      </c>
      <c r="I55" s="3367">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3402</v>
      </c>
      <c r="D56" s="1065">
        <f t="shared" si="7"/>
        <v>2.3999999999999998E-3</v>
      </c>
      <c r="E56" s="745"/>
      <c r="F56" s="1814"/>
      <c r="G56" s="1063">
        <f t="shared" si="12"/>
        <v>2.3999999999999998E-3</v>
      </c>
      <c r="H56" s="1066">
        <f t="shared" si="8"/>
        <v>2.3999999999999998E-3</v>
      </c>
      <c r="I56" s="3367">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3404</v>
      </c>
      <c r="D57" s="1065">
        <f t="shared" si="7"/>
        <v>7.7999999999999996E-3</v>
      </c>
      <c r="E57" s="745"/>
      <c r="F57" s="1814"/>
      <c r="G57" s="1063">
        <f t="shared" si="12"/>
        <v>3.8999999999999998E-3</v>
      </c>
      <c r="H57" s="1066">
        <f t="shared" si="8"/>
        <v>3.8999999999999998E-3</v>
      </c>
      <c r="I57" s="3367">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3402</v>
      </c>
      <c r="D58" s="1065">
        <f t="shared" si="7"/>
        <v>2.3999999999999998E-3</v>
      </c>
      <c r="E58" s="746"/>
      <c r="F58" s="1814"/>
      <c r="G58" s="1063">
        <f t="shared" si="12"/>
        <v>2.3999999999999998E-3</v>
      </c>
      <c r="H58" s="1066">
        <f t="shared" si="8"/>
        <v>2.3999999999999998E-3</v>
      </c>
      <c r="I58" s="3368">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3270</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2608</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3273</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3269</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3274</v>
      </c>
      <c r="B96" s="3385" t="s">
        <v>3285</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3275</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3276</v>
      </c>
      <c r="B98" s="3386" t="s">
        <v>3286</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3277</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3278</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3279</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53" t="s">
        <v>3294</v>
      </c>
      <c r="B103" s="3653"/>
      <c r="C103" s="3653"/>
      <c r="D103" s="3653"/>
      <c r="E103" s="3653"/>
      <c r="F103" s="3653"/>
      <c r="G103" s="3653"/>
      <c r="H103" s="3653"/>
      <c r="I103" s="3653"/>
      <c r="J103" s="3653"/>
      <c r="K103" s="3390"/>
      <c r="L103" s="3390"/>
      <c r="M103" s="3390"/>
      <c r="N103" s="3390"/>
    </row>
    <row r="104" spans="1:14">
      <c r="A104" s="3654" t="s">
        <v>3295</v>
      </c>
      <c r="B104" s="3654" t="s">
        <v>3296</v>
      </c>
      <c r="C104" s="3391" t="s">
        <v>3297</v>
      </c>
      <c r="D104" s="3392"/>
      <c r="E104" s="3392"/>
      <c r="F104" s="3392"/>
      <c r="G104" s="3392"/>
      <c r="H104" s="3392"/>
      <c r="I104" s="3392"/>
      <c r="J104" s="3393"/>
      <c r="K104" s="3394"/>
      <c r="L104" s="3394"/>
      <c r="M104" s="3394"/>
      <c r="N104" s="3394"/>
    </row>
    <row r="105" spans="1:14">
      <c r="A105" s="3654"/>
      <c r="B105" s="3654"/>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640"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4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4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4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4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41"/>
      <c r="B111" s="3395" t="s">
        <v>3268</v>
      </c>
      <c r="C111" s="3396">
        <f>$I$3</f>
        <v>1</v>
      </c>
      <c r="D111" s="3396">
        <f t="shared" ref="D111:M111" si="33">$I$3</f>
        <v>1</v>
      </c>
      <c r="E111" s="3396">
        <f t="shared" si="33"/>
        <v>1</v>
      </c>
      <c r="F111" s="3396">
        <f t="shared" si="33"/>
        <v>1</v>
      </c>
      <c r="G111" s="3396">
        <f t="shared" si="33"/>
        <v>1</v>
      </c>
      <c r="H111" s="3396">
        <f t="shared" si="33"/>
        <v>1</v>
      </c>
      <c r="I111" s="3396">
        <f t="shared" si="33"/>
        <v>1</v>
      </c>
      <c r="J111" s="3396">
        <f t="shared" si="33"/>
        <v>1</v>
      </c>
      <c r="K111" s="3396">
        <f t="shared" si="33"/>
        <v>1</v>
      </c>
      <c r="L111" s="3396">
        <f t="shared" si="33"/>
        <v>1</v>
      </c>
      <c r="M111" s="3396">
        <f t="shared" si="33"/>
        <v>1</v>
      </c>
      <c r="N111" s="3396">
        <f>$I$3</f>
        <v>1</v>
      </c>
    </row>
    <row r="112" spans="1:14">
      <c r="A112" s="3642"/>
      <c r="B112" s="3395">
        <v>6</v>
      </c>
      <c r="C112" s="3388">
        <f>(-0.5556*(C111^2)-0.2719*C111+8944)*(10^(-4))</f>
        <v>0.89431725000000006</v>
      </c>
      <c r="D112" s="3388">
        <f>(-0.5556*(D111^2)-0.2719*D111+8944)*(10^(-4))</f>
        <v>0.89431725000000006</v>
      </c>
      <c r="E112" s="3388">
        <f>(-0.7912*(E111^2)-11.3794*E111+8482)*(10^(-4))</f>
        <v>0.84698294000000007</v>
      </c>
      <c r="F112" s="3388">
        <f t="shared" ref="F112:I112" si="34">(-0.7912*(F111^2)-11.3794*F111+8482)*(10^(-4))</f>
        <v>0.84698294000000007</v>
      </c>
      <c r="G112" s="3388">
        <f t="shared" si="34"/>
        <v>0.84698294000000007</v>
      </c>
      <c r="H112" s="3388">
        <f t="shared" si="34"/>
        <v>0.84698294000000007</v>
      </c>
      <c r="I112" s="3388">
        <f t="shared" si="34"/>
        <v>0.84698294000000007</v>
      </c>
      <c r="J112" s="3388">
        <f>(-0.989*(J111^2)-63.78*J111+7771)*(10^(-4))</f>
        <v>0.77062310000000001</v>
      </c>
      <c r="K112" s="3388">
        <f t="shared" ref="K112:N112" si="35">(-0.989*(K111^2)-63.78*K111+7771)*(10^(-4))</f>
        <v>0.77062310000000001</v>
      </c>
      <c r="L112" s="3388">
        <f t="shared" si="35"/>
        <v>0.77062310000000001</v>
      </c>
      <c r="M112" s="3388">
        <f t="shared" si="35"/>
        <v>0.77062310000000001</v>
      </c>
      <c r="N112" s="3388">
        <f t="shared" si="35"/>
        <v>0.77062310000000001</v>
      </c>
    </row>
    <row r="113" spans="1:14">
      <c r="A113" s="3643" t="s">
        <v>3311</v>
      </c>
      <c r="B113" s="3643"/>
      <c r="C113" s="3643"/>
      <c r="D113" s="3643"/>
      <c r="E113" s="3643"/>
      <c r="F113" s="3643"/>
      <c r="G113" s="3643"/>
      <c r="H113" s="3643"/>
      <c r="I113" s="3643"/>
      <c r="J113" s="364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2.66</v>
      </c>
      <c r="C116" s="3400" t="s">
        <v>3313</v>
      </c>
      <c r="D116" s="3401">
        <f>SUMPRODUCT((A118:A122=F116)*(B117:M117=H116)*B118:M122)</f>
        <v>0.96750000000000003</v>
      </c>
      <c r="E116" s="2000" t="s">
        <v>3314</v>
      </c>
      <c r="F116" s="3402" t="str">
        <f>E2</f>
        <v>商业</v>
      </c>
      <c r="G116" s="2000" t="s">
        <v>3315</v>
      </c>
      <c r="H116" s="3402" t="str">
        <f>G2</f>
        <v>二级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0.96750000000000003</v>
      </c>
      <c r="C118" s="3388">
        <f>B118</f>
        <v>0.96750000000000003</v>
      </c>
      <c r="D118" s="3388">
        <f>ROUND(0.949-0.014*B116,4)</f>
        <v>0.91180000000000005</v>
      </c>
      <c r="E118" s="3388">
        <f>D118</f>
        <v>0.91180000000000005</v>
      </c>
      <c r="F118" s="3388">
        <f>E118</f>
        <v>0.91180000000000005</v>
      </c>
      <c r="G118" s="3388">
        <f>F118</f>
        <v>0.91180000000000005</v>
      </c>
      <c r="H118" s="3388">
        <f>G118</f>
        <v>0.91180000000000005</v>
      </c>
      <c r="I118" s="3388">
        <f>ROUND(0.8486-0.018*B116,4)</f>
        <v>0.80069999999999997</v>
      </c>
      <c r="J118" s="3388">
        <f t="shared" ref="J118:M122" si="36">I118</f>
        <v>0.80069999999999997</v>
      </c>
      <c r="K118" s="3388">
        <f t="shared" si="36"/>
        <v>0.80069999999999997</v>
      </c>
      <c r="L118" s="3388">
        <f t="shared" si="36"/>
        <v>0.80069999999999997</v>
      </c>
      <c r="M118" s="3411">
        <f t="shared" si="36"/>
        <v>0.80069999999999997</v>
      </c>
      <c r="N118" s="3398"/>
    </row>
    <row r="119" spans="1:14">
      <c r="A119" s="3410" t="s">
        <v>3329</v>
      </c>
      <c r="B119" s="3388">
        <f>ROUND(0.993-0.0112*B116,4)</f>
        <v>0.96319999999999995</v>
      </c>
      <c r="C119" s="3388">
        <f>B119</f>
        <v>0.96319999999999995</v>
      </c>
      <c r="D119" s="3388">
        <f>ROUND(0.9415-0.0142*B116,4)</f>
        <v>0.90369999999999995</v>
      </c>
      <c r="E119" s="3388">
        <f t="shared" ref="E119:H120" si="37">D119</f>
        <v>0.90369999999999995</v>
      </c>
      <c r="F119" s="3388">
        <f t="shared" si="37"/>
        <v>0.90369999999999995</v>
      </c>
      <c r="G119" s="3388">
        <f t="shared" si="37"/>
        <v>0.90369999999999995</v>
      </c>
      <c r="H119" s="3388">
        <f t="shared" si="37"/>
        <v>0.90369999999999995</v>
      </c>
      <c r="I119" s="3388">
        <f>ROUND(0.838-0.0182*B116,4)</f>
        <v>0.78959999999999997</v>
      </c>
      <c r="J119" s="3388">
        <f t="shared" si="36"/>
        <v>0.78959999999999997</v>
      </c>
      <c r="K119" s="3388">
        <f t="shared" si="36"/>
        <v>0.78959999999999997</v>
      </c>
      <c r="L119" s="3388">
        <f t="shared" si="36"/>
        <v>0.78959999999999997</v>
      </c>
      <c r="M119" s="3411">
        <f t="shared" si="36"/>
        <v>0.78959999999999997</v>
      </c>
      <c r="N119" s="3398"/>
    </row>
    <row r="120" spans="1:14">
      <c r="A120" s="3410" t="s">
        <v>3330</v>
      </c>
      <c r="B120" s="3388">
        <f>ROUND(0.9448-0.0115*B116,4)</f>
        <v>0.91420000000000001</v>
      </c>
      <c r="C120" s="3388">
        <f>B120</f>
        <v>0.91420000000000001</v>
      </c>
      <c r="D120" s="3388">
        <f>ROUND(0.937-0.0145*B116,4)</f>
        <v>0.89839999999999998</v>
      </c>
      <c r="E120" s="3388">
        <f t="shared" si="37"/>
        <v>0.89839999999999998</v>
      </c>
      <c r="F120" s="3388">
        <f t="shared" si="37"/>
        <v>0.89839999999999998</v>
      </c>
      <c r="G120" s="3388">
        <f t="shared" si="37"/>
        <v>0.89839999999999998</v>
      </c>
      <c r="H120" s="3388">
        <f t="shared" si="37"/>
        <v>0.89839999999999998</v>
      </c>
      <c r="I120" s="3388">
        <f>ROUND(0.7965-0.0185*B116,4)</f>
        <v>0.74729999999999996</v>
      </c>
      <c r="J120" s="3388">
        <f t="shared" si="36"/>
        <v>0.74729999999999996</v>
      </c>
      <c r="K120" s="3388">
        <f t="shared" si="36"/>
        <v>0.74729999999999996</v>
      </c>
      <c r="L120" s="3388">
        <f t="shared" si="36"/>
        <v>0.74729999999999996</v>
      </c>
      <c r="M120" s="3411">
        <f t="shared" si="36"/>
        <v>0.74729999999999996</v>
      </c>
      <c r="N120" s="3398"/>
    </row>
    <row r="121" spans="1:14" ht="13.5" thickBot="1">
      <c r="A121" s="3412" t="s">
        <v>3331</v>
      </c>
      <c r="B121" s="3413">
        <f>ROUND(0.7836-0.012*B116,4)</f>
        <v>0.75170000000000003</v>
      </c>
      <c r="C121" s="3413">
        <f>B121</f>
        <v>0.75170000000000003</v>
      </c>
      <c r="D121" s="3413">
        <f>ROUND(0.753-0.015*B116,4)</f>
        <v>0.71309999999999996</v>
      </c>
      <c r="E121" s="3413">
        <f>D121</f>
        <v>0.71309999999999996</v>
      </c>
      <c r="F121" s="3413">
        <f>E121</f>
        <v>0.71309999999999996</v>
      </c>
      <c r="G121" s="3413">
        <f>ROUND(0.6612-0.018*B116,4)</f>
        <v>0.61329999999999996</v>
      </c>
      <c r="H121" s="3413">
        <f>G121</f>
        <v>0.61329999999999996</v>
      </c>
      <c r="I121" s="3413">
        <f>ROUND(0.5905-0.019*B116,4)</f>
        <v>0.54</v>
      </c>
      <c r="J121" s="3413">
        <f t="shared" si="36"/>
        <v>0.54</v>
      </c>
      <c r="K121" s="3413">
        <f t="shared" si="36"/>
        <v>0.54</v>
      </c>
      <c r="L121" s="3413">
        <f t="shared" si="36"/>
        <v>0.54</v>
      </c>
      <c r="M121" s="3414">
        <f t="shared" si="36"/>
        <v>0.54</v>
      </c>
      <c r="N121" s="3398"/>
    </row>
    <row r="122" spans="1:14">
      <c r="A122" s="3415" t="s">
        <v>2608</v>
      </c>
      <c r="B122" s="3388">
        <f>ROUND(0.9404-0.0106*B116,4)</f>
        <v>0.91220000000000001</v>
      </c>
      <c r="C122" s="3388">
        <f>B122</f>
        <v>0.91220000000000001</v>
      </c>
      <c r="D122" s="3388">
        <f>ROUND(0.8955-0.0135*B116,4)</f>
        <v>0.85960000000000003</v>
      </c>
      <c r="E122" s="3388">
        <f t="shared" ref="E122:H122" si="38">D122</f>
        <v>0.85960000000000003</v>
      </c>
      <c r="F122" s="3388">
        <f t="shared" si="38"/>
        <v>0.85960000000000003</v>
      </c>
      <c r="G122" s="3388">
        <f t="shared" si="38"/>
        <v>0.85960000000000003</v>
      </c>
      <c r="H122" s="3388">
        <f t="shared" si="38"/>
        <v>0.85960000000000003</v>
      </c>
      <c r="I122" s="3388">
        <f>ROUND(0.7632-0.0166*B116,4)</f>
        <v>0.71899999999999997</v>
      </c>
      <c r="J122" s="3388">
        <f t="shared" si="36"/>
        <v>0.71899999999999997</v>
      </c>
      <c r="K122" s="3388">
        <f t="shared" si="36"/>
        <v>0.71899999999999997</v>
      </c>
      <c r="L122" s="3388">
        <f t="shared" si="36"/>
        <v>0.71899999999999997</v>
      </c>
      <c r="M122" s="3411">
        <f t="shared" si="36"/>
        <v>0.71899999999999997</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D1" zoomScale="70" zoomScaleNormal="70" zoomScaleSheetLayoutView="70" workbookViewId="0">
      <selection activeCell="J35" sqref="J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1" t="s">
        <v>694</v>
      </c>
      <c r="C6" s="1074">
        <f ca="1">ROUND(F6*F8*F7*(1-F9)/10000,0)</f>
        <v>0</v>
      </c>
      <c r="D6" s="155" t="s">
        <v>2109</v>
      </c>
      <c r="E6" s="302" t="s">
        <v>696</v>
      </c>
      <c r="F6" s="303">
        <f ca="1">INDIRECT("'数据-取费表'!u"&amp;$G$1)</f>
        <v>0</v>
      </c>
      <c r="G6" s="1384"/>
      <c r="H6" s="1069" t="s">
        <v>398</v>
      </c>
      <c r="I6" s="3661" t="s">
        <v>694</v>
      </c>
      <c r="J6" s="301">
        <f ca="1">ROUND(M6*M8*M7*(1-M9)/10000,0)</f>
        <v>0</v>
      </c>
      <c r="K6" s="155" t="s">
        <v>2108</v>
      </c>
      <c r="L6" s="302" t="s">
        <v>696</v>
      </c>
      <c r="M6" s="303">
        <f ca="1">INDIRECT("'数据-取费表'!z"&amp;$G$1)</f>
        <v>0</v>
      </c>
    </row>
    <row r="7" spans="1:37" ht="18" customHeight="1">
      <c r="A7" s="1073"/>
      <c r="B7" s="3662"/>
      <c r="C7" s="1075"/>
      <c r="D7" s="307"/>
      <c r="E7" s="1076" t="s">
        <v>697</v>
      </c>
      <c r="F7" s="303">
        <f ca="1">IF(INDIRECT("'数据-取费表'!ah"&amp;$G$1)="",INDIRECT("'数据-取费表'!k"&amp;$G$1),INDIRECT("'数据-取费表'!ah"&amp;$G$1))</f>
        <v>0</v>
      </c>
      <c r="G7" s="1384"/>
      <c r="H7" s="304"/>
      <c r="I7" s="3662"/>
      <c r="J7" s="306"/>
      <c r="K7" s="307"/>
      <c r="L7" s="302" t="s">
        <v>697</v>
      </c>
      <c r="M7" s="303">
        <f ca="1">F7</f>
        <v>0</v>
      </c>
    </row>
    <row r="8" spans="1:37" ht="18" customHeight="1">
      <c r="A8" s="304"/>
      <c r="B8" s="3662"/>
      <c r="C8" s="306"/>
      <c r="D8" s="307"/>
      <c r="E8" s="302" t="s">
        <v>698</v>
      </c>
      <c r="F8" s="303">
        <f ca="1">INDIRECT("'数据-取费表'!ai"&amp;$G$1)</f>
        <v>0</v>
      </c>
      <c r="G8" s="1384"/>
      <c r="H8" s="304"/>
      <c r="I8" s="3662"/>
      <c r="J8" s="306"/>
      <c r="K8" s="307"/>
      <c r="L8" s="302" t="s">
        <v>698</v>
      </c>
      <c r="M8" s="303">
        <f ca="1">INDIRECT("'数据-取费表'!ai"&amp;$G$1)</f>
        <v>0</v>
      </c>
    </row>
    <row r="9" spans="1:37" ht="18" customHeight="1">
      <c r="A9" s="304"/>
      <c r="B9" s="3663"/>
      <c r="C9" s="306"/>
      <c r="D9" s="307"/>
      <c r="E9" s="302" t="s">
        <v>699</v>
      </c>
      <c r="F9" s="312">
        <f ca="1">INDIRECT("'数据-取费表'!w"&amp;$G$1)</f>
        <v>0</v>
      </c>
      <c r="G9" s="1384"/>
      <c r="H9" s="304"/>
      <c r="I9" s="366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9" t="s">
        <v>837</v>
      </c>
      <c r="L53" s="366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1" t="s">
        <v>694</v>
      </c>
      <c r="C6" s="1074">
        <f ca="1">ROUND(F6*F8*F7*(1-F9),0)</f>
        <v>0</v>
      </c>
      <c r="D6" s="155" t="s">
        <v>2106</v>
      </c>
      <c r="E6" s="302" t="s">
        <v>696</v>
      </c>
      <c r="F6" s="303">
        <f ca="1">INDIRECT("'数据-取费表'!u"&amp;$G$1)</f>
        <v>0</v>
      </c>
      <c r="G6" s="1384"/>
      <c r="H6" s="1069" t="s">
        <v>398</v>
      </c>
      <c r="I6" s="3661" t="s">
        <v>694</v>
      </c>
      <c r="J6" s="301">
        <f ca="1">ROUND(M6*M8*M7*(1-M9),0)</f>
        <v>0</v>
      </c>
      <c r="K6" s="1376" t="s">
        <v>2107</v>
      </c>
      <c r="L6" s="302" t="s">
        <v>696</v>
      </c>
      <c r="M6" s="303">
        <f ca="1">INDIRECT("'数据-取费表'!z"&amp;$G$1)</f>
        <v>0</v>
      </c>
    </row>
    <row r="7" spans="1:37" ht="18" customHeight="1">
      <c r="A7" s="1073"/>
      <c r="B7" s="3662"/>
      <c r="C7" s="1075"/>
      <c r="D7" s="307"/>
      <c r="E7" s="1076" t="s">
        <v>697</v>
      </c>
      <c r="F7" s="303">
        <f ca="1">IF(INDIRECT("'数据-取费表'!ah"&amp;$G$1)="",INDIRECT("'数据-取费表'!k"&amp;$G$1),INDIRECT("'数据-取费表'!ah"&amp;$G$1))</f>
        <v>0</v>
      </c>
      <c r="G7" s="1384"/>
      <c r="H7" s="304"/>
      <c r="I7" s="3662"/>
      <c r="J7" s="306"/>
      <c r="K7" s="307"/>
      <c r="L7" s="302" t="s">
        <v>697</v>
      </c>
      <c r="M7" s="303">
        <f ca="1">F7</f>
        <v>0</v>
      </c>
    </row>
    <row r="8" spans="1:37" ht="18" customHeight="1">
      <c r="A8" s="304"/>
      <c r="B8" s="3662"/>
      <c r="C8" s="306"/>
      <c r="D8" s="307"/>
      <c r="E8" s="302" t="s">
        <v>698</v>
      </c>
      <c r="F8" s="303">
        <f ca="1">INDIRECT("'数据-取费表'!ai"&amp;$G$1)</f>
        <v>0</v>
      </c>
      <c r="G8" s="1384"/>
      <c r="H8" s="304"/>
      <c r="I8" s="3662"/>
      <c r="J8" s="306"/>
      <c r="K8" s="307"/>
      <c r="L8" s="302" t="s">
        <v>698</v>
      </c>
      <c r="M8" s="303">
        <f ca="1">INDIRECT("'数据-取费表'!ai"&amp;$G$1)</f>
        <v>0</v>
      </c>
    </row>
    <row r="9" spans="1:37" ht="18" customHeight="1">
      <c r="A9" s="304"/>
      <c r="B9" s="3663"/>
      <c r="C9" s="306"/>
      <c r="D9" s="307"/>
      <c r="E9" s="302" t="s">
        <v>699</v>
      </c>
      <c r="F9" s="312">
        <f ca="1">INDIRECT("'数据-取费表'!w"&amp;$G$1)</f>
        <v>0</v>
      </c>
      <c r="G9" s="1384"/>
      <c r="H9" s="304"/>
      <c r="I9" s="366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9" t="s">
        <v>837</v>
      </c>
      <c r="L53" s="366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G1" zoomScale="80" zoomScaleNormal="80" workbookViewId="0">
      <selection activeCell="T47" sqref="T47"/>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2431</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f>IF(D2="——",C40,C40+E2)</f>
        <v>33466</v>
      </c>
      <c r="C2" s="2844" t="s">
        <v>2319</v>
      </c>
      <c r="D2" s="3443" t="s">
        <v>3359</v>
      </c>
      <c r="E2" s="3444"/>
      <c r="F2" s="2846"/>
      <c r="G2" s="2847"/>
      <c r="H2" s="2848"/>
      <c r="I2" s="2849"/>
      <c r="J2" s="3664" t="s">
        <v>2320</v>
      </c>
      <c r="K2" s="3665"/>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f>ROUND(B2*10000/B4,0)</f>
        <v>33967</v>
      </c>
      <c r="C3" s="2844" t="s">
        <v>2329</v>
      </c>
      <c r="D3" s="2844"/>
      <c r="E3" s="2845"/>
      <c r="F3" s="2846"/>
      <c r="G3" s="2847"/>
      <c r="H3" s="2848"/>
      <c r="I3" s="2849"/>
      <c r="J3" s="3666" t="s">
        <v>2330</v>
      </c>
      <c r="K3" s="3667"/>
      <c r="L3" s="2856"/>
      <c r="M3" s="2856"/>
      <c r="N3" s="2856"/>
      <c r="O3" s="2856"/>
      <c r="P3" s="2856"/>
      <c r="Q3" s="2857"/>
      <c r="R3" s="2858">
        <f>SUM(L3:Q3)</f>
        <v>0</v>
      </c>
      <c r="S3" s="2841"/>
      <c r="T3" s="2841"/>
      <c r="U3" s="2841"/>
      <c r="V3" s="2849"/>
    </row>
    <row r="4" spans="1:22" s="2853" customFormat="1" ht="13.15" customHeight="1">
      <c r="A4" s="2859" t="s">
        <v>2331</v>
      </c>
      <c r="B4" s="2860">
        <f>'数据-基础表'!B3</f>
        <v>9852.5</v>
      </c>
      <c r="C4" s="2844"/>
      <c r="D4" s="2844"/>
      <c r="E4" s="2845"/>
      <c r="F4" s="2846"/>
      <c r="G4" s="2847"/>
      <c r="H4" s="2848"/>
      <c r="I4" s="2849"/>
      <c r="J4" s="3666" t="s">
        <v>2332</v>
      </c>
      <c r="K4" s="3667"/>
      <c r="L4" s="2861"/>
      <c r="M4" s="2861"/>
      <c r="N4" s="2861"/>
      <c r="O4" s="2861"/>
      <c r="P4" s="2861"/>
      <c r="Q4" s="2862"/>
      <c r="R4" s="2863">
        <f>SUM(L4:Q4)</f>
        <v>0</v>
      </c>
      <c r="S4" s="2841"/>
      <c r="T4" s="2841"/>
      <c r="U4" s="2841"/>
      <c r="V4" s="2849"/>
    </row>
    <row r="5" spans="1:22" s="2853" customFormat="1" ht="13.15" customHeight="1" thickBot="1">
      <c r="A5" s="2864" t="s">
        <v>2333</v>
      </c>
      <c r="B5" s="2865">
        <f>'数据-基础表'!A3</f>
        <v>3500.6</v>
      </c>
      <c r="C5" s="2844"/>
      <c r="D5" s="2866"/>
      <c r="E5" s="2846"/>
      <c r="F5" s="2846"/>
      <c r="G5" s="2847"/>
      <c r="H5" s="2848"/>
      <c r="I5" s="2849"/>
      <c r="J5" s="2867" t="s">
        <v>2334</v>
      </c>
      <c r="K5" s="2868"/>
      <c r="L5" s="2868"/>
      <c r="M5" s="2869"/>
      <c r="N5" s="2869"/>
      <c r="O5" s="2869"/>
      <c r="P5" s="2869"/>
      <c r="Q5" s="2869"/>
      <c r="R5" s="2852">
        <f>SUM(R14,R19,R24,R25,R27,R28)</f>
        <v>6745</v>
      </c>
      <c r="S5" s="2841"/>
      <c r="T5" s="2841" t="s">
        <v>2335</v>
      </c>
      <c r="U5" s="2841" t="e">
        <f>ROUND(R5*10000/365/R3,1)</f>
        <v>#DIV/0!</v>
      </c>
      <c r="V5" s="2849"/>
    </row>
    <row r="6" spans="1:22" s="2853" customFormat="1" ht="13.15" customHeight="1" thickBot="1">
      <c r="A6" s="3668" t="s">
        <v>2336</v>
      </c>
      <c r="B6" s="3669"/>
      <c r="C6" s="3670"/>
      <c r="D6" s="2870">
        <f>R5</f>
        <v>6745</v>
      </c>
      <c r="E6" s="2871"/>
      <c r="F6" s="2872"/>
      <c r="G6" s="2873"/>
      <c r="H6" s="2848"/>
      <c r="I6" s="2849"/>
      <c r="J6" s="3671">
        <v>1</v>
      </c>
      <c r="K6" s="3672"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3474</v>
      </c>
      <c r="E7" s="2880">
        <f>E9+E10+E11+E17</f>
        <v>0.51493699036323204</v>
      </c>
      <c r="F7" s="2881"/>
      <c r="G7" s="2882"/>
      <c r="H7" s="2848"/>
      <c r="I7" s="2849"/>
      <c r="J7" s="3671"/>
      <c r="K7" s="3673"/>
      <c r="L7" s="3453" t="s">
        <v>3408</v>
      </c>
      <c r="M7" s="2884">
        <v>115</v>
      </c>
      <c r="N7" s="2860">
        <v>780</v>
      </c>
      <c r="O7" s="2885">
        <v>0.75</v>
      </c>
      <c r="P7" s="2885">
        <v>0.65</v>
      </c>
      <c r="Q7" s="2886">
        <v>365</v>
      </c>
      <c r="R7" s="2887">
        <f>ROUND(M7*N7*O7*P7*Q7/10000,0)</f>
        <v>1596</v>
      </c>
      <c r="S7" s="2841"/>
      <c r="T7" s="2841" t="s">
        <v>2347</v>
      </c>
      <c r="U7" s="2841"/>
      <c r="V7" s="2849"/>
    </row>
    <row r="8" spans="1:22" s="2853" customFormat="1" ht="13.15" customHeight="1">
      <c r="A8" s="2888" t="s">
        <v>2348</v>
      </c>
      <c r="B8" s="3675" t="s">
        <v>2349</v>
      </c>
      <c r="C8" s="3676"/>
      <c r="D8" s="2889" t="s">
        <v>2350</v>
      </c>
      <c r="E8" s="2890" t="s">
        <v>2351</v>
      </c>
      <c r="F8" s="2891" t="s">
        <v>2352</v>
      </c>
      <c r="G8" s="2892"/>
      <c r="H8" s="2848"/>
      <c r="I8" s="2849"/>
      <c r="J8" s="3671"/>
      <c r="K8" s="3673"/>
      <c r="L8" s="3453" t="s">
        <v>3409</v>
      </c>
      <c r="M8" s="2884">
        <v>48</v>
      </c>
      <c r="N8" s="2860">
        <v>780</v>
      </c>
      <c r="O8" s="2885">
        <v>0.75</v>
      </c>
      <c r="P8" s="2885">
        <v>0.65</v>
      </c>
      <c r="Q8" s="2886">
        <v>365</v>
      </c>
      <c r="R8" s="2887">
        <f t="shared" ref="R8:R13" si="0">ROUND(M8*N8*O8*P8*Q8/10000,0)</f>
        <v>666</v>
      </c>
      <c r="S8" s="2841"/>
      <c r="T8" s="2841" t="s">
        <v>2353</v>
      </c>
      <c r="U8" s="2841"/>
      <c r="V8" s="2849"/>
    </row>
    <row r="9" spans="1:22" s="2853" customFormat="1" ht="13.15" customHeight="1">
      <c r="A9" s="2888">
        <v>1</v>
      </c>
      <c r="B9" s="3675" t="s">
        <v>2354</v>
      </c>
      <c r="C9" s="3676"/>
      <c r="D9" s="2889">
        <f>ROUND(D6*E9,0)</f>
        <v>1349</v>
      </c>
      <c r="E9" s="2893">
        <v>0.2</v>
      </c>
      <c r="F9" s="2894" t="s">
        <v>2355</v>
      </c>
      <c r="G9" s="2873"/>
      <c r="H9" s="2848"/>
      <c r="I9" s="2849"/>
      <c r="J9" s="3671"/>
      <c r="K9" s="3673"/>
      <c r="L9" s="3453" t="s">
        <v>3410</v>
      </c>
      <c r="M9" s="2884">
        <v>12</v>
      </c>
      <c r="N9" s="2860">
        <v>880</v>
      </c>
      <c r="O9" s="2885">
        <v>0.75</v>
      </c>
      <c r="P9" s="2885">
        <v>0.65</v>
      </c>
      <c r="Q9" s="2886">
        <v>365</v>
      </c>
      <c r="R9" s="2887">
        <f t="shared" si="0"/>
        <v>188</v>
      </c>
      <c r="S9" s="2841"/>
      <c r="T9" s="2841"/>
      <c r="U9" s="2841"/>
      <c r="V9" s="2849"/>
    </row>
    <row r="10" spans="1:22" s="2853" customFormat="1" ht="13.15" customHeight="1">
      <c r="A10" s="2888">
        <v>2</v>
      </c>
      <c r="B10" s="3675" t="s">
        <v>2356</v>
      </c>
      <c r="C10" s="3676"/>
      <c r="D10" s="2889">
        <f>ROUND(D6*E10,0)</f>
        <v>1012</v>
      </c>
      <c r="E10" s="2893">
        <v>0.15</v>
      </c>
      <c r="F10" s="2894" t="s">
        <v>2357</v>
      </c>
      <c r="G10" s="2873"/>
      <c r="H10" s="2848"/>
      <c r="I10" s="2849"/>
      <c r="J10" s="3671"/>
      <c r="K10" s="3673"/>
      <c r="L10" s="3453" t="s">
        <v>3411</v>
      </c>
      <c r="M10" s="2884">
        <v>12</v>
      </c>
      <c r="N10" s="2860">
        <v>880</v>
      </c>
      <c r="O10" s="2885">
        <v>0.75</v>
      </c>
      <c r="P10" s="2885">
        <v>0.65</v>
      </c>
      <c r="Q10" s="2886">
        <v>365</v>
      </c>
      <c r="R10" s="2887">
        <f t="shared" si="0"/>
        <v>188</v>
      </c>
      <c r="S10" s="2841"/>
      <c r="T10" s="2841"/>
      <c r="U10" s="2841"/>
      <c r="V10" s="2849"/>
    </row>
    <row r="11" spans="1:22" s="2853" customFormat="1" ht="13.15" customHeight="1">
      <c r="A11" s="2888">
        <v>3</v>
      </c>
      <c r="B11" s="3675" t="s">
        <v>2358</v>
      </c>
      <c r="C11" s="3676"/>
      <c r="D11" s="2889">
        <f>D12+D14+D15+D16</f>
        <v>438</v>
      </c>
      <c r="E11" s="2895">
        <f>D11/D6</f>
        <v>6.4936990363232028E-2</v>
      </c>
      <c r="F11" s="2891"/>
      <c r="G11" s="2892"/>
      <c r="H11" s="2848"/>
      <c r="I11" s="2849"/>
      <c r="J11" s="3671"/>
      <c r="K11" s="3673"/>
      <c r="L11" s="3453" t="s">
        <v>3412</v>
      </c>
      <c r="M11" s="2884">
        <v>1</v>
      </c>
      <c r="N11" s="2860">
        <v>2180</v>
      </c>
      <c r="O11" s="2885">
        <v>0.75</v>
      </c>
      <c r="P11" s="2885">
        <v>0.5</v>
      </c>
      <c r="Q11" s="2886">
        <v>365</v>
      </c>
      <c r="R11" s="2887">
        <f t="shared" si="0"/>
        <v>30</v>
      </c>
      <c r="S11" s="2841"/>
      <c r="T11" s="2841"/>
      <c r="U11" s="2841"/>
      <c r="V11" s="2849"/>
    </row>
    <row r="12" spans="1:22" s="2853" customFormat="1" ht="13.15" customHeight="1">
      <c r="A12" s="2896" t="s">
        <v>2359</v>
      </c>
      <c r="B12" s="3677" t="s">
        <v>2360</v>
      </c>
      <c r="C12" s="3678"/>
      <c r="D12" s="2897">
        <f>ROUND(D13*1.2%*(1-30%),0)</f>
        <v>61</v>
      </c>
      <c r="E12" s="2898">
        <v>1.2E-2</v>
      </c>
      <c r="F12" s="2891" t="s">
        <v>2361</v>
      </c>
      <c r="G12" s="2892"/>
      <c r="H12" s="2848"/>
      <c r="I12" s="2849"/>
      <c r="J12" s="3671"/>
      <c r="K12" s="3673"/>
      <c r="L12" s="3453" t="s">
        <v>3413</v>
      </c>
      <c r="M12" s="2884">
        <v>1</v>
      </c>
      <c r="N12" s="2860">
        <v>1580</v>
      </c>
      <c r="O12" s="2885">
        <v>0.75</v>
      </c>
      <c r="P12" s="2885">
        <v>0.5</v>
      </c>
      <c r="Q12" s="2886">
        <v>365</v>
      </c>
      <c r="R12" s="2887">
        <f t="shared" si="0"/>
        <v>22</v>
      </c>
      <c r="S12" s="2841"/>
      <c r="T12" s="2841"/>
      <c r="U12" s="2841"/>
      <c r="V12" s="2849"/>
    </row>
    <row r="13" spans="1:22" s="2853" customFormat="1" ht="13.15" customHeight="1">
      <c r="A13" s="2896"/>
      <c r="B13" s="2899"/>
      <c r="C13" s="2900" t="s">
        <v>2362</v>
      </c>
      <c r="D13" s="2901">
        <v>7281</v>
      </c>
      <c r="E13" s="2902"/>
      <c r="F13" s="2891"/>
      <c r="G13" s="2892"/>
      <c r="H13" s="2848"/>
      <c r="I13" s="2849"/>
      <c r="J13" s="3671"/>
      <c r="K13" s="3673"/>
      <c r="L13" s="3453" t="s">
        <v>3414</v>
      </c>
      <c r="M13" s="2884">
        <v>1</v>
      </c>
      <c r="N13" s="2860">
        <v>1380</v>
      </c>
      <c r="O13" s="2885">
        <v>0.75</v>
      </c>
      <c r="P13" s="2885">
        <v>0.55000000000000004</v>
      </c>
      <c r="Q13" s="2886">
        <v>365</v>
      </c>
      <c r="R13" s="2887">
        <f t="shared" si="0"/>
        <v>21</v>
      </c>
      <c r="S13" s="2841"/>
      <c r="T13" s="2841"/>
      <c r="U13" s="2841"/>
      <c r="V13" s="2849"/>
    </row>
    <row r="14" spans="1:22" s="2853" customFormat="1" ht="13.15" customHeight="1">
      <c r="A14" s="2896" t="s">
        <v>2363</v>
      </c>
      <c r="B14" s="3677" t="s">
        <v>2364</v>
      </c>
      <c r="C14" s="3678"/>
      <c r="D14" s="2897">
        <f>ROUND(E14*B5/10000,0)</f>
        <v>6</v>
      </c>
      <c r="E14" s="2886">
        <v>18</v>
      </c>
      <c r="F14" s="2891" t="s">
        <v>2365</v>
      </c>
      <c r="G14" s="2892"/>
      <c r="H14" s="2848"/>
      <c r="I14" s="2849"/>
      <c r="J14" s="3671"/>
      <c r="K14" s="3674"/>
      <c r="L14" s="2903" t="s">
        <v>2366</v>
      </c>
      <c r="M14" s="2904">
        <f>SUM(M7:M13)</f>
        <v>190</v>
      </c>
      <c r="N14" s="2904">
        <f>ROUND((N7*M7+N8*M8+N9*M9+N10*M10+N11*M11+N12*M12+N13*M13)/M14,0)</f>
        <v>807</v>
      </c>
      <c r="O14" s="2905"/>
      <c r="P14" s="2905"/>
      <c r="Q14" s="2906"/>
      <c r="R14" s="2852">
        <f>SUM(R7:R13)</f>
        <v>2711</v>
      </c>
      <c r="S14" s="2841"/>
      <c r="T14" s="2841"/>
      <c r="U14" s="2841"/>
      <c r="V14" s="2849"/>
    </row>
    <row r="15" spans="1:22" s="2853" customFormat="1" ht="13.15" customHeight="1">
      <c r="A15" s="2896" t="s">
        <v>2367</v>
      </c>
      <c r="B15" s="3677" t="s">
        <v>2368</v>
      </c>
      <c r="C15" s="3678"/>
      <c r="D15" s="2897">
        <f>ROUND(D6*E15,0)</f>
        <v>371</v>
      </c>
      <c r="E15" s="2898">
        <v>5.5E-2</v>
      </c>
      <c r="F15" s="2891" t="s">
        <v>2369</v>
      </c>
      <c r="G15" s="2873"/>
      <c r="H15" s="2848"/>
      <c r="I15" s="2849"/>
      <c r="J15" s="3671">
        <v>2</v>
      </c>
      <c r="K15" s="3672" t="s">
        <v>2370</v>
      </c>
      <c r="L15" s="2883" t="s">
        <v>2371</v>
      </c>
      <c r="M15" s="2884" t="s">
        <v>2372</v>
      </c>
      <c r="N15" s="2884" t="s">
        <v>2373</v>
      </c>
      <c r="O15" s="2885" t="s">
        <v>2374</v>
      </c>
      <c r="P15" s="2885" t="s">
        <v>2343</v>
      </c>
      <c r="Q15" s="2860" t="s">
        <v>2375</v>
      </c>
      <c r="R15" s="2907" t="s">
        <v>2344</v>
      </c>
      <c r="S15" s="2841"/>
      <c r="T15" s="2841"/>
      <c r="U15" s="2841"/>
      <c r="V15" s="2849"/>
    </row>
    <row r="16" spans="1:22" s="2853" customFormat="1" ht="13.15" customHeight="1">
      <c r="A16" s="2896" t="s">
        <v>2376</v>
      </c>
      <c r="B16" s="3677" t="s">
        <v>2377</v>
      </c>
      <c r="C16" s="3678"/>
      <c r="D16" s="2908">
        <f>D6*E16</f>
        <v>0</v>
      </c>
      <c r="E16" s="2909"/>
      <c r="F16" s="2894" t="s">
        <v>2378</v>
      </c>
      <c r="G16" s="2873"/>
      <c r="H16" s="2848"/>
      <c r="I16" s="2849"/>
      <c r="J16" s="3671"/>
      <c r="K16" s="3673"/>
      <c r="L16" s="2883" t="s">
        <v>2379</v>
      </c>
      <c r="M16" s="2884">
        <v>200</v>
      </c>
      <c r="N16" s="2884">
        <v>440</v>
      </c>
      <c r="O16" s="2885">
        <v>0.7</v>
      </c>
      <c r="P16" s="2886">
        <v>365</v>
      </c>
      <c r="Q16" s="2860"/>
      <c r="R16" s="2907">
        <f>ROUND(M16*N16*O16*P16/10000,0)</f>
        <v>2248</v>
      </c>
      <c r="S16" s="2841"/>
      <c r="T16" s="2841"/>
      <c r="U16" s="2841"/>
      <c r="V16" s="2849"/>
    </row>
    <row r="17" spans="1:22" s="2853" customFormat="1" ht="13.15" customHeight="1" thickBot="1">
      <c r="A17" s="2910">
        <v>4</v>
      </c>
      <c r="B17" s="3679" t="s">
        <v>2380</v>
      </c>
      <c r="C17" s="3680"/>
      <c r="D17" s="2911">
        <f>ROUND(D6*E17,0)</f>
        <v>675</v>
      </c>
      <c r="E17" s="2912">
        <v>0.1</v>
      </c>
      <c r="F17" s="2913" t="s">
        <v>2381</v>
      </c>
      <c r="G17" s="2873"/>
      <c r="H17" s="2848"/>
      <c r="I17" s="2849"/>
      <c r="J17" s="3671"/>
      <c r="K17" s="3673"/>
      <c r="L17" s="2883" t="s">
        <v>2382</v>
      </c>
      <c r="M17" s="2884">
        <v>140</v>
      </c>
      <c r="N17" s="2884">
        <v>200</v>
      </c>
      <c r="O17" s="2885">
        <v>0.75</v>
      </c>
      <c r="P17" s="2886">
        <v>365</v>
      </c>
      <c r="Q17" s="2860"/>
      <c r="R17" s="2907">
        <f>ROUND(M17*N17*O17*P17/10000,0)</f>
        <v>767</v>
      </c>
      <c r="S17" s="2841"/>
      <c r="T17" s="2841"/>
      <c r="U17" s="2841"/>
      <c r="V17" s="2849"/>
    </row>
    <row r="18" spans="1:22" s="2853" customFormat="1" ht="13.15" customHeight="1" thickBot="1">
      <c r="A18" s="2876" t="s">
        <v>2383</v>
      </c>
      <c r="B18" s="2877"/>
      <c r="C18" s="2877"/>
      <c r="D18" s="2914">
        <f>ROUND(D6*E18,0)</f>
        <v>337</v>
      </c>
      <c r="E18" s="2915">
        <v>0.05</v>
      </c>
      <c r="F18" s="2916" t="s">
        <v>2384</v>
      </c>
      <c r="G18" s="2873"/>
      <c r="H18" s="2848"/>
      <c r="I18" s="2849"/>
      <c r="J18" s="3671"/>
      <c r="K18" s="3673"/>
      <c r="L18" s="2883" t="s">
        <v>2385</v>
      </c>
      <c r="M18" s="2884"/>
      <c r="N18" s="2884"/>
      <c r="O18" s="2885"/>
      <c r="P18" s="2886">
        <v>365</v>
      </c>
      <c r="Q18" s="2860"/>
      <c r="R18" s="2907">
        <f>ROUND(M18*N18*O18*P18/10000,0)</f>
        <v>0</v>
      </c>
      <c r="S18" s="2841"/>
      <c r="T18" s="2841"/>
      <c r="U18" s="2841"/>
      <c r="V18" s="2849"/>
    </row>
    <row r="19" spans="1:22" s="2853" customFormat="1" ht="13.15" customHeight="1" thickBot="1">
      <c r="A19" s="2917" t="s">
        <v>2386</v>
      </c>
      <c r="B19" s="2871"/>
      <c r="C19" s="2871"/>
      <c r="D19" s="2871"/>
      <c r="E19" s="2871"/>
      <c r="F19" s="2872"/>
      <c r="G19" s="2892"/>
      <c r="H19" s="2848"/>
      <c r="I19" s="2849"/>
      <c r="J19" s="3671"/>
      <c r="K19" s="3674"/>
      <c r="L19" s="2903" t="s">
        <v>2366</v>
      </c>
      <c r="M19" s="2904"/>
      <c r="N19" s="2904">
        <f>SUM(N16:N18)</f>
        <v>640</v>
      </c>
      <c r="O19" s="2905"/>
      <c r="P19" s="2918" t="s">
        <v>2430</v>
      </c>
      <c r="Q19" s="2885">
        <v>0</v>
      </c>
      <c r="R19" s="2919">
        <f>ROUND(IF(P19="按比例",R14*Q19,SUM(R16:R18)),0)</f>
        <v>3015</v>
      </c>
      <c r="S19" s="2841"/>
      <c r="T19" s="2841"/>
      <c r="U19" s="2841"/>
      <c r="V19" s="2849"/>
    </row>
    <row r="20" spans="1:22" s="2853" customFormat="1" ht="13.15" customHeight="1">
      <c r="A20" s="2876"/>
      <c r="B20" s="2877"/>
      <c r="C20" s="2877"/>
      <c r="D20" s="2877"/>
      <c r="E20" s="2877"/>
      <c r="F20" s="2920"/>
      <c r="G20" s="2892"/>
      <c r="H20" s="2848"/>
      <c r="I20" s="2849"/>
      <c r="J20" s="3671">
        <v>3</v>
      </c>
      <c r="K20" s="3672" t="s">
        <v>2387</v>
      </c>
      <c r="L20" s="2883" t="s">
        <v>2388</v>
      </c>
      <c r="M20" s="2884" t="s">
        <v>2389</v>
      </c>
      <c r="N20" s="2921" t="s">
        <v>2390</v>
      </c>
      <c r="O20" s="2885" t="s">
        <v>2391</v>
      </c>
      <c r="P20" s="2886" t="s">
        <v>2392</v>
      </c>
      <c r="Q20" s="2860" t="s">
        <v>2393</v>
      </c>
      <c r="R20" s="2907" t="s">
        <v>2394</v>
      </c>
      <c r="S20" s="2922"/>
      <c r="T20" s="2922"/>
      <c r="U20" s="2922"/>
      <c r="V20" s="2849"/>
    </row>
    <row r="21" spans="1:22" s="2853" customFormat="1" ht="13.15" customHeight="1">
      <c r="A21" s="2876"/>
      <c r="B21" s="2877"/>
      <c r="C21" s="2923" t="s">
        <v>2395</v>
      </c>
      <c r="D21" s="2924" t="s">
        <v>2396</v>
      </c>
      <c r="E21" s="2925" t="s">
        <v>2397</v>
      </c>
      <c r="F21" s="2920"/>
      <c r="G21" s="2892"/>
      <c r="H21" s="2848"/>
      <c r="I21" s="2849"/>
      <c r="J21" s="3671"/>
      <c r="K21" s="3673"/>
      <c r="L21" s="2883" t="s">
        <v>2398</v>
      </c>
      <c r="M21" s="2884">
        <v>2</v>
      </c>
      <c r="N21" s="2884">
        <v>8000</v>
      </c>
      <c r="O21" s="2885">
        <v>0.5</v>
      </c>
      <c r="P21" s="2886">
        <v>365</v>
      </c>
      <c r="Q21" s="2860"/>
      <c r="R21" s="2926">
        <f>ROUND(M21*N21*O21*P21/10000,0)</f>
        <v>292</v>
      </c>
      <c r="S21" s="2922"/>
      <c r="T21" s="2922"/>
      <c r="U21" s="2922"/>
      <c r="V21" s="2849"/>
    </row>
    <row r="22" spans="1:22" s="2853" customFormat="1" ht="13.15" customHeight="1">
      <c r="A22" s="2876"/>
      <c r="B22" s="2877"/>
      <c r="C22" s="2927" t="s">
        <v>2399</v>
      </c>
      <c r="D22" s="2928" t="s">
        <v>2400</v>
      </c>
      <c r="E22" s="2929" t="s">
        <v>2401</v>
      </c>
      <c r="F22" s="2920"/>
      <c r="G22" s="2930"/>
      <c r="H22" s="2848"/>
      <c r="I22" s="2849"/>
      <c r="J22" s="3671"/>
      <c r="K22" s="3673"/>
      <c r="L22" s="2883" t="s">
        <v>2402</v>
      </c>
      <c r="M22" s="2884">
        <v>5</v>
      </c>
      <c r="N22" s="2884">
        <v>5000</v>
      </c>
      <c r="O22" s="2885">
        <v>0.5</v>
      </c>
      <c r="P22" s="2886">
        <v>365</v>
      </c>
      <c r="Q22" s="2860"/>
      <c r="R22" s="2926">
        <f>ROUND(M22*N22*O22*P22/10000,0)</f>
        <v>456</v>
      </c>
      <c r="S22" s="2922"/>
      <c r="T22" s="2922"/>
      <c r="U22" s="2922"/>
      <c r="V22" s="2849"/>
    </row>
    <row r="23" spans="1:22" s="2853" customFormat="1" ht="13.15" customHeight="1">
      <c r="A23" s="2931">
        <v>1</v>
      </c>
      <c r="B23" s="2932" t="s">
        <v>2403</v>
      </c>
      <c r="C23" s="2933">
        <f>D6</f>
        <v>6745</v>
      </c>
      <c r="D23" s="2934">
        <f>C23*(1+D24)</f>
        <v>6745</v>
      </c>
      <c r="E23" s="2935">
        <f>D23*(1+E24)</f>
        <v>6745</v>
      </c>
      <c r="F23" s="2936"/>
      <c r="G23" s="2937"/>
      <c r="H23" s="2848"/>
      <c r="I23" s="2849"/>
      <c r="J23" s="3671"/>
      <c r="K23" s="3673"/>
      <c r="L23" s="2883" t="s">
        <v>2404</v>
      </c>
      <c r="M23" s="2884"/>
      <c r="N23" s="2884"/>
      <c r="O23" s="2885"/>
      <c r="P23" s="2886">
        <v>365</v>
      </c>
      <c r="Q23" s="2860"/>
      <c r="R23" s="2926">
        <f>ROUND(M23*N23*O23*P23/10000,0)</f>
        <v>0</v>
      </c>
      <c r="S23" s="2841"/>
      <c r="T23" s="2841"/>
      <c r="U23" s="2841"/>
      <c r="V23" s="2849"/>
    </row>
    <row r="24" spans="1:22" s="2853" customFormat="1" ht="13.15" customHeight="1">
      <c r="A24" s="2938"/>
      <c r="B24" s="2939" t="s">
        <v>2405</v>
      </c>
      <c r="C24" s="2940"/>
      <c r="D24" s="2941"/>
      <c r="E24" s="2942"/>
      <c r="F24" s="2943"/>
      <c r="G24" s="2937"/>
      <c r="H24" s="2848"/>
      <c r="I24" s="2849"/>
      <c r="J24" s="3671"/>
      <c r="K24" s="3674"/>
      <c r="L24" s="2903" t="s">
        <v>2366</v>
      </c>
      <c r="M24" s="2904">
        <f>SUM(M21:M23)</f>
        <v>7</v>
      </c>
      <c r="N24" s="2904"/>
      <c r="O24" s="2905"/>
      <c r="P24" s="2918" t="s">
        <v>2430</v>
      </c>
      <c r="Q24" s="2885">
        <v>0</v>
      </c>
      <c r="R24" s="2919">
        <f>ROUND(IF(P24="按比例",R14*Q24,SUM(R21:R23)),0)</f>
        <v>748</v>
      </c>
      <c r="S24" s="2841"/>
      <c r="T24" s="2841"/>
      <c r="U24" s="2841"/>
      <c r="V24" s="2849"/>
    </row>
    <row r="25" spans="1:22" s="2950" customFormat="1" ht="13.15" customHeight="1">
      <c r="A25" s="2938"/>
      <c r="B25" s="2939"/>
      <c r="C25" s="2940"/>
      <c r="D25" s="2941"/>
      <c r="E25" s="2942"/>
      <c r="F25" s="2943"/>
      <c r="G25" s="2930"/>
      <c r="H25" s="2848"/>
      <c r="I25" s="2849"/>
      <c r="J25" s="2944">
        <v>4</v>
      </c>
      <c r="K25" s="2945" t="s">
        <v>2406</v>
      </c>
      <c r="L25" s="2946"/>
      <c r="M25" s="2946"/>
      <c r="N25" s="2946"/>
      <c r="O25" s="2946"/>
      <c r="P25" s="2947"/>
      <c r="Q25" s="2948">
        <v>0.1</v>
      </c>
      <c r="R25" s="2919">
        <f>ROUND(R14*Q25,0)</f>
        <v>271</v>
      </c>
      <c r="S25" s="2841"/>
      <c r="T25" s="2841"/>
      <c r="U25" s="2841"/>
      <c r="V25" s="2949"/>
    </row>
    <row r="26" spans="1:22" s="2950" customFormat="1" ht="13.15" customHeight="1">
      <c r="A26" s="2931">
        <v>2</v>
      </c>
      <c r="B26" s="2932" t="s">
        <v>2407</v>
      </c>
      <c r="C26" s="2933">
        <f>D7</f>
        <v>3474</v>
      </c>
      <c r="D26" s="2934">
        <f>D23*D27</f>
        <v>0</v>
      </c>
      <c r="E26" s="2935">
        <f>E23*E27</f>
        <v>0</v>
      </c>
      <c r="F26" s="2936"/>
      <c r="G26" s="2937"/>
      <c r="H26" s="2848"/>
      <c r="I26" s="2849"/>
      <c r="J26" s="3681">
        <v>5</v>
      </c>
      <c r="K26" s="2951" t="s">
        <v>2408</v>
      </c>
      <c r="L26" s="2952"/>
      <c r="M26" s="2953"/>
      <c r="N26" s="2954" t="s">
        <v>2409</v>
      </c>
      <c r="O26" s="2954" t="s">
        <v>2410</v>
      </c>
      <c r="P26" s="2955" t="s">
        <v>2411</v>
      </c>
      <c r="Q26" s="2955" t="s">
        <v>2412</v>
      </c>
      <c r="R26" s="2858" t="s">
        <v>2344</v>
      </c>
      <c r="S26" s="2956"/>
      <c r="T26" s="2956"/>
      <c r="U26" s="2956"/>
      <c r="V26" s="2949"/>
    </row>
    <row r="27" spans="1:22" s="2853" customFormat="1" ht="13.15" customHeight="1">
      <c r="A27" s="2938"/>
      <c r="B27" s="2939" t="s">
        <v>2413</v>
      </c>
      <c r="C27" s="2957">
        <f>E7</f>
        <v>0.51493699036323204</v>
      </c>
      <c r="D27" s="2941"/>
      <c r="E27" s="2942"/>
      <c r="F27" s="2943"/>
      <c r="G27" s="2937"/>
      <c r="H27" s="2958"/>
      <c r="I27" s="2949"/>
      <c r="J27" s="368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2414</v>
      </c>
      <c r="F28" s="2943"/>
      <c r="G28" s="2930"/>
      <c r="H28" s="2958"/>
      <c r="I28" s="2949"/>
      <c r="J28" s="2964">
        <v>6</v>
      </c>
      <c r="K28" s="2965" t="s">
        <v>2415</v>
      </c>
      <c r="L28" s="2966" t="s">
        <v>2416</v>
      </c>
      <c r="M28" s="2967"/>
      <c r="N28" s="2966" t="s">
        <v>2417</v>
      </c>
      <c r="O28" s="2968"/>
      <c r="P28" s="2966" t="s">
        <v>2418</v>
      </c>
      <c r="Q28" s="2969">
        <v>1.4999999999999999E-2</v>
      </c>
      <c r="R28" s="2970"/>
      <c r="S28" s="2922"/>
      <c r="T28" s="2922"/>
      <c r="U28" s="2922"/>
      <c r="V28" s="2949"/>
    </row>
    <row r="29" spans="1:22" s="2950" customFormat="1" ht="13.15" customHeight="1">
      <c r="A29" s="2931">
        <v>3</v>
      </c>
      <c r="B29" s="2932" t="s">
        <v>2419</v>
      </c>
      <c r="C29" s="2933">
        <f>C23*C30</f>
        <v>337.25</v>
      </c>
      <c r="D29" s="2934">
        <f>D23*C30</f>
        <v>337.25</v>
      </c>
      <c r="E29" s="2935">
        <f>E23*C30</f>
        <v>337.25</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2413</v>
      </c>
      <c r="C30" s="2957">
        <f>E18</f>
        <v>0.05</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2420</v>
      </c>
      <c r="K31" s="2839"/>
      <c r="L31" s="2839"/>
      <c r="M31" s="2839"/>
      <c r="N31" s="2839"/>
      <c r="O31" s="2839"/>
      <c r="P31" s="2839"/>
      <c r="Q31" s="2839"/>
      <c r="R31" s="2840"/>
      <c r="S31" s="2922"/>
      <c r="T31" s="2841"/>
      <c r="U31" s="2841"/>
      <c r="V31" s="2949"/>
    </row>
    <row r="32" spans="1:22" s="2950" customFormat="1" ht="13.15" customHeight="1">
      <c r="A32" s="2931">
        <v>4</v>
      </c>
      <c r="B32" s="2932" t="s">
        <v>2421</v>
      </c>
      <c r="C32" s="2933">
        <f>C23-C26-C29</f>
        <v>2933.75</v>
      </c>
      <c r="D32" s="2934">
        <f>D23-D26-D29</f>
        <v>6407.75</v>
      </c>
      <c r="E32" s="2935">
        <f>E23-E26-E29</f>
        <v>6407.75</v>
      </c>
      <c r="F32" s="2936"/>
      <c r="G32" s="2930"/>
      <c r="H32" s="2848"/>
      <c r="I32" s="2849"/>
      <c r="J32" s="3664" t="s">
        <v>2320</v>
      </c>
      <c r="K32" s="3665"/>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66" t="s">
        <v>2330</v>
      </c>
      <c r="K33" s="3667"/>
      <c r="L33" s="2856"/>
      <c r="M33" s="2856"/>
      <c r="N33" s="2856"/>
      <c r="O33" s="2856"/>
      <c r="P33" s="2856"/>
      <c r="Q33" s="2857"/>
      <c r="R33" s="2976">
        <f>SUM(L33:Q33)</f>
        <v>0</v>
      </c>
      <c r="S33" s="2922"/>
      <c r="T33" s="2841"/>
      <c r="U33" s="2841"/>
      <c r="V33" s="2849"/>
    </row>
    <row r="34" spans="1:23" s="2853" customFormat="1" ht="13.15" customHeight="1">
      <c r="A34" s="2931">
        <v>5</v>
      </c>
      <c r="B34" s="2932" t="s">
        <v>2422</v>
      </c>
      <c r="C34" s="2977">
        <v>5.5E-2</v>
      </c>
      <c r="D34" s="2978">
        <v>0.01</v>
      </c>
      <c r="E34" s="2979">
        <v>0.01</v>
      </c>
      <c r="F34" s="2936"/>
      <c r="G34" s="2930"/>
      <c r="H34" s="2958"/>
      <c r="I34" s="2949"/>
      <c r="J34" s="3666" t="s">
        <v>2332</v>
      </c>
      <c r="K34" s="366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2423</v>
      </c>
      <c r="C35" s="2981">
        <v>2.5000000000000001E-2</v>
      </c>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2424</v>
      </c>
      <c r="C36" s="2987">
        <f>项目基本情况!D15</f>
        <v>14.52</v>
      </c>
      <c r="D36" s="2988"/>
      <c r="E36" s="2989"/>
      <c r="F36" s="2990">
        <f>C36+D36+E36</f>
        <v>14.52</v>
      </c>
      <c r="G36" s="2930"/>
      <c r="H36" s="2848"/>
      <c r="I36" s="2849"/>
      <c r="J36" s="3671">
        <v>1</v>
      </c>
      <c r="K36" s="3672" t="s">
        <v>2425</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71"/>
      <c r="K37" s="3673"/>
      <c r="L37" s="2883"/>
      <c r="M37" s="2884"/>
      <c r="N37" s="2860"/>
      <c r="O37" s="2885"/>
      <c r="P37" s="2885"/>
      <c r="Q37" s="2886"/>
      <c r="R37" s="2887"/>
      <c r="S37" s="2922"/>
      <c r="T37" s="2841" t="s">
        <v>2347</v>
      </c>
      <c r="U37" s="2841"/>
      <c r="V37" s="2849"/>
    </row>
    <row r="38" spans="1:23" s="2853" customFormat="1" ht="13.15" customHeight="1">
      <c r="A38" s="2931">
        <v>8</v>
      </c>
      <c r="B38" s="2932"/>
      <c r="C38" s="2889">
        <f>ROUND(C32*(1-((1+C35)/(1+C34))^C36)/(C34-C35),0)</f>
        <v>33466</v>
      </c>
      <c r="D38" s="2889">
        <f>IF(D23=0,0,ROUND(D32*(1-((1+D35)/(1+D34))^D36)/(D34-D35),0))</f>
        <v>0</v>
      </c>
      <c r="E38" s="2889">
        <f>IF(E23=0,0,ROUND(E32*(1-((1+E35)/(1+E34))^E36)/(E34-E35),0))</f>
        <v>0</v>
      </c>
      <c r="F38" s="2936"/>
      <c r="G38" s="2930"/>
      <c r="H38" s="2848"/>
      <c r="I38" s="2849"/>
      <c r="J38" s="3671"/>
      <c r="K38" s="3673"/>
      <c r="L38" s="2883"/>
      <c r="M38" s="2884"/>
      <c r="N38" s="2860"/>
      <c r="O38" s="2885"/>
      <c r="P38" s="2885"/>
      <c r="Q38" s="2886"/>
      <c r="R38" s="2887"/>
      <c r="S38" s="2922"/>
      <c r="T38" s="2841" t="s">
        <v>2353</v>
      </c>
      <c r="U38" s="2841"/>
      <c r="V38" s="2849"/>
    </row>
    <row r="39" spans="1:23" s="2853" customFormat="1" ht="13.15" customHeight="1">
      <c r="A39" s="2931">
        <v>9</v>
      </c>
      <c r="B39" s="2932" t="s">
        <v>2426</v>
      </c>
      <c r="C39" s="2897">
        <f>C38</f>
        <v>33466</v>
      </c>
      <c r="D39" s="2932">
        <f>D38/(1+D34)^C36</f>
        <v>0</v>
      </c>
      <c r="E39" s="2932">
        <f>E38/(1+E34)^(C36+D36)</f>
        <v>0</v>
      </c>
      <c r="F39" s="2936"/>
      <c r="G39" s="2991"/>
      <c r="H39" s="2848"/>
      <c r="I39" s="2849"/>
      <c r="J39" s="3671"/>
      <c r="K39" s="3673"/>
      <c r="L39" s="2883"/>
      <c r="M39" s="2884"/>
      <c r="N39" s="2860"/>
      <c r="O39" s="2885"/>
      <c r="P39" s="2885"/>
      <c r="Q39" s="2886"/>
      <c r="R39" s="2887"/>
      <c r="S39" s="2922"/>
      <c r="T39" s="2841"/>
      <c r="U39" s="2841"/>
      <c r="V39" s="2849"/>
    </row>
    <row r="40" spans="1:23" s="2853" customFormat="1" ht="13.15" customHeight="1">
      <c r="A40" s="2992">
        <v>10</v>
      </c>
      <c r="B40" s="2932" t="s">
        <v>2427</v>
      </c>
      <c r="C40" s="2993">
        <f>C39+D39+E39</f>
        <v>33466</v>
      </c>
      <c r="D40" s="2994"/>
      <c r="E40" s="2994"/>
      <c r="F40" s="2995"/>
      <c r="G40" s="2930"/>
      <c r="H40" s="2848"/>
      <c r="I40" s="2849"/>
      <c r="J40" s="3671"/>
      <c r="K40" s="3674"/>
      <c r="L40" s="2903" t="s">
        <v>2366</v>
      </c>
      <c r="M40" s="2904"/>
      <c r="N40" s="2904"/>
      <c r="O40" s="2905"/>
      <c r="P40" s="2905"/>
      <c r="Q40" s="2906"/>
      <c r="R40" s="2852">
        <f>SUM(R37:R39)</f>
        <v>0</v>
      </c>
      <c r="S40" s="2922"/>
      <c r="T40" s="2841"/>
      <c r="U40" s="2841"/>
      <c r="V40" s="2849"/>
    </row>
    <row r="41" spans="1:23" s="2853" customFormat="1" ht="13.15" customHeight="1" thickBot="1">
      <c r="A41" s="2996">
        <v>11</v>
      </c>
      <c r="B41" s="2997" t="s">
        <v>2428</v>
      </c>
      <c r="C41" s="2997">
        <f>ROUND(C40*10000/B4,0)</f>
        <v>33967</v>
      </c>
      <c r="D41" s="2998"/>
      <c r="E41" s="2998"/>
      <c r="F41" s="2999"/>
      <c r="G41" s="3000"/>
      <c r="H41" s="2848"/>
      <c r="I41" s="2849"/>
      <c r="J41" s="2944">
        <v>2</v>
      </c>
      <c r="K41" s="2945" t="s">
        <v>2406</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1">
        <v>3</v>
      </c>
      <c r="K42" s="2951" t="s">
        <v>2408</v>
      </c>
      <c r="L42" s="2952"/>
      <c r="M42" s="2953"/>
      <c r="N42" s="2954" t="s">
        <v>2409</v>
      </c>
      <c r="O42" s="2954" t="s">
        <v>2410</v>
      </c>
      <c r="P42" s="2955" t="s">
        <v>2411</v>
      </c>
      <c r="Q42" s="2955" t="s">
        <v>2412</v>
      </c>
      <c r="R42" s="2858" t="s">
        <v>2344</v>
      </c>
      <c r="S42" s="2956"/>
      <c r="T42" s="2956"/>
      <c r="U42" s="2841"/>
      <c r="V42" s="2849"/>
    </row>
    <row r="43" spans="1:23" ht="13.15" customHeight="1">
      <c r="A43" s="2853"/>
      <c r="B43" s="2853"/>
      <c r="C43" s="2853"/>
      <c r="D43" s="2853"/>
      <c r="E43" s="2853"/>
      <c r="F43" s="2853"/>
      <c r="I43" s="2836"/>
      <c r="J43" s="368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2415</v>
      </c>
      <c r="L44" s="3004" t="s">
        <v>2416</v>
      </c>
      <c r="M44" s="2967"/>
      <c r="N44" s="3004" t="s">
        <v>2417</v>
      </c>
      <c r="O44" s="2967"/>
      <c r="P44" s="3004" t="s">
        <v>2418</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3" t="s">
        <v>1654</v>
      </c>
      <c r="C5" s="3684"/>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9852.5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3" t="s">
        <v>1667</v>
      </c>
      <c r="D4" s="3704"/>
      <c r="E4" s="3705" t="s">
        <v>1668</v>
      </c>
      <c r="F4" s="3706"/>
      <c r="G4" s="3703" t="s">
        <v>1669</v>
      </c>
      <c r="H4" s="3704"/>
      <c r="I4" s="3703" t="s">
        <v>1670</v>
      </c>
      <c r="J4" s="3704"/>
      <c r="K4" s="1889" t="s">
        <v>1671</v>
      </c>
      <c r="L4" s="2715"/>
      <c r="M4" s="2716"/>
      <c r="N4" s="2716"/>
      <c r="O4" s="2716"/>
      <c r="P4" s="3707" t="s">
        <v>1672</v>
      </c>
      <c r="Q4" s="3708"/>
      <c r="R4" s="3690" t="s">
        <v>1668</v>
      </c>
      <c r="S4" s="3691"/>
      <c r="T4" s="3690" t="s">
        <v>1669</v>
      </c>
      <c r="U4" s="3691"/>
      <c r="V4" s="3715" t="s">
        <v>1670</v>
      </c>
      <c r="W4" s="3715"/>
      <c r="X4" s="1355"/>
      <c r="Y4" s="3690" t="s">
        <v>1672</v>
      </c>
      <c r="Z4" s="3691"/>
      <c r="AA4" s="3685" t="s">
        <v>1668</v>
      </c>
      <c r="AB4" s="3685" t="s">
        <v>1669</v>
      </c>
      <c r="AC4" s="3685" t="s">
        <v>1670</v>
      </c>
    </row>
    <row r="5" spans="1:29" ht="15">
      <c r="A5" s="358"/>
      <c r="B5" s="359"/>
      <c r="C5" s="3696" t="s">
        <v>1673</v>
      </c>
      <c r="D5" s="3697"/>
      <c r="E5" s="3694" t="s">
        <v>1674</v>
      </c>
      <c r="F5" s="3695"/>
      <c r="G5" s="3696" t="s">
        <v>1675</v>
      </c>
      <c r="H5" s="3697"/>
      <c r="I5" s="3696" t="s">
        <v>1676</v>
      </c>
      <c r="J5" s="3697"/>
      <c r="K5" s="1890"/>
      <c r="L5" s="2715"/>
      <c r="M5" s="2716"/>
      <c r="N5" s="2716"/>
      <c r="O5" s="2716"/>
      <c r="P5" s="3709"/>
      <c r="Q5" s="3710"/>
      <c r="R5" s="3692"/>
      <c r="S5" s="3693"/>
      <c r="T5" s="3692"/>
      <c r="U5" s="3693"/>
      <c r="V5" s="3715"/>
      <c r="W5" s="3715"/>
      <c r="X5" s="1355"/>
      <c r="Y5" s="3692"/>
      <c r="Z5" s="3693"/>
      <c r="AA5" s="3686"/>
      <c r="AB5" s="3686"/>
      <c r="AC5" s="3686"/>
    </row>
    <row r="6" spans="1:29" ht="15.75" thickBot="1">
      <c r="A6" s="360"/>
      <c r="B6" s="361"/>
      <c r="C6" s="3698" t="s">
        <v>1677</v>
      </c>
      <c r="D6" s="3699"/>
      <c r="E6" s="3700" t="s">
        <v>1677</v>
      </c>
      <c r="F6" s="3701"/>
      <c r="G6" s="3698" t="s">
        <v>1677</v>
      </c>
      <c r="H6" s="3699"/>
      <c r="I6" s="3698" t="s">
        <v>1677</v>
      </c>
      <c r="J6" s="3699"/>
      <c r="K6" s="1890" t="s">
        <v>1678</v>
      </c>
      <c r="L6" s="2715"/>
      <c r="M6" s="2716"/>
      <c r="N6" s="2716"/>
      <c r="O6" s="2716"/>
      <c r="P6" s="3711"/>
      <c r="Q6" s="3712"/>
      <c r="R6" s="3692"/>
      <c r="S6" s="3693"/>
      <c r="T6" s="3713"/>
      <c r="U6" s="3714"/>
      <c r="V6" s="3715"/>
      <c r="W6" s="3715"/>
      <c r="X6" s="1355"/>
      <c r="Y6" s="3713"/>
      <c r="Z6" s="3714"/>
      <c r="AA6" s="3687"/>
      <c r="AB6" s="3687"/>
      <c r="AC6" s="3687"/>
    </row>
    <row r="7" spans="1:29" s="108" customFormat="1" ht="15.75" thickBot="1">
      <c r="A7" s="362" t="s">
        <v>1679</v>
      </c>
      <c r="B7" s="363"/>
      <c r="C7" s="364">
        <f>'数据-取费表'!B2</f>
        <v>45013</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8" t="s">
        <v>1680</v>
      </c>
      <c r="Q7" s="3716"/>
      <c r="R7" s="701" t="s">
        <v>20</v>
      </c>
      <c r="S7" s="702">
        <f t="shared" ref="S7:S15" si="0">F7</f>
        <v>0</v>
      </c>
      <c r="T7" s="701" t="s">
        <v>20</v>
      </c>
      <c r="U7" s="702">
        <f t="shared" ref="U7:U15" si="1">H7</f>
        <v>0</v>
      </c>
      <c r="V7" s="701" t="s">
        <v>20</v>
      </c>
      <c r="W7" s="702">
        <f t="shared" ref="W7:W15"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8" t="s">
        <v>1683</v>
      </c>
      <c r="Q8" s="3689"/>
      <c r="R8" s="701" t="s">
        <v>20</v>
      </c>
      <c r="S8" s="702">
        <f t="shared" si="0"/>
        <v>100</v>
      </c>
      <c r="T8" s="701" t="s">
        <v>20</v>
      </c>
      <c r="U8" s="702">
        <f t="shared" si="1"/>
        <v>100</v>
      </c>
      <c r="V8" s="701" t="s">
        <v>20</v>
      </c>
      <c r="W8" s="702">
        <f t="shared" si="2"/>
        <v>100</v>
      </c>
      <c r="X8" s="703"/>
      <c r="Y8" s="3688" t="s">
        <v>1683</v>
      </c>
      <c r="Z8" s="368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2"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2"/>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2"/>
      <c r="Q11" s="1343" t="str">
        <f t="shared" si="6"/>
        <v>容积率</v>
      </c>
      <c r="R11" s="701" t="s">
        <v>18</v>
      </c>
      <c r="S11" s="702" t="e">
        <f t="shared" si="0"/>
        <v>#N/A</v>
      </c>
      <c r="T11" s="701" t="s">
        <v>18</v>
      </c>
      <c r="U11" s="702" t="e">
        <f t="shared" si="1"/>
        <v>#N/A</v>
      </c>
      <c r="V11" s="701" t="s">
        <v>18</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2"/>
      <c r="Q12" s="1343">
        <f t="shared" si="6"/>
        <v>111</v>
      </c>
      <c r="R12" s="701" t="s">
        <v>18</v>
      </c>
      <c r="S12" s="702">
        <f t="shared" si="0"/>
        <v>100</v>
      </c>
      <c r="T12" s="701" t="s">
        <v>18</v>
      </c>
      <c r="U12" s="702">
        <f t="shared" si="1"/>
        <v>100</v>
      </c>
      <c r="V12" s="701" t="s">
        <v>18</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2"/>
      <c r="Q13" s="1343">
        <f t="shared" si="6"/>
        <v>111</v>
      </c>
      <c r="R13" s="701" t="s">
        <v>18</v>
      </c>
      <c r="S13" s="702">
        <f t="shared" si="0"/>
        <v>100</v>
      </c>
      <c r="T13" s="701" t="s">
        <v>18</v>
      </c>
      <c r="U13" s="702">
        <f t="shared" si="1"/>
        <v>100</v>
      </c>
      <c r="V13" s="701" t="s">
        <v>18</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2"/>
      <c r="Q14" s="1343">
        <f t="shared" si="6"/>
        <v>111</v>
      </c>
      <c r="R14" s="701" t="s">
        <v>18</v>
      </c>
      <c r="S14" s="702">
        <f t="shared" si="0"/>
        <v>100</v>
      </c>
      <c r="T14" s="701" t="s">
        <v>18</v>
      </c>
      <c r="U14" s="702">
        <f t="shared" si="1"/>
        <v>100</v>
      </c>
      <c r="V14" s="701" t="s">
        <v>18</v>
      </c>
      <c r="W14" s="702">
        <f t="shared" si="2"/>
        <v>100</v>
      </c>
      <c r="X14" s="703"/>
      <c r="Y14" s="361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9" t="s">
        <v>1691</v>
      </c>
      <c r="Q15" s="1352" t="str">
        <f t="shared" si="6"/>
        <v>居住社区成熟度</v>
      </c>
      <c r="R15" s="705" t="s">
        <v>18</v>
      </c>
      <c r="S15" s="706">
        <f t="shared" si="0"/>
        <v>100</v>
      </c>
      <c r="T15" s="705" t="s">
        <v>18</v>
      </c>
      <c r="U15" s="706">
        <f t="shared" si="1"/>
        <v>100</v>
      </c>
      <c r="V15" s="705" t="s">
        <v>18</v>
      </c>
      <c r="W15" s="706">
        <f t="shared" si="2"/>
        <v>100</v>
      </c>
      <c r="X15" s="1355"/>
      <c r="Y15" s="372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0"/>
      <c r="Q16" s="1352"/>
      <c r="R16" s="705"/>
      <c r="S16" s="706"/>
      <c r="T16" s="705"/>
      <c r="U16" s="706"/>
      <c r="V16" s="705"/>
      <c r="W16" s="706"/>
      <c r="X16" s="1355"/>
      <c r="Y16" s="372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0"/>
      <c r="Q17" s="1352" t="str">
        <f>B17</f>
        <v>交通便捷度</v>
      </c>
      <c r="R17" s="705" t="s">
        <v>18</v>
      </c>
      <c r="S17" s="706">
        <f>F17</f>
        <v>100</v>
      </c>
      <c r="T17" s="705" t="s">
        <v>18</v>
      </c>
      <c r="U17" s="706">
        <f>H17</f>
        <v>100</v>
      </c>
      <c r="V17" s="705" t="s">
        <v>18</v>
      </c>
      <c r="W17" s="706">
        <f>J17</f>
        <v>100</v>
      </c>
      <c r="X17" s="1355"/>
      <c r="Y17" s="372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0"/>
      <c r="Q18" s="1352"/>
      <c r="R18" s="705"/>
      <c r="S18" s="706"/>
      <c r="T18" s="705"/>
      <c r="U18" s="706"/>
      <c r="V18" s="705"/>
      <c r="W18" s="706"/>
      <c r="X18" s="1355"/>
      <c r="Y18" s="372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0"/>
      <c r="Q19" s="1352" t="str">
        <f>B19</f>
        <v>公共配套设施</v>
      </c>
      <c r="R19" s="705" t="s">
        <v>18</v>
      </c>
      <c r="S19" s="706">
        <f>F19</f>
        <v>100</v>
      </c>
      <c r="T19" s="705" t="s">
        <v>18</v>
      </c>
      <c r="U19" s="706">
        <f>H19</f>
        <v>100</v>
      </c>
      <c r="V19" s="705" t="s">
        <v>18</v>
      </c>
      <c r="W19" s="706">
        <f>J19</f>
        <v>100</v>
      </c>
      <c r="X19" s="1355"/>
      <c r="Y19" s="372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0"/>
      <c r="Q20" s="1352"/>
      <c r="R20" s="705"/>
      <c r="S20" s="706"/>
      <c r="T20" s="705"/>
      <c r="U20" s="706"/>
      <c r="V20" s="705"/>
      <c r="W20" s="706"/>
      <c r="X20" s="1355"/>
      <c r="Y20" s="372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0"/>
      <c r="Q21" s="1352" t="str">
        <f>B21</f>
        <v>基础设施水平</v>
      </c>
      <c r="R21" s="705" t="s">
        <v>14</v>
      </c>
      <c r="S21" s="706">
        <f>F21</f>
        <v>100</v>
      </c>
      <c r="T21" s="705" t="s">
        <v>14</v>
      </c>
      <c r="U21" s="706">
        <f>H21</f>
        <v>100</v>
      </c>
      <c r="V21" s="705" t="s">
        <v>14</v>
      </c>
      <c r="W21" s="706">
        <f>J21</f>
        <v>100</v>
      </c>
      <c r="X21" s="1355"/>
      <c r="Y21" s="372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0"/>
      <c r="Q22" s="1352"/>
      <c r="R22" s="705"/>
      <c r="S22" s="706"/>
      <c r="T22" s="705"/>
      <c r="U22" s="706"/>
      <c r="V22" s="705"/>
      <c r="W22" s="706"/>
      <c r="X22" s="1355"/>
      <c r="Y22" s="372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0"/>
      <c r="Q23" s="1352" t="str">
        <f>B23</f>
        <v>自然及人文环境</v>
      </c>
      <c r="R23" s="705" t="s">
        <v>18</v>
      </c>
      <c r="S23" s="706">
        <f>F23</f>
        <v>100</v>
      </c>
      <c r="T23" s="705" t="s">
        <v>18</v>
      </c>
      <c r="U23" s="706">
        <f>H23</f>
        <v>100</v>
      </c>
      <c r="V23" s="705" t="s">
        <v>18</v>
      </c>
      <c r="W23" s="706">
        <f>J23</f>
        <v>100</v>
      </c>
      <c r="X23" s="1355"/>
      <c r="Y23" s="372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0"/>
      <c r="Q24" s="1352"/>
      <c r="R24" s="705"/>
      <c r="S24" s="706"/>
      <c r="T24" s="705"/>
      <c r="U24" s="706"/>
      <c r="V24" s="705"/>
      <c r="W24" s="706"/>
      <c r="X24" s="1355"/>
      <c r="Y24" s="372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0"/>
      <c r="Q26" s="1352" t="str">
        <f t="shared" si="11"/>
        <v>朝向</v>
      </c>
      <c r="R26" s="705" t="s">
        <v>18</v>
      </c>
      <c r="S26" s="706">
        <f t="shared" si="12"/>
        <v>100</v>
      </c>
      <c r="T26" s="705" t="s">
        <v>18</v>
      </c>
      <c r="U26" s="706">
        <f t="shared" si="13"/>
        <v>100</v>
      </c>
      <c r="V26" s="705" t="s">
        <v>18</v>
      </c>
      <c r="W26" s="706">
        <f t="shared" si="14"/>
        <v>100</v>
      </c>
      <c r="X26" s="1355"/>
      <c r="Y26" s="372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0"/>
      <c r="Q27" s="1343">
        <f t="shared" si="11"/>
        <v>111</v>
      </c>
      <c r="R27" s="701" t="s">
        <v>18</v>
      </c>
      <c r="S27" s="702">
        <f t="shared" si="12"/>
        <v>100</v>
      </c>
      <c r="T27" s="701" t="s">
        <v>18</v>
      </c>
      <c r="U27" s="702">
        <f t="shared" si="13"/>
        <v>100</v>
      </c>
      <c r="V27" s="701" t="s">
        <v>18</v>
      </c>
      <c r="W27" s="702">
        <f t="shared" si="14"/>
        <v>100</v>
      </c>
      <c r="X27" s="703"/>
      <c r="Y27" s="372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0"/>
      <c r="Q28" s="1352">
        <f t="shared" si="11"/>
        <v>111</v>
      </c>
      <c r="R28" s="705" t="s">
        <v>18</v>
      </c>
      <c r="S28" s="706">
        <f t="shared" si="12"/>
        <v>100</v>
      </c>
      <c r="T28" s="705" t="s">
        <v>18</v>
      </c>
      <c r="U28" s="706">
        <f t="shared" si="13"/>
        <v>100</v>
      </c>
      <c r="V28" s="705" t="s">
        <v>18</v>
      </c>
      <c r="W28" s="706">
        <f t="shared" si="14"/>
        <v>100</v>
      </c>
      <c r="X28" s="1355"/>
      <c r="Y28" s="372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0"/>
      <c r="Q29" s="1352">
        <f t="shared" si="11"/>
        <v>111</v>
      </c>
      <c r="R29" s="705" t="s">
        <v>18</v>
      </c>
      <c r="S29" s="706">
        <f t="shared" si="12"/>
        <v>100</v>
      </c>
      <c r="T29" s="705" t="s">
        <v>18</v>
      </c>
      <c r="U29" s="706">
        <f t="shared" si="13"/>
        <v>100</v>
      </c>
      <c r="V29" s="705" t="s">
        <v>18</v>
      </c>
      <c r="W29" s="706">
        <f t="shared" si="14"/>
        <v>100</v>
      </c>
      <c r="X29" s="1355"/>
      <c r="Y29" s="372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0"/>
      <c r="Q30" s="1352">
        <f t="shared" si="11"/>
        <v>111</v>
      </c>
      <c r="R30" s="705" t="s">
        <v>18</v>
      </c>
      <c r="S30" s="706">
        <f t="shared" si="12"/>
        <v>100</v>
      </c>
      <c r="T30" s="705" t="s">
        <v>18</v>
      </c>
      <c r="U30" s="706">
        <f t="shared" si="13"/>
        <v>100</v>
      </c>
      <c r="V30" s="705" t="s">
        <v>18</v>
      </c>
      <c r="W30" s="706">
        <f t="shared" si="14"/>
        <v>100</v>
      </c>
      <c r="X30" s="1355"/>
      <c r="Y30" s="372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0"/>
      <c r="Q31" s="1352">
        <f t="shared" si="11"/>
        <v>111</v>
      </c>
      <c r="R31" s="705" t="s">
        <v>18</v>
      </c>
      <c r="S31" s="706">
        <f t="shared" si="12"/>
        <v>100</v>
      </c>
      <c r="T31" s="705" t="s">
        <v>18</v>
      </c>
      <c r="U31" s="706">
        <f t="shared" si="13"/>
        <v>100</v>
      </c>
      <c r="V31" s="705" t="s">
        <v>18</v>
      </c>
      <c r="W31" s="706">
        <f t="shared" si="14"/>
        <v>100</v>
      </c>
      <c r="X31" s="1355"/>
      <c r="Y31" s="372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4" t="s">
        <v>1696</v>
      </c>
      <c r="Q32" s="1352" t="str">
        <f t="shared" si="11"/>
        <v>建筑类型</v>
      </c>
      <c r="R32" s="705" t="s">
        <v>18</v>
      </c>
      <c r="S32" s="706">
        <f t="shared" si="12"/>
        <v>100</v>
      </c>
      <c r="T32" s="705" t="s">
        <v>18</v>
      </c>
      <c r="U32" s="706">
        <f t="shared" si="13"/>
        <v>100</v>
      </c>
      <c r="V32" s="705" t="s">
        <v>18</v>
      </c>
      <c r="W32" s="706">
        <f t="shared" si="14"/>
        <v>100</v>
      </c>
      <c r="X32" s="1355"/>
      <c r="Y32" s="372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5"/>
      <c r="Q33" s="707" t="str">
        <f t="shared" si="11"/>
        <v>项目建筑规模</v>
      </c>
      <c r="R33" s="708" t="s">
        <v>18</v>
      </c>
      <c r="S33" s="709" t="e">
        <f t="shared" si="12"/>
        <v>#N/A</v>
      </c>
      <c r="T33" s="708" t="s">
        <v>18</v>
      </c>
      <c r="U33" s="709" t="e">
        <f t="shared" si="13"/>
        <v>#N/A</v>
      </c>
      <c r="V33" s="708" t="s">
        <v>18</v>
      </c>
      <c r="W33" s="709" t="e">
        <f t="shared" si="14"/>
        <v>#N/A</v>
      </c>
      <c r="X33" s="710"/>
      <c r="Y33" s="372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5"/>
      <c r="Q34" s="1352" t="str">
        <f t="shared" si="11"/>
        <v>建筑结构</v>
      </c>
      <c r="R34" s="705" t="s">
        <v>18</v>
      </c>
      <c r="S34" s="706">
        <f t="shared" si="12"/>
        <v>100</v>
      </c>
      <c r="T34" s="705" t="s">
        <v>18</v>
      </c>
      <c r="U34" s="706">
        <f t="shared" si="13"/>
        <v>100</v>
      </c>
      <c r="V34" s="705" t="s">
        <v>18</v>
      </c>
      <c r="W34" s="706">
        <f t="shared" si="14"/>
        <v>100</v>
      </c>
      <c r="X34" s="1355"/>
      <c r="Y34" s="372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5"/>
      <c r="Q35" s="1352" t="str">
        <f t="shared" si="11"/>
        <v>建筑品质</v>
      </c>
      <c r="R35" s="705" t="s">
        <v>18</v>
      </c>
      <c r="S35" s="706">
        <f t="shared" si="12"/>
        <v>100</v>
      </c>
      <c r="T35" s="705" t="s">
        <v>18</v>
      </c>
      <c r="U35" s="706">
        <f t="shared" si="13"/>
        <v>100</v>
      </c>
      <c r="V35" s="705" t="s">
        <v>18</v>
      </c>
      <c r="W35" s="706">
        <f t="shared" si="14"/>
        <v>100</v>
      </c>
      <c r="X35" s="1355"/>
      <c r="Y35" s="372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5"/>
      <c r="Q36" s="1352" t="str">
        <f t="shared" si="11"/>
        <v>公共部分装修</v>
      </c>
      <c r="R36" s="705" t="s">
        <v>18</v>
      </c>
      <c r="S36" s="706">
        <f t="shared" si="12"/>
        <v>100</v>
      </c>
      <c r="T36" s="705" t="s">
        <v>18</v>
      </c>
      <c r="U36" s="706">
        <f t="shared" si="13"/>
        <v>100</v>
      </c>
      <c r="V36" s="705" t="s">
        <v>18</v>
      </c>
      <c r="W36" s="706">
        <f t="shared" si="14"/>
        <v>100</v>
      </c>
      <c r="X36" s="1355"/>
      <c r="Y36" s="372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5"/>
      <c r="Q37" s="1343" t="str">
        <f t="shared" si="11"/>
        <v>成新度</v>
      </c>
      <c r="R37" s="701" t="s">
        <v>18</v>
      </c>
      <c r="S37" s="702" t="e">
        <f t="shared" si="12"/>
        <v>#N/A</v>
      </c>
      <c r="T37" s="701" t="s">
        <v>18</v>
      </c>
      <c r="U37" s="702" t="e">
        <f t="shared" si="13"/>
        <v>#N/A</v>
      </c>
      <c r="V37" s="701" t="s">
        <v>18</v>
      </c>
      <c r="W37" s="702" t="e">
        <f t="shared" si="14"/>
        <v>#N/A</v>
      </c>
      <c r="X37" s="703"/>
      <c r="Y37" s="372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5" t="s">
        <v>1696</v>
      </c>
      <c r="Q38" s="1352" t="str">
        <f t="shared" si="11"/>
        <v>物业管理</v>
      </c>
      <c r="R38" s="705" t="s">
        <v>18</v>
      </c>
      <c r="S38" s="706">
        <f t="shared" si="12"/>
        <v>100</v>
      </c>
      <c r="T38" s="705" t="s">
        <v>18</v>
      </c>
      <c r="U38" s="706">
        <f t="shared" si="13"/>
        <v>100</v>
      </c>
      <c r="V38" s="705" t="s">
        <v>18</v>
      </c>
      <c r="W38" s="706">
        <f t="shared" si="14"/>
        <v>100</v>
      </c>
      <c r="X38" s="1355"/>
      <c r="Y38" s="372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5"/>
      <c r="Q39" s="1352" t="str">
        <f t="shared" si="11"/>
        <v>市政基础设施</v>
      </c>
      <c r="R39" s="705" t="s">
        <v>18</v>
      </c>
      <c r="S39" s="706">
        <f t="shared" si="12"/>
        <v>100</v>
      </c>
      <c r="T39" s="705" t="s">
        <v>18</v>
      </c>
      <c r="U39" s="706">
        <f t="shared" si="13"/>
        <v>100</v>
      </c>
      <c r="V39" s="705" t="s">
        <v>18</v>
      </c>
      <c r="W39" s="706">
        <f t="shared" si="14"/>
        <v>100</v>
      </c>
      <c r="X39" s="1355"/>
      <c r="Y39" s="372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5"/>
      <c r="Q40" s="1352" t="str">
        <f t="shared" si="11"/>
        <v>房型</v>
      </c>
      <c r="R40" s="705" t="s">
        <v>18</v>
      </c>
      <c r="S40" s="706">
        <f t="shared" si="12"/>
        <v>100</v>
      </c>
      <c r="T40" s="705" t="s">
        <v>18</v>
      </c>
      <c r="U40" s="706">
        <f t="shared" si="13"/>
        <v>100</v>
      </c>
      <c r="V40" s="705" t="s">
        <v>18</v>
      </c>
      <c r="W40" s="706">
        <f t="shared" si="14"/>
        <v>100</v>
      </c>
      <c r="X40" s="1355"/>
      <c r="Y40" s="372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5"/>
      <c r="Q41" s="707" t="str">
        <f t="shared" si="11"/>
        <v>单套/主力户型建筑面积</v>
      </c>
      <c r="R41" s="708" t="s">
        <v>18</v>
      </c>
      <c r="S41" s="709">
        <f t="shared" si="12"/>
        <v>100</v>
      </c>
      <c r="T41" s="708" t="s">
        <v>18</v>
      </c>
      <c r="U41" s="709">
        <f t="shared" si="13"/>
        <v>100</v>
      </c>
      <c r="V41" s="708" t="s">
        <v>18</v>
      </c>
      <c r="W41" s="709">
        <f t="shared" si="14"/>
        <v>100</v>
      </c>
      <c r="X41" s="710"/>
      <c r="Y41" s="372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5"/>
      <c r="Q42" s="1352" t="str">
        <f t="shared" si="11"/>
        <v>内部装修</v>
      </c>
      <c r="R42" s="705" t="s">
        <v>18</v>
      </c>
      <c r="S42" s="706">
        <f t="shared" si="12"/>
        <v>100</v>
      </c>
      <c r="T42" s="705" t="s">
        <v>18</v>
      </c>
      <c r="U42" s="706">
        <f t="shared" si="13"/>
        <v>100</v>
      </c>
      <c r="V42" s="705" t="s">
        <v>18</v>
      </c>
      <c r="W42" s="706">
        <f t="shared" si="14"/>
        <v>100</v>
      </c>
      <c r="X42" s="1355"/>
      <c r="Y42" s="372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5"/>
      <c r="Q43" s="1352" t="str">
        <f t="shared" si="11"/>
        <v>内部装修维护情况</v>
      </c>
      <c r="R43" s="705" t="s">
        <v>18</v>
      </c>
      <c r="S43" s="706">
        <f t="shared" si="12"/>
        <v>100</v>
      </c>
      <c r="T43" s="705" t="s">
        <v>18</v>
      </c>
      <c r="U43" s="706">
        <f t="shared" si="13"/>
        <v>100</v>
      </c>
      <c r="V43" s="705" t="s">
        <v>18</v>
      </c>
      <c r="W43" s="706">
        <f t="shared" si="14"/>
        <v>100</v>
      </c>
      <c r="X43" s="1355"/>
      <c r="Y43" s="372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5"/>
      <c r="Q44" s="1343">
        <f t="shared" si="11"/>
        <v>111</v>
      </c>
      <c r="R44" s="701" t="s">
        <v>18</v>
      </c>
      <c r="S44" s="702">
        <f t="shared" si="12"/>
        <v>100</v>
      </c>
      <c r="T44" s="701" t="s">
        <v>18</v>
      </c>
      <c r="U44" s="702">
        <f t="shared" si="13"/>
        <v>100</v>
      </c>
      <c r="V44" s="701" t="s">
        <v>18</v>
      </c>
      <c r="W44" s="702">
        <f t="shared" si="14"/>
        <v>100</v>
      </c>
      <c r="X44" s="703"/>
      <c r="Y44" s="372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5"/>
      <c r="Q45" s="1352">
        <f t="shared" si="11"/>
        <v>111</v>
      </c>
      <c r="R45" s="705" t="s">
        <v>18</v>
      </c>
      <c r="S45" s="706">
        <f t="shared" si="12"/>
        <v>100</v>
      </c>
      <c r="T45" s="705" t="s">
        <v>18</v>
      </c>
      <c r="U45" s="706">
        <f t="shared" si="13"/>
        <v>100</v>
      </c>
      <c r="V45" s="705" t="s">
        <v>18</v>
      </c>
      <c r="W45" s="706">
        <f t="shared" si="14"/>
        <v>100</v>
      </c>
      <c r="X45" s="1355"/>
      <c r="Y45" s="372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6"/>
      <c r="Q46" s="1352">
        <f t="shared" si="11"/>
        <v>111</v>
      </c>
      <c r="R46" s="705" t="s">
        <v>17</v>
      </c>
      <c r="S46" s="706">
        <f t="shared" si="12"/>
        <v>100</v>
      </c>
      <c r="T46" s="705" t="s">
        <v>17</v>
      </c>
      <c r="U46" s="706">
        <f t="shared" si="13"/>
        <v>100</v>
      </c>
      <c r="V46" s="705" t="s">
        <v>17</v>
      </c>
      <c r="W46" s="706">
        <f t="shared" si="14"/>
        <v>100</v>
      </c>
      <c r="X46" s="1355"/>
      <c r="Y46" s="372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0" t="str">
        <f>A47</f>
        <v>成交单价（元/平方米）</v>
      </c>
      <c r="Q47" s="3720"/>
      <c r="R47" s="3721">
        <f>E47</f>
        <v>0</v>
      </c>
      <c r="S47" s="3721"/>
      <c r="T47" s="3721">
        <f>G47</f>
        <v>0</v>
      </c>
      <c r="U47" s="3721"/>
      <c r="V47" s="3721">
        <f>I47</f>
        <v>0</v>
      </c>
      <c r="W47" s="372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20" t="str">
        <f>A48</f>
        <v>比较价值（元/平方米）</v>
      </c>
      <c r="Q48" s="3720"/>
      <c r="R48" s="3721" t="e">
        <f>IF(F1="售价",ROUND(PRODUCT(R47,AA7:AA46),0),ROUND(PRODUCT(R47,AA7:AA46),1))</f>
        <v>#DIV/0!</v>
      </c>
      <c r="S48" s="3721"/>
      <c r="T48" s="3721" t="e">
        <f>IF(F1="售价",ROUND(PRODUCT(T47,AB7:AB46),0),ROUND(PRODUCT(T47,AB7:AB46),1))</f>
        <v>#DIV/0!</v>
      </c>
      <c r="U48" s="3721"/>
      <c r="V48" s="3721" t="e">
        <f>IF(F1="售价",ROUND(PRODUCT(V47,AC7:AC46),0),ROUND(PRODUCT(V47,AC7:AC46),1))</f>
        <v>#DIV/0!</v>
      </c>
      <c r="W48" s="372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7" t="str">
        <f>A49</f>
        <v>估价对象XX用房的比较价值（楼面单价，元/平方米）</v>
      </c>
      <c r="Q49" s="3718"/>
      <c r="R49" s="3719" t="e">
        <f>IF(F1="售价",ROUND(IF(D48="简单平均",AVERAGE(R48:V48),R48*F48+T48*H48+V48*J48),0),ROUND(IF(D48="简单平均",AVERAGE(R48:V48),R48*F48+T48*H48+V48*J48),1))</f>
        <v>#DIV/0!</v>
      </c>
      <c r="S49" s="3719"/>
      <c r="T49" s="3719"/>
      <c r="U49" s="3719"/>
      <c r="V49" s="3719"/>
      <c r="W49" s="371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9852.5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3" t="s">
        <v>1770</v>
      </c>
      <c r="D4" s="3704"/>
      <c r="E4" s="3705" t="s">
        <v>1771</v>
      </c>
      <c r="F4" s="3706"/>
      <c r="G4" s="3703" t="s">
        <v>1772</v>
      </c>
      <c r="H4" s="3704"/>
      <c r="I4" s="3703" t="s">
        <v>1773</v>
      </c>
      <c r="J4" s="3704"/>
      <c r="K4" s="559" t="s">
        <v>1774</v>
      </c>
      <c r="L4" s="2715"/>
      <c r="M4" s="2716"/>
      <c r="N4" s="2716"/>
      <c r="O4" s="2716"/>
      <c r="P4" s="3707" t="s">
        <v>1775</v>
      </c>
      <c r="Q4" s="3708"/>
      <c r="R4" s="3690" t="s">
        <v>1771</v>
      </c>
      <c r="S4" s="3691"/>
      <c r="T4" s="3690" t="s">
        <v>1772</v>
      </c>
      <c r="U4" s="3691"/>
      <c r="V4" s="3715" t="s">
        <v>1773</v>
      </c>
      <c r="W4" s="3715"/>
      <c r="X4" s="1355"/>
      <c r="Y4" s="3690" t="s">
        <v>1775</v>
      </c>
      <c r="Z4" s="3691"/>
      <c r="AA4" s="3685" t="s">
        <v>1771</v>
      </c>
      <c r="AB4" s="3715" t="s">
        <v>1772</v>
      </c>
      <c r="AC4" s="3685" t="s">
        <v>1773</v>
      </c>
    </row>
    <row r="5" spans="1:29" ht="15">
      <c r="A5" s="358"/>
      <c r="B5" s="359"/>
      <c r="C5" s="3696" t="s">
        <v>1673</v>
      </c>
      <c r="D5" s="3697"/>
      <c r="E5" s="3694" t="s">
        <v>1674</v>
      </c>
      <c r="F5" s="3695"/>
      <c r="G5" s="3696" t="s">
        <v>1675</v>
      </c>
      <c r="H5" s="3697"/>
      <c r="I5" s="3696" t="s">
        <v>1676</v>
      </c>
      <c r="J5" s="3697"/>
      <c r="K5" s="559"/>
      <c r="L5" s="2715"/>
      <c r="M5" s="2716"/>
      <c r="N5" s="2716"/>
      <c r="O5" s="2716"/>
      <c r="P5" s="3709"/>
      <c r="Q5" s="3710"/>
      <c r="R5" s="3692"/>
      <c r="S5" s="3693"/>
      <c r="T5" s="3692"/>
      <c r="U5" s="3693"/>
      <c r="V5" s="3715"/>
      <c r="W5" s="3715"/>
      <c r="X5" s="1355"/>
      <c r="Y5" s="3692"/>
      <c r="Z5" s="3693"/>
      <c r="AA5" s="3686"/>
      <c r="AB5" s="3715"/>
      <c r="AC5" s="3686"/>
    </row>
    <row r="6" spans="1:29" ht="15.75" thickBot="1">
      <c r="A6" s="360"/>
      <c r="B6" s="361"/>
      <c r="C6" s="3698" t="s">
        <v>1677</v>
      </c>
      <c r="D6" s="3699"/>
      <c r="E6" s="3700" t="s">
        <v>1677</v>
      </c>
      <c r="F6" s="3701"/>
      <c r="G6" s="3698" t="s">
        <v>1677</v>
      </c>
      <c r="H6" s="3699"/>
      <c r="I6" s="3698" t="s">
        <v>1677</v>
      </c>
      <c r="J6" s="3699"/>
      <c r="K6" s="559" t="s">
        <v>1678</v>
      </c>
      <c r="L6" s="2715"/>
      <c r="M6" s="2716"/>
      <c r="N6" s="2716"/>
      <c r="O6" s="2716"/>
      <c r="P6" s="3711"/>
      <c r="Q6" s="3712"/>
      <c r="R6" s="3692"/>
      <c r="S6" s="3693"/>
      <c r="T6" s="3713"/>
      <c r="U6" s="3714"/>
      <c r="V6" s="3715"/>
      <c r="W6" s="3715"/>
      <c r="X6" s="1355"/>
      <c r="Y6" s="3713"/>
      <c r="Z6" s="3714"/>
      <c r="AA6" s="3687"/>
      <c r="AB6" s="3715"/>
      <c r="AC6" s="3687"/>
    </row>
    <row r="7" spans="1:29" s="108" customFormat="1" ht="15.75" thickBot="1">
      <c r="A7" s="362" t="s">
        <v>1679</v>
      </c>
      <c r="B7" s="363"/>
      <c r="C7" s="364">
        <f>'数据-取费表'!B2</f>
        <v>45013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8" t="s">
        <v>1683</v>
      </c>
      <c r="Q8" s="3689"/>
      <c r="R8" s="701" t="s">
        <v>14</v>
      </c>
      <c r="S8" s="702">
        <f t="shared" si="0"/>
        <v>100</v>
      </c>
      <c r="T8" s="701" t="s">
        <v>14</v>
      </c>
      <c r="U8" s="702">
        <f t="shared" si="1"/>
        <v>100</v>
      </c>
      <c r="V8" s="701" t="s">
        <v>14</v>
      </c>
      <c r="W8" s="702">
        <f t="shared" si="2"/>
        <v>100</v>
      </c>
      <c r="X8" s="703"/>
      <c r="Y8" s="3688" t="s">
        <v>1683</v>
      </c>
      <c r="Z8" s="368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2"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2"/>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2"/>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2"/>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2"/>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2"/>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9" t="s">
        <v>1691</v>
      </c>
      <c r="Q15" s="1352" t="str">
        <f t="shared" si="6"/>
        <v>商业繁华度</v>
      </c>
      <c r="R15" s="705" t="s">
        <v>14</v>
      </c>
      <c r="S15" s="706">
        <f t="shared" si="0"/>
        <v>100</v>
      </c>
      <c r="T15" s="705" t="s">
        <v>14</v>
      </c>
      <c r="U15" s="706">
        <f t="shared" si="1"/>
        <v>100</v>
      </c>
      <c r="V15" s="705" t="s">
        <v>14</v>
      </c>
      <c r="W15" s="706">
        <f t="shared" si="2"/>
        <v>100</v>
      </c>
      <c r="X15" s="1355"/>
      <c r="Y15" s="372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0"/>
      <c r="Q16" s="1352"/>
      <c r="R16" s="705"/>
      <c r="S16" s="706"/>
      <c r="T16" s="705"/>
      <c r="U16" s="706"/>
      <c r="V16" s="705"/>
      <c r="W16" s="706"/>
      <c r="X16" s="1355"/>
      <c r="Y16" s="372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0"/>
      <c r="Q17" s="1352" t="str">
        <f>B17</f>
        <v>交通便捷度</v>
      </c>
      <c r="R17" s="705" t="s">
        <v>14</v>
      </c>
      <c r="S17" s="706">
        <f>F17</f>
        <v>100</v>
      </c>
      <c r="T17" s="705" t="s">
        <v>14</v>
      </c>
      <c r="U17" s="706">
        <f>H17</f>
        <v>100</v>
      </c>
      <c r="V17" s="705" t="s">
        <v>14</v>
      </c>
      <c r="W17" s="706">
        <f>J17</f>
        <v>100</v>
      </c>
      <c r="X17" s="1355"/>
      <c r="Y17" s="372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0"/>
      <c r="Q18" s="1352"/>
      <c r="R18" s="705"/>
      <c r="S18" s="706"/>
      <c r="T18" s="705"/>
      <c r="U18" s="706"/>
      <c r="V18" s="705"/>
      <c r="W18" s="706"/>
      <c r="X18" s="1355"/>
      <c r="Y18" s="372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0"/>
      <c r="Q19" s="1352" t="str">
        <f>B19</f>
        <v>公共配套设施</v>
      </c>
      <c r="R19" s="705" t="s">
        <v>14</v>
      </c>
      <c r="S19" s="706">
        <f>F19</f>
        <v>100</v>
      </c>
      <c r="T19" s="705" t="s">
        <v>14</v>
      </c>
      <c r="U19" s="706">
        <f>H19</f>
        <v>100</v>
      </c>
      <c r="V19" s="705" t="s">
        <v>14</v>
      </c>
      <c r="W19" s="706">
        <f>J19</f>
        <v>100</v>
      </c>
      <c r="X19" s="1355"/>
      <c r="Y19" s="372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0"/>
      <c r="Q20" s="1352"/>
      <c r="R20" s="705"/>
      <c r="S20" s="706"/>
      <c r="T20" s="705"/>
      <c r="U20" s="706"/>
      <c r="V20" s="705"/>
      <c r="W20" s="706"/>
      <c r="X20" s="1355"/>
      <c r="Y20" s="372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0"/>
      <c r="Q21" s="1352" t="str">
        <f>B21</f>
        <v>基础设施水平</v>
      </c>
      <c r="R21" s="705" t="s">
        <v>14</v>
      </c>
      <c r="S21" s="706">
        <f>F21</f>
        <v>100</v>
      </c>
      <c r="T21" s="705" t="s">
        <v>14</v>
      </c>
      <c r="U21" s="706">
        <f>H21</f>
        <v>100</v>
      </c>
      <c r="V21" s="705" t="s">
        <v>14</v>
      </c>
      <c r="W21" s="706">
        <f>J21</f>
        <v>100</v>
      </c>
      <c r="X21" s="1355"/>
      <c r="Y21" s="372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0"/>
      <c r="Q22" s="1352"/>
      <c r="R22" s="705"/>
      <c r="S22" s="706"/>
      <c r="T22" s="705"/>
      <c r="U22" s="706"/>
      <c r="V22" s="705"/>
      <c r="W22" s="706"/>
      <c r="X22" s="1355"/>
      <c r="Y22" s="372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0"/>
      <c r="Q23" s="1352" t="str">
        <f>B23</f>
        <v>自然及人文环境</v>
      </c>
      <c r="R23" s="705" t="s">
        <v>14</v>
      </c>
      <c r="S23" s="706">
        <f>F23</f>
        <v>100</v>
      </c>
      <c r="T23" s="705" t="s">
        <v>14</v>
      </c>
      <c r="U23" s="706">
        <f>H23</f>
        <v>100</v>
      </c>
      <c r="V23" s="705" t="s">
        <v>14</v>
      </c>
      <c r="W23" s="706">
        <f>J23</f>
        <v>100</v>
      </c>
      <c r="X23" s="1355"/>
      <c r="Y23" s="372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0"/>
      <c r="Q24" s="1352"/>
      <c r="R24" s="705"/>
      <c r="S24" s="706"/>
      <c r="T24" s="705"/>
      <c r="U24" s="706"/>
      <c r="V24" s="705"/>
      <c r="W24" s="706"/>
      <c r="X24" s="1355"/>
      <c r="Y24" s="372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0"/>
      <c r="Q25" s="1352" t="str">
        <f t="shared" ref="Q25:Q46" si="11">B25</f>
        <v>临街状况</v>
      </c>
      <c r="R25" s="705" t="s">
        <v>14</v>
      </c>
      <c r="S25" s="706">
        <f>F25</f>
        <v>100</v>
      </c>
      <c r="T25" s="705" t="s">
        <v>14</v>
      </c>
      <c r="U25" s="706">
        <f>H25</f>
        <v>100</v>
      </c>
      <c r="V25" s="705" t="s">
        <v>14</v>
      </c>
      <c r="W25" s="706">
        <f>J25</f>
        <v>100</v>
      </c>
      <c r="X25" s="1355"/>
      <c r="Y25" s="372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0"/>
      <c r="Q26" s="1352" t="str">
        <f t="shared" si="11"/>
        <v>平面位置/可视性</v>
      </c>
      <c r="R26" s="705" t="s">
        <v>14</v>
      </c>
      <c r="S26" s="706">
        <f>F26</f>
        <v>100</v>
      </c>
      <c r="T26" s="705" t="s">
        <v>14</v>
      </c>
      <c r="U26" s="706">
        <f>H26</f>
        <v>100</v>
      </c>
      <c r="V26" s="705" t="s">
        <v>14</v>
      </c>
      <c r="W26" s="706">
        <f>J26</f>
        <v>100</v>
      </c>
      <c r="X26" s="1355"/>
      <c r="Y26" s="372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0"/>
      <c r="Q27" s="1343" t="str">
        <f t="shared" si="11"/>
        <v>人流量</v>
      </c>
      <c r="R27" s="701" t="s">
        <v>14</v>
      </c>
      <c r="S27" s="702">
        <f>F27</f>
        <v>100</v>
      </c>
      <c r="T27" s="701" t="s">
        <v>14</v>
      </c>
      <c r="U27" s="702">
        <f>H27</f>
        <v>100</v>
      </c>
      <c r="V27" s="701" t="s">
        <v>14</v>
      </c>
      <c r="W27" s="702">
        <f>J27</f>
        <v>100</v>
      </c>
      <c r="X27" s="703"/>
      <c r="Y27" s="372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0"/>
      <c r="Q29" s="1352">
        <f t="shared" si="11"/>
        <v>111</v>
      </c>
      <c r="R29" s="705" t="s">
        <v>14</v>
      </c>
      <c r="S29" s="706">
        <f t="shared" si="12"/>
        <v>100</v>
      </c>
      <c r="T29" s="705" t="s">
        <v>14</v>
      </c>
      <c r="U29" s="706">
        <f t="shared" si="13"/>
        <v>100</v>
      </c>
      <c r="V29" s="705" t="s">
        <v>14</v>
      </c>
      <c r="W29" s="706">
        <f t="shared" si="14"/>
        <v>100</v>
      </c>
      <c r="X29" s="1355"/>
      <c r="Y29" s="372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0"/>
      <c r="Q30" s="1352">
        <f t="shared" si="11"/>
        <v>111</v>
      </c>
      <c r="R30" s="705" t="s">
        <v>14</v>
      </c>
      <c r="S30" s="706">
        <f t="shared" si="12"/>
        <v>100</v>
      </c>
      <c r="T30" s="705" t="s">
        <v>14</v>
      </c>
      <c r="U30" s="706">
        <f t="shared" si="13"/>
        <v>100</v>
      </c>
      <c r="V30" s="705" t="s">
        <v>14</v>
      </c>
      <c r="W30" s="706">
        <f t="shared" si="14"/>
        <v>100</v>
      </c>
      <c r="X30" s="1355"/>
      <c r="Y30" s="372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0"/>
      <c r="Q31" s="1352">
        <f t="shared" si="11"/>
        <v>111</v>
      </c>
      <c r="R31" s="705" t="s">
        <v>14</v>
      </c>
      <c r="S31" s="706">
        <f t="shared" si="12"/>
        <v>100</v>
      </c>
      <c r="T31" s="705" t="s">
        <v>14</v>
      </c>
      <c r="U31" s="706">
        <f t="shared" si="13"/>
        <v>100</v>
      </c>
      <c r="V31" s="705" t="s">
        <v>14</v>
      </c>
      <c r="W31" s="706">
        <f t="shared" si="14"/>
        <v>100</v>
      </c>
      <c r="X31" s="1355"/>
      <c r="Y31" s="372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4" t="s">
        <v>1696</v>
      </c>
      <c r="Q32" s="1352" t="str">
        <f t="shared" si="11"/>
        <v>商业类型</v>
      </c>
      <c r="R32" s="705" t="s">
        <v>14</v>
      </c>
      <c r="S32" s="706">
        <f t="shared" si="12"/>
        <v>100</v>
      </c>
      <c r="T32" s="705" t="s">
        <v>14</v>
      </c>
      <c r="U32" s="706">
        <f t="shared" si="13"/>
        <v>100</v>
      </c>
      <c r="V32" s="705" t="s">
        <v>14</v>
      </c>
      <c r="W32" s="706">
        <f t="shared" si="14"/>
        <v>100</v>
      </c>
      <c r="X32" s="1355"/>
      <c r="Y32" s="372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5"/>
      <c r="Q33" s="707" t="str">
        <f t="shared" si="11"/>
        <v>项目建筑规模</v>
      </c>
      <c r="R33" s="708" t="s">
        <v>14</v>
      </c>
      <c r="S33" s="709" t="e">
        <f t="shared" si="12"/>
        <v>#N/A</v>
      </c>
      <c r="T33" s="708" t="s">
        <v>14</v>
      </c>
      <c r="U33" s="709" t="e">
        <f t="shared" si="13"/>
        <v>#N/A</v>
      </c>
      <c r="V33" s="708" t="s">
        <v>14</v>
      </c>
      <c r="W33" s="709" t="e">
        <f t="shared" si="14"/>
        <v>#N/A</v>
      </c>
      <c r="X33" s="710"/>
      <c r="Y33" s="372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5"/>
      <c r="Q34" s="1352" t="str">
        <f t="shared" si="11"/>
        <v>建筑结构</v>
      </c>
      <c r="R34" s="705" t="s">
        <v>14</v>
      </c>
      <c r="S34" s="706">
        <f t="shared" si="12"/>
        <v>100</v>
      </c>
      <c r="T34" s="705" t="s">
        <v>14</v>
      </c>
      <c r="U34" s="706">
        <f t="shared" si="13"/>
        <v>100</v>
      </c>
      <c r="V34" s="705" t="s">
        <v>14</v>
      </c>
      <c r="W34" s="706">
        <f t="shared" si="14"/>
        <v>100</v>
      </c>
      <c r="X34" s="1355"/>
      <c r="Y34" s="372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5"/>
      <c r="Q35" s="1352" t="str">
        <f t="shared" si="11"/>
        <v>公共部分装修</v>
      </c>
      <c r="R35" s="705" t="s">
        <v>14</v>
      </c>
      <c r="S35" s="706">
        <f t="shared" si="12"/>
        <v>100</v>
      </c>
      <c r="T35" s="705" t="s">
        <v>14</v>
      </c>
      <c r="U35" s="706">
        <f t="shared" si="13"/>
        <v>100</v>
      </c>
      <c r="V35" s="705" t="s">
        <v>14</v>
      </c>
      <c r="W35" s="706">
        <f t="shared" si="14"/>
        <v>100</v>
      </c>
      <c r="X35" s="1355"/>
      <c r="Y35" s="372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5"/>
      <c r="Q36" s="1352" t="str">
        <f t="shared" si="11"/>
        <v>成新度</v>
      </c>
      <c r="R36" s="705" t="s">
        <v>14</v>
      </c>
      <c r="S36" s="706" t="e">
        <f t="shared" si="12"/>
        <v>#N/A</v>
      </c>
      <c r="T36" s="705" t="s">
        <v>14</v>
      </c>
      <c r="U36" s="706" t="e">
        <f t="shared" si="13"/>
        <v>#N/A</v>
      </c>
      <c r="V36" s="705" t="s">
        <v>14</v>
      </c>
      <c r="W36" s="706" t="e">
        <f t="shared" si="14"/>
        <v>#N/A</v>
      </c>
      <c r="X36" s="1355"/>
      <c r="Y36" s="372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5"/>
      <c r="Q37" s="1343" t="str">
        <f t="shared" si="11"/>
        <v>市政基础设施</v>
      </c>
      <c r="R37" s="701" t="s">
        <v>14</v>
      </c>
      <c r="S37" s="702">
        <f t="shared" si="12"/>
        <v>100</v>
      </c>
      <c r="T37" s="701" t="s">
        <v>14</v>
      </c>
      <c r="U37" s="702">
        <f t="shared" si="13"/>
        <v>100</v>
      </c>
      <c r="V37" s="701" t="s">
        <v>14</v>
      </c>
      <c r="W37" s="702">
        <f t="shared" si="14"/>
        <v>100</v>
      </c>
      <c r="X37" s="703"/>
      <c r="Y37" s="372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5" t="s">
        <v>1696</v>
      </c>
      <c r="Q38" s="1352" t="str">
        <f t="shared" si="11"/>
        <v>业态</v>
      </c>
      <c r="R38" s="705" t="s">
        <v>14</v>
      </c>
      <c r="S38" s="706">
        <f t="shared" si="12"/>
        <v>100</v>
      </c>
      <c r="T38" s="705" t="s">
        <v>14</v>
      </c>
      <c r="U38" s="706">
        <f t="shared" si="13"/>
        <v>100</v>
      </c>
      <c r="V38" s="705" t="s">
        <v>14</v>
      </c>
      <c r="W38" s="706">
        <f t="shared" si="14"/>
        <v>100</v>
      </c>
      <c r="X38" s="1355"/>
      <c r="Y38" s="372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5"/>
      <c r="Q39" s="1352" t="str">
        <f t="shared" si="11"/>
        <v>层高</v>
      </c>
      <c r="R39" s="705" t="s">
        <v>14</v>
      </c>
      <c r="S39" s="706">
        <f t="shared" si="12"/>
        <v>100</v>
      </c>
      <c r="T39" s="705" t="s">
        <v>14</v>
      </c>
      <c r="U39" s="706">
        <f t="shared" si="13"/>
        <v>100</v>
      </c>
      <c r="V39" s="705" t="s">
        <v>14</v>
      </c>
      <c r="W39" s="706">
        <f t="shared" si="14"/>
        <v>100</v>
      </c>
      <c r="X39" s="1355"/>
      <c r="Y39" s="372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5"/>
      <c r="Q40" s="1352" t="str">
        <f t="shared" si="11"/>
        <v>单套建筑面积</v>
      </c>
      <c r="R40" s="705" t="s">
        <v>14</v>
      </c>
      <c r="S40" s="706">
        <f t="shared" si="12"/>
        <v>100</v>
      </c>
      <c r="T40" s="705" t="s">
        <v>14</v>
      </c>
      <c r="U40" s="706">
        <f t="shared" si="13"/>
        <v>100</v>
      </c>
      <c r="V40" s="705" t="s">
        <v>14</v>
      </c>
      <c r="W40" s="706">
        <f t="shared" si="14"/>
        <v>100</v>
      </c>
      <c r="X40" s="1355"/>
      <c r="Y40" s="372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5"/>
      <c r="Q41" s="707" t="str">
        <f t="shared" si="11"/>
        <v>进深比</v>
      </c>
      <c r="R41" s="708" t="s">
        <v>14</v>
      </c>
      <c r="S41" s="709">
        <f t="shared" si="12"/>
        <v>100</v>
      </c>
      <c r="T41" s="708" t="s">
        <v>14</v>
      </c>
      <c r="U41" s="709">
        <f t="shared" si="13"/>
        <v>100</v>
      </c>
      <c r="V41" s="708" t="s">
        <v>14</v>
      </c>
      <c r="W41" s="709">
        <f t="shared" si="14"/>
        <v>100</v>
      </c>
      <c r="X41" s="710"/>
      <c r="Y41" s="372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5"/>
      <c r="Q42" s="1352" t="str">
        <f t="shared" si="11"/>
        <v>内部装修</v>
      </c>
      <c r="R42" s="705" t="s">
        <v>14</v>
      </c>
      <c r="S42" s="706">
        <f t="shared" si="12"/>
        <v>100</v>
      </c>
      <c r="T42" s="705" t="s">
        <v>14</v>
      </c>
      <c r="U42" s="706">
        <f t="shared" si="13"/>
        <v>100</v>
      </c>
      <c r="V42" s="705" t="s">
        <v>14</v>
      </c>
      <c r="W42" s="706">
        <f t="shared" si="14"/>
        <v>100</v>
      </c>
      <c r="X42" s="1355"/>
      <c r="Y42" s="372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5"/>
      <c r="Q43" s="1352" t="str">
        <f t="shared" si="11"/>
        <v>内部装修维护情况</v>
      </c>
      <c r="R43" s="705" t="s">
        <v>14</v>
      </c>
      <c r="S43" s="706">
        <f t="shared" si="12"/>
        <v>100</v>
      </c>
      <c r="T43" s="705" t="s">
        <v>14</v>
      </c>
      <c r="U43" s="706">
        <f t="shared" si="13"/>
        <v>100</v>
      </c>
      <c r="V43" s="705" t="s">
        <v>14</v>
      </c>
      <c r="W43" s="706">
        <f t="shared" si="14"/>
        <v>100</v>
      </c>
      <c r="X43" s="1355"/>
      <c r="Y43" s="372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5"/>
      <c r="Q44" s="1343">
        <f t="shared" si="11"/>
        <v>111</v>
      </c>
      <c r="R44" s="701" t="s">
        <v>14</v>
      </c>
      <c r="S44" s="702">
        <f t="shared" si="12"/>
        <v>100</v>
      </c>
      <c r="T44" s="701" t="s">
        <v>14</v>
      </c>
      <c r="U44" s="702">
        <f t="shared" si="13"/>
        <v>100</v>
      </c>
      <c r="V44" s="701" t="s">
        <v>14</v>
      </c>
      <c r="W44" s="702">
        <f t="shared" si="14"/>
        <v>100</v>
      </c>
      <c r="X44" s="703"/>
      <c r="Y44" s="372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5"/>
      <c r="Q45" s="1352">
        <f t="shared" si="11"/>
        <v>111</v>
      </c>
      <c r="R45" s="705" t="s">
        <v>14</v>
      </c>
      <c r="S45" s="706">
        <f t="shared" si="12"/>
        <v>100</v>
      </c>
      <c r="T45" s="705" t="s">
        <v>14</v>
      </c>
      <c r="U45" s="706">
        <f t="shared" si="13"/>
        <v>100</v>
      </c>
      <c r="V45" s="705" t="s">
        <v>14</v>
      </c>
      <c r="W45" s="706">
        <f t="shared" si="14"/>
        <v>100</v>
      </c>
      <c r="X45" s="1355"/>
      <c r="Y45" s="372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6"/>
      <c r="Q46" s="1352">
        <f t="shared" si="11"/>
        <v>111</v>
      </c>
      <c r="R46" s="705" t="s">
        <v>14</v>
      </c>
      <c r="S46" s="706">
        <f t="shared" si="12"/>
        <v>100</v>
      </c>
      <c r="T46" s="705" t="s">
        <v>14</v>
      </c>
      <c r="U46" s="706">
        <f t="shared" si="13"/>
        <v>100</v>
      </c>
      <c r="V46" s="705" t="s">
        <v>14</v>
      </c>
      <c r="W46" s="706">
        <f t="shared" si="14"/>
        <v>100</v>
      </c>
      <c r="X46" s="1355"/>
      <c r="Y46" s="372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0" t="str">
        <f>A47</f>
        <v>成交单价（元/平方米）</v>
      </c>
      <c r="Q47" s="3720"/>
      <c r="R47" s="3715">
        <f>E47</f>
        <v>0</v>
      </c>
      <c r="S47" s="3715"/>
      <c r="T47" s="3715">
        <f>G47</f>
        <v>0</v>
      </c>
      <c r="U47" s="3715"/>
      <c r="V47" s="3715">
        <f>I47</f>
        <v>0</v>
      </c>
      <c r="W47" s="371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0" t="str">
        <f>A48</f>
        <v>比较价值（元/平方米）</v>
      </c>
      <c r="Q48" s="3720"/>
      <c r="R48" s="3721" t="e">
        <f>IF(F1="售价",ROUND(PRODUCT(R47,AA7:AA46),0),ROUND(PRODUCT(R47,AA7:AA46),1))</f>
        <v>#DIV/0!</v>
      </c>
      <c r="S48" s="3721"/>
      <c r="T48" s="3721" t="e">
        <f>IF(F1="售价",ROUND(PRODUCT(T47,AB7:AB46),0),ROUND(PRODUCT(T47,AB7:AB46),1))</f>
        <v>#DIV/0!</v>
      </c>
      <c r="U48" s="3721"/>
      <c r="V48" s="3721" t="e">
        <f>IF(F1="售价",ROUND(PRODUCT(V47,AC7:AC46),0),ROUND(PRODUCT(V47,AC7:AC46),1))</f>
        <v>#DIV/0!</v>
      </c>
      <c r="W48" s="372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17" t="str">
        <f>A49</f>
        <v>估价对象XX用房的比较价值（楼面单价，元/平方米）</v>
      </c>
      <c r="Q49" s="3718"/>
      <c r="R49" s="3719" t="e">
        <f>IF(F1="售价",ROUND(IF(D48="简单平均",AVERAGE(R48:V48),R48*F48+T48*H48+V48*J48),0),ROUND(IF(D48="简单平均",AVERAGE(R48:V48),R48*F48+T48*H48+V48*J48),1))</f>
        <v>#DIV/0!</v>
      </c>
      <c r="S49" s="3719"/>
      <c r="T49" s="3719"/>
      <c r="U49" s="3719"/>
      <c r="V49" s="3719"/>
      <c r="W49" s="371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估价对象为北京市房地产，为所有。根据《国有土地使用证》[]，估价对象（分摊）出让国有建设用地使用权面积为3500.6平方米，建筑面积为9852.5平方米。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估价对象为北京市房地产,属开发建设的，该项目尚在开发建设中。根据《国有土地使用证》[]，估价对象（分摊）出让国有建设用地使用权面积为3500.6平方米，规划建筑面积为9852.5平方米。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2023年3月28日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9852.5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3" t="s">
        <v>1770</v>
      </c>
      <c r="D4" s="3704"/>
      <c r="E4" s="3705" t="s">
        <v>1771</v>
      </c>
      <c r="F4" s="3706"/>
      <c r="G4" s="3703" t="s">
        <v>1772</v>
      </c>
      <c r="H4" s="3704"/>
      <c r="I4" s="3703" t="s">
        <v>1773</v>
      </c>
      <c r="J4" s="3704"/>
      <c r="K4" s="559" t="s">
        <v>1774</v>
      </c>
      <c r="L4" s="2715"/>
      <c r="M4" s="2716"/>
      <c r="N4" s="2716"/>
      <c r="O4" s="2716"/>
      <c r="P4" s="3737" t="s">
        <v>1775</v>
      </c>
      <c r="Q4" s="3738"/>
      <c r="R4" s="3732" t="s">
        <v>1771</v>
      </c>
      <c r="S4" s="3733"/>
      <c r="T4" s="3732" t="s">
        <v>1772</v>
      </c>
      <c r="U4" s="3733"/>
      <c r="V4" s="3741" t="s">
        <v>1773</v>
      </c>
      <c r="W4" s="3741"/>
      <c r="X4" s="1958"/>
      <c r="Y4" s="3732" t="s">
        <v>1775</v>
      </c>
      <c r="Z4" s="3733"/>
      <c r="AA4" s="3731" t="s">
        <v>1771</v>
      </c>
      <c r="AB4" s="3731" t="s">
        <v>1772</v>
      </c>
      <c r="AC4" s="3734" t="s">
        <v>1773</v>
      </c>
    </row>
    <row r="5" spans="1:29" ht="15">
      <c r="A5" s="358"/>
      <c r="B5" s="359"/>
      <c r="C5" s="3696" t="s">
        <v>1673</v>
      </c>
      <c r="D5" s="3697"/>
      <c r="E5" s="3694" t="s">
        <v>1674</v>
      </c>
      <c r="F5" s="3695"/>
      <c r="G5" s="3696" t="s">
        <v>1675</v>
      </c>
      <c r="H5" s="3697"/>
      <c r="I5" s="3696" t="s">
        <v>1676</v>
      </c>
      <c r="J5" s="3697"/>
      <c r="K5" s="559"/>
      <c r="L5" s="2715"/>
      <c r="M5" s="2716"/>
      <c r="N5" s="2716"/>
      <c r="O5" s="2716"/>
      <c r="P5" s="3739"/>
      <c r="Q5" s="3710"/>
      <c r="R5" s="3692"/>
      <c r="S5" s="3693"/>
      <c r="T5" s="3692"/>
      <c r="U5" s="3693"/>
      <c r="V5" s="3715"/>
      <c r="W5" s="3715"/>
      <c r="X5" s="1355"/>
      <c r="Y5" s="3692"/>
      <c r="Z5" s="3693"/>
      <c r="AA5" s="3686"/>
      <c r="AB5" s="3686"/>
      <c r="AC5" s="3735"/>
    </row>
    <row r="6" spans="1:29" ht="15.75" thickBot="1">
      <c r="A6" s="360"/>
      <c r="B6" s="361"/>
      <c r="C6" s="3698" t="s">
        <v>1677</v>
      </c>
      <c r="D6" s="3699"/>
      <c r="E6" s="3700" t="s">
        <v>1677</v>
      </c>
      <c r="F6" s="3701"/>
      <c r="G6" s="3698" t="s">
        <v>1677</v>
      </c>
      <c r="H6" s="3699"/>
      <c r="I6" s="3698" t="s">
        <v>1677</v>
      </c>
      <c r="J6" s="3699"/>
      <c r="K6" s="559" t="s">
        <v>1678</v>
      </c>
      <c r="L6" s="2715"/>
      <c r="M6" s="2716"/>
      <c r="N6" s="2716"/>
      <c r="O6" s="2716"/>
      <c r="P6" s="3740"/>
      <c r="Q6" s="3712"/>
      <c r="R6" s="3692"/>
      <c r="S6" s="3693"/>
      <c r="T6" s="3713"/>
      <c r="U6" s="3714"/>
      <c r="V6" s="3715"/>
      <c r="W6" s="3715"/>
      <c r="X6" s="1355"/>
      <c r="Y6" s="3713"/>
      <c r="Z6" s="3714"/>
      <c r="AA6" s="3687"/>
      <c r="AB6" s="3687"/>
      <c r="AC6" s="3736"/>
    </row>
    <row r="7" spans="1:29" s="108" customFormat="1" ht="15.75" thickBot="1">
      <c r="A7" s="362" t="s">
        <v>1679</v>
      </c>
      <c r="B7" s="363"/>
      <c r="C7" s="364">
        <f>'数据-取费表'!B2</f>
        <v>45013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2"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2" t="s">
        <v>1683</v>
      </c>
      <c r="Q8" s="3689"/>
      <c r="R8" s="701" t="s">
        <v>14</v>
      </c>
      <c r="S8" s="702">
        <f t="shared" si="0"/>
        <v>100</v>
      </c>
      <c r="T8" s="701" t="s">
        <v>14</v>
      </c>
      <c r="U8" s="702">
        <f t="shared" si="1"/>
        <v>100</v>
      </c>
      <c r="V8" s="701" t="s">
        <v>14</v>
      </c>
      <c r="W8" s="702">
        <f t="shared" si="2"/>
        <v>100</v>
      </c>
      <c r="X8" s="703"/>
      <c r="Y8" s="3688" t="s">
        <v>1683</v>
      </c>
      <c r="Z8" s="368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2"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2"/>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2"/>
      <c r="Q11" s="1343"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2"/>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2"/>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2"/>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9" t="s">
        <v>1691</v>
      </c>
      <c r="Q15" s="1352" t="str">
        <f t="shared" si="6"/>
        <v>办公集聚程度</v>
      </c>
      <c r="R15" s="705" t="s">
        <v>14</v>
      </c>
      <c r="S15" s="706">
        <f t="shared" si="0"/>
        <v>100</v>
      </c>
      <c r="T15" s="705" t="s">
        <v>14</v>
      </c>
      <c r="U15" s="706">
        <f t="shared" si="1"/>
        <v>100</v>
      </c>
      <c r="V15" s="705" t="s">
        <v>14</v>
      </c>
      <c r="W15" s="706">
        <f t="shared" si="2"/>
        <v>100</v>
      </c>
      <c r="X15" s="1355"/>
      <c r="Y15" s="372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0"/>
      <c r="Q16" s="1352"/>
      <c r="R16" s="705"/>
      <c r="S16" s="706"/>
      <c r="T16" s="705"/>
      <c r="U16" s="706"/>
      <c r="V16" s="705"/>
      <c r="W16" s="706"/>
      <c r="X16" s="1355"/>
      <c r="Y16" s="372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0"/>
      <c r="Q17" s="1352" t="str">
        <f>B17</f>
        <v>交通便捷度</v>
      </c>
      <c r="R17" s="705" t="s">
        <v>14</v>
      </c>
      <c r="S17" s="706">
        <f>F17</f>
        <v>100</v>
      </c>
      <c r="T17" s="705" t="s">
        <v>14</v>
      </c>
      <c r="U17" s="706">
        <f>H17</f>
        <v>100</v>
      </c>
      <c r="V17" s="705" t="s">
        <v>14</v>
      </c>
      <c r="W17" s="706">
        <f>J17</f>
        <v>100</v>
      </c>
      <c r="X17" s="1355"/>
      <c r="Y17" s="372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0"/>
      <c r="Q18" s="1352"/>
      <c r="R18" s="705"/>
      <c r="S18" s="706"/>
      <c r="T18" s="705"/>
      <c r="U18" s="706"/>
      <c r="V18" s="705"/>
      <c r="W18" s="706"/>
      <c r="X18" s="1355"/>
      <c r="Y18" s="372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0"/>
      <c r="Q19" s="1352" t="str">
        <f>B19</f>
        <v>公共配套设施</v>
      </c>
      <c r="R19" s="705" t="s">
        <v>14</v>
      </c>
      <c r="S19" s="706">
        <f>F19</f>
        <v>100</v>
      </c>
      <c r="T19" s="705" t="s">
        <v>14</v>
      </c>
      <c r="U19" s="706">
        <f>H19</f>
        <v>100</v>
      </c>
      <c r="V19" s="705" t="s">
        <v>14</v>
      </c>
      <c r="W19" s="706">
        <f>J19</f>
        <v>100</v>
      </c>
      <c r="X19" s="1355"/>
      <c r="Y19" s="372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0"/>
      <c r="Q20" s="1352"/>
      <c r="R20" s="705"/>
      <c r="S20" s="706"/>
      <c r="T20" s="705"/>
      <c r="U20" s="706"/>
      <c r="V20" s="705"/>
      <c r="W20" s="706"/>
      <c r="X20" s="1355"/>
      <c r="Y20" s="372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0"/>
      <c r="Q21" s="1352" t="str">
        <f>B21</f>
        <v>基础设施水平</v>
      </c>
      <c r="R21" s="705" t="s">
        <v>14</v>
      </c>
      <c r="S21" s="706">
        <f>F21</f>
        <v>100</v>
      </c>
      <c r="T21" s="705" t="s">
        <v>14</v>
      </c>
      <c r="U21" s="706">
        <f>H21</f>
        <v>100</v>
      </c>
      <c r="V21" s="705" t="s">
        <v>14</v>
      </c>
      <c r="W21" s="706">
        <f>J21</f>
        <v>100</v>
      </c>
      <c r="X21" s="1355"/>
      <c r="Y21" s="372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0"/>
      <c r="Q22" s="1352"/>
      <c r="R22" s="705"/>
      <c r="S22" s="706"/>
      <c r="T22" s="705"/>
      <c r="U22" s="706"/>
      <c r="V22" s="705"/>
      <c r="W22" s="706"/>
      <c r="X22" s="1355"/>
      <c r="Y22" s="372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0"/>
      <c r="Q23" s="1352" t="str">
        <f>B23</f>
        <v>环境质量</v>
      </c>
      <c r="R23" s="705" t="s">
        <v>14</v>
      </c>
      <c r="S23" s="706">
        <f>F23</f>
        <v>100</v>
      </c>
      <c r="T23" s="705" t="s">
        <v>14</v>
      </c>
      <c r="U23" s="706">
        <f>H23</f>
        <v>100</v>
      </c>
      <c r="V23" s="705" t="s">
        <v>14</v>
      </c>
      <c r="W23" s="706">
        <f>J23</f>
        <v>100</v>
      </c>
      <c r="X23" s="1355"/>
      <c r="Y23" s="372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0"/>
      <c r="Q24" s="1352"/>
      <c r="R24" s="705"/>
      <c r="S24" s="706"/>
      <c r="T24" s="705"/>
      <c r="U24" s="706"/>
      <c r="V24" s="705"/>
      <c r="W24" s="706"/>
      <c r="X24" s="1355"/>
      <c r="Y24" s="372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0"/>
      <c r="Q25" s="1352" t="str">
        <f>B25</f>
        <v>毗邻道路的类型与等级</v>
      </c>
      <c r="R25" s="705" t="s">
        <v>14</v>
      </c>
      <c r="S25" s="706">
        <f>F25</f>
        <v>100</v>
      </c>
      <c r="T25" s="705" t="s">
        <v>14</v>
      </c>
      <c r="U25" s="706">
        <f>H25</f>
        <v>100</v>
      </c>
      <c r="V25" s="705" t="s">
        <v>14</v>
      </c>
      <c r="W25" s="706">
        <f>J25</f>
        <v>100</v>
      </c>
      <c r="X25" s="1355"/>
      <c r="Y25" s="372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0"/>
      <c r="Q26" s="1352"/>
      <c r="R26" s="705"/>
      <c r="S26" s="706"/>
      <c r="T26" s="705"/>
      <c r="U26" s="706"/>
      <c r="V26" s="705"/>
      <c r="W26" s="706"/>
      <c r="X26" s="1355"/>
      <c r="Y26" s="372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0"/>
      <c r="Q27" s="1352" t="str">
        <f t="shared" ref="Q27:Q47" si="11">B27</f>
        <v>楼层</v>
      </c>
      <c r="R27" s="705" t="s">
        <v>14</v>
      </c>
      <c r="S27" s="706">
        <f>F27</f>
        <v>100</v>
      </c>
      <c r="T27" s="705" t="s">
        <v>14</v>
      </c>
      <c r="U27" s="706">
        <f>H27</f>
        <v>100</v>
      </c>
      <c r="V27" s="705" t="s">
        <v>14</v>
      </c>
      <c r="W27" s="706">
        <f>J27</f>
        <v>100</v>
      </c>
      <c r="X27" s="1355"/>
      <c r="Y27" s="372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0"/>
      <c r="Q28" s="1343" t="str">
        <f t="shared" si="11"/>
        <v>朝向</v>
      </c>
      <c r="R28" s="701" t="s">
        <v>14</v>
      </c>
      <c r="S28" s="702">
        <f>F28</f>
        <v>100</v>
      </c>
      <c r="T28" s="701" t="s">
        <v>14</v>
      </c>
      <c r="U28" s="702">
        <f>H28</f>
        <v>100</v>
      </c>
      <c r="V28" s="701" t="s">
        <v>14</v>
      </c>
      <c r="W28" s="702">
        <f>J28</f>
        <v>100</v>
      </c>
      <c r="X28" s="703"/>
      <c r="Y28" s="372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0"/>
      <c r="Q29" s="1352">
        <f t="shared" si="11"/>
        <v>111</v>
      </c>
      <c r="R29" s="705" t="s">
        <v>14</v>
      </c>
      <c r="S29" s="706">
        <f t="shared" ref="S29:S47" si="12">F29</f>
        <v>100</v>
      </c>
      <c r="T29" s="705" t="s">
        <v>14</v>
      </c>
      <c r="U29" s="706">
        <f t="shared" ref="U29:U47" si="13">H29</f>
        <v>100</v>
      </c>
      <c r="V29" s="705" t="s">
        <v>14</v>
      </c>
      <c r="W29" s="706">
        <f t="shared" ref="W29:W47" si="14">J29</f>
        <v>100</v>
      </c>
      <c r="X29" s="1355"/>
      <c r="Y29" s="372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0"/>
      <c r="Q30" s="1352">
        <f t="shared" si="11"/>
        <v>111</v>
      </c>
      <c r="R30" s="705" t="s">
        <v>14</v>
      </c>
      <c r="S30" s="706">
        <f t="shared" si="12"/>
        <v>100</v>
      </c>
      <c r="T30" s="705" t="s">
        <v>14</v>
      </c>
      <c r="U30" s="706">
        <f t="shared" si="13"/>
        <v>100</v>
      </c>
      <c r="V30" s="705" t="s">
        <v>14</v>
      </c>
      <c r="W30" s="706">
        <f t="shared" si="14"/>
        <v>100</v>
      </c>
      <c r="X30" s="1355"/>
      <c r="Y30" s="372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0"/>
      <c r="Q31" s="1352">
        <f t="shared" si="11"/>
        <v>111</v>
      </c>
      <c r="R31" s="705" t="s">
        <v>14</v>
      </c>
      <c r="S31" s="706">
        <f t="shared" si="12"/>
        <v>100</v>
      </c>
      <c r="T31" s="705" t="s">
        <v>14</v>
      </c>
      <c r="U31" s="706">
        <f t="shared" si="13"/>
        <v>100</v>
      </c>
      <c r="V31" s="705" t="s">
        <v>14</v>
      </c>
      <c r="W31" s="706">
        <f t="shared" si="14"/>
        <v>100</v>
      </c>
      <c r="X31" s="1355"/>
      <c r="Y31" s="372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0"/>
      <c r="Q32" s="1352">
        <f t="shared" si="11"/>
        <v>111</v>
      </c>
      <c r="R32" s="705" t="s">
        <v>14</v>
      </c>
      <c r="S32" s="706">
        <f t="shared" si="12"/>
        <v>100</v>
      </c>
      <c r="T32" s="705" t="s">
        <v>14</v>
      </c>
      <c r="U32" s="706">
        <f t="shared" si="13"/>
        <v>100</v>
      </c>
      <c r="V32" s="705" t="s">
        <v>14</v>
      </c>
      <c r="W32" s="706">
        <f t="shared" si="14"/>
        <v>100</v>
      </c>
      <c r="X32" s="1355"/>
      <c r="Y32" s="372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4" t="s">
        <v>1696</v>
      </c>
      <c r="Q33" s="1352" t="str">
        <f t="shared" si="11"/>
        <v>建筑类型</v>
      </c>
      <c r="R33" s="705" t="s">
        <v>14</v>
      </c>
      <c r="S33" s="706">
        <f t="shared" si="12"/>
        <v>100</v>
      </c>
      <c r="T33" s="705" t="s">
        <v>14</v>
      </c>
      <c r="U33" s="706">
        <f t="shared" si="13"/>
        <v>100</v>
      </c>
      <c r="V33" s="705" t="s">
        <v>14</v>
      </c>
      <c r="W33" s="706">
        <f t="shared" si="14"/>
        <v>100</v>
      </c>
      <c r="X33" s="1355"/>
      <c r="Y33" s="372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5"/>
      <c r="Q34" s="707" t="str">
        <f t="shared" si="11"/>
        <v>项目建筑规模</v>
      </c>
      <c r="R34" s="708" t="s">
        <v>14</v>
      </c>
      <c r="S34" s="709" t="e">
        <f t="shared" si="12"/>
        <v>#N/A</v>
      </c>
      <c r="T34" s="708" t="s">
        <v>14</v>
      </c>
      <c r="U34" s="709" t="e">
        <f t="shared" si="13"/>
        <v>#N/A</v>
      </c>
      <c r="V34" s="708" t="s">
        <v>14</v>
      </c>
      <c r="W34" s="709" t="e">
        <f t="shared" si="14"/>
        <v>#N/A</v>
      </c>
      <c r="X34" s="710"/>
      <c r="Y34" s="372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5"/>
      <c r="Q35" s="1352" t="str">
        <f t="shared" si="11"/>
        <v>建筑结构</v>
      </c>
      <c r="R35" s="705" t="s">
        <v>14</v>
      </c>
      <c r="S35" s="706">
        <f t="shared" si="12"/>
        <v>100</v>
      </c>
      <c r="T35" s="705" t="s">
        <v>14</v>
      </c>
      <c r="U35" s="706">
        <f t="shared" si="13"/>
        <v>100</v>
      </c>
      <c r="V35" s="705" t="s">
        <v>14</v>
      </c>
      <c r="W35" s="706">
        <f t="shared" si="14"/>
        <v>100</v>
      </c>
      <c r="X35" s="1355"/>
      <c r="Y35" s="372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5"/>
      <c r="Q36" s="1352" t="str">
        <f t="shared" si="11"/>
        <v>公共部分装修</v>
      </c>
      <c r="R36" s="705" t="s">
        <v>14</v>
      </c>
      <c r="S36" s="706">
        <f t="shared" si="12"/>
        <v>100</v>
      </c>
      <c r="T36" s="705" t="s">
        <v>14</v>
      </c>
      <c r="U36" s="706">
        <f t="shared" si="13"/>
        <v>100</v>
      </c>
      <c r="V36" s="705" t="s">
        <v>14</v>
      </c>
      <c r="W36" s="706">
        <f t="shared" si="14"/>
        <v>100</v>
      </c>
      <c r="X36" s="1355"/>
      <c r="Y36" s="372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5"/>
      <c r="Q37" s="1352" t="str">
        <f t="shared" si="11"/>
        <v>成新度</v>
      </c>
      <c r="R37" s="705" t="s">
        <v>14</v>
      </c>
      <c r="S37" s="706" t="e">
        <f t="shared" si="12"/>
        <v>#N/A</v>
      </c>
      <c r="T37" s="705" t="s">
        <v>14</v>
      </c>
      <c r="U37" s="706" t="e">
        <f t="shared" si="13"/>
        <v>#N/A</v>
      </c>
      <c r="V37" s="705" t="s">
        <v>14</v>
      </c>
      <c r="W37" s="706" t="e">
        <f t="shared" si="14"/>
        <v>#N/A</v>
      </c>
      <c r="X37" s="1355"/>
      <c r="Y37" s="372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5"/>
      <c r="Q38" s="1343" t="str">
        <f t="shared" si="11"/>
        <v>写字楼等级</v>
      </c>
      <c r="R38" s="701" t="s">
        <v>14</v>
      </c>
      <c r="S38" s="702">
        <f t="shared" si="12"/>
        <v>100</v>
      </c>
      <c r="T38" s="701" t="s">
        <v>14</v>
      </c>
      <c r="U38" s="702">
        <f t="shared" si="13"/>
        <v>100</v>
      </c>
      <c r="V38" s="701" t="s">
        <v>14</v>
      </c>
      <c r="W38" s="702">
        <f t="shared" si="14"/>
        <v>100</v>
      </c>
      <c r="X38" s="703"/>
      <c r="Y38" s="372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5" t="s">
        <v>1696</v>
      </c>
      <c r="Q39" s="1352" t="str">
        <f t="shared" si="11"/>
        <v>物业管理</v>
      </c>
      <c r="R39" s="705" t="s">
        <v>14</v>
      </c>
      <c r="S39" s="706">
        <f t="shared" si="12"/>
        <v>100</v>
      </c>
      <c r="T39" s="705" t="s">
        <v>14</v>
      </c>
      <c r="U39" s="706">
        <f t="shared" si="13"/>
        <v>100</v>
      </c>
      <c r="V39" s="705" t="s">
        <v>14</v>
      </c>
      <c r="W39" s="706">
        <f t="shared" si="14"/>
        <v>100</v>
      </c>
      <c r="X39" s="1355"/>
      <c r="Y39" s="372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5"/>
      <c r="Q40" s="1352" t="str">
        <f t="shared" si="11"/>
        <v>市政基础设施</v>
      </c>
      <c r="R40" s="705" t="s">
        <v>14</v>
      </c>
      <c r="S40" s="706">
        <f t="shared" si="12"/>
        <v>100</v>
      </c>
      <c r="T40" s="705" t="s">
        <v>14</v>
      </c>
      <c r="U40" s="706">
        <f t="shared" si="13"/>
        <v>100</v>
      </c>
      <c r="V40" s="705" t="s">
        <v>14</v>
      </c>
      <c r="W40" s="706">
        <f t="shared" si="14"/>
        <v>100</v>
      </c>
      <c r="X40" s="1355"/>
      <c r="Y40" s="372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5"/>
      <c r="Q41" s="1352" t="str">
        <f t="shared" si="11"/>
        <v>层高</v>
      </c>
      <c r="R41" s="705" t="s">
        <v>14</v>
      </c>
      <c r="S41" s="706">
        <f t="shared" si="12"/>
        <v>100</v>
      </c>
      <c r="T41" s="705" t="s">
        <v>14</v>
      </c>
      <c r="U41" s="706">
        <f t="shared" si="13"/>
        <v>100</v>
      </c>
      <c r="V41" s="705" t="s">
        <v>14</v>
      </c>
      <c r="W41" s="706">
        <f t="shared" si="14"/>
        <v>100</v>
      </c>
      <c r="X41" s="1355"/>
      <c r="Y41" s="372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5"/>
      <c r="Q42" s="707" t="str">
        <f t="shared" si="11"/>
        <v>单套建筑面积</v>
      </c>
      <c r="R42" s="708" t="s">
        <v>14</v>
      </c>
      <c r="S42" s="709">
        <f t="shared" si="12"/>
        <v>100</v>
      </c>
      <c r="T42" s="708" t="s">
        <v>14</v>
      </c>
      <c r="U42" s="709">
        <f t="shared" si="13"/>
        <v>100</v>
      </c>
      <c r="V42" s="708" t="s">
        <v>14</v>
      </c>
      <c r="W42" s="709">
        <f t="shared" si="14"/>
        <v>100</v>
      </c>
      <c r="X42" s="710"/>
      <c r="Y42" s="372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5"/>
      <c r="Q43" s="1352" t="str">
        <f t="shared" si="11"/>
        <v>内部装修</v>
      </c>
      <c r="R43" s="705" t="s">
        <v>14</v>
      </c>
      <c r="S43" s="706">
        <f t="shared" si="12"/>
        <v>100</v>
      </c>
      <c r="T43" s="705" t="s">
        <v>14</v>
      </c>
      <c r="U43" s="706">
        <f t="shared" si="13"/>
        <v>100</v>
      </c>
      <c r="V43" s="705" t="s">
        <v>14</v>
      </c>
      <c r="W43" s="706">
        <f t="shared" si="14"/>
        <v>100</v>
      </c>
      <c r="X43" s="1355"/>
      <c r="Y43" s="372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5"/>
      <c r="Q44" s="1352" t="str">
        <f t="shared" si="11"/>
        <v>内部装修维护情况</v>
      </c>
      <c r="R44" s="705" t="s">
        <v>14</v>
      </c>
      <c r="S44" s="706">
        <f t="shared" si="12"/>
        <v>100</v>
      </c>
      <c r="T44" s="705" t="s">
        <v>14</v>
      </c>
      <c r="U44" s="706">
        <f t="shared" si="13"/>
        <v>100</v>
      </c>
      <c r="V44" s="705" t="s">
        <v>14</v>
      </c>
      <c r="W44" s="706">
        <f t="shared" si="14"/>
        <v>100</v>
      </c>
      <c r="X44" s="1355"/>
      <c r="Y44" s="372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5"/>
      <c r="Q45" s="1343">
        <f t="shared" si="11"/>
        <v>111</v>
      </c>
      <c r="R45" s="701" t="s">
        <v>14</v>
      </c>
      <c r="S45" s="702">
        <f t="shared" si="12"/>
        <v>100</v>
      </c>
      <c r="T45" s="701" t="s">
        <v>14</v>
      </c>
      <c r="U45" s="702">
        <f t="shared" si="13"/>
        <v>100</v>
      </c>
      <c r="V45" s="701" t="s">
        <v>14</v>
      </c>
      <c r="W45" s="702">
        <f t="shared" si="14"/>
        <v>100</v>
      </c>
      <c r="X45" s="703"/>
      <c r="Y45" s="372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5"/>
      <c r="Q46" s="1352">
        <f t="shared" si="11"/>
        <v>111</v>
      </c>
      <c r="R46" s="705" t="s">
        <v>14</v>
      </c>
      <c r="S46" s="706">
        <f t="shared" si="12"/>
        <v>100</v>
      </c>
      <c r="T46" s="705" t="s">
        <v>14</v>
      </c>
      <c r="U46" s="706">
        <f t="shared" si="13"/>
        <v>100</v>
      </c>
      <c r="V46" s="705" t="s">
        <v>14</v>
      </c>
      <c r="W46" s="706">
        <f t="shared" si="14"/>
        <v>100</v>
      </c>
      <c r="X46" s="1355"/>
      <c r="Y46" s="372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6"/>
      <c r="Q47" s="1352">
        <f t="shared" si="11"/>
        <v>111</v>
      </c>
      <c r="R47" s="705" t="s">
        <v>14</v>
      </c>
      <c r="S47" s="706">
        <f t="shared" si="12"/>
        <v>100</v>
      </c>
      <c r="T47" s="705" t="s">
        <v>14</v>
      </c>
      <c r="U47" s="706">
        <f t="shared" si="13"/>
        <v>100</v>
      </c>
      <c r="V47" s="705" t="s">
        <v>14</v>
      </c>
      <c r="W47" s="706">
        <f t="shared" si="14"/>
        <v>100</v>
      </c>
      <c r="X47" s="1355"/>
      <c r="Y47" s="372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2" t="str">
        <f>A48</f>
        <v>成交单价（元/平方米）</v>
      </c>
      <c r="Q48" s="3720"/>
      <c r="R48" s="3721">
        <f>E48</f>
        <v>0</v>
      </c>
      <c r="S48" s="3721"/>
      <c r="T48" s="3721">
        <f>G48</f>
        <v>0</v>
      </c>
      <c r="U48" s="3721"/>
      <c r="V48" s="3721">
        <f>I48</f>
        <v>0</v>
      </c>
      <c r="W48" s="372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2" t="str">
        <f>A49</f>
        <v>比较价值（元/平方米）</v>
      </c>
      <c r="Q49" s="3720"/>
      <c r="R49" s="3721" t="e">
        <f>IF(F1="售价",ROUND(PRODUCT(R48,AA7:AA47),0),ROUND(PRODUCT(R48,AA7:AA47),1))</f>
        <v>#DIV/0!</v>
      </c>
      <c r="S49" s="3721"/>
      <c r="T49" s="3721" t="e">
        <f>IF(F1="售价",ROUND(PRODUCT(T48,AB7:AB47),0),ROUND(PRODUCT(T48,AB7:AB47),1))</f>
        <v>#DIV/0!</v>
      </c>
      <c r="U49" s="3721"/>
      <c r="V49" s="3721" t="e">
        <f>IF(F1="售价",ROUND(PRODUCT(V48,AC7:AC47),0),ROUND(PRODUCT(V48,AC7:AC47),1))</f>
        <v>#DIV/0!</v>
      </c>
      <c r="W49" s="372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43" t="str">
        <f>A50</f>
        <v>估价对象XX用房的比较价值（楼面单价，元/平方米）</v>
      </c>
      <c r="Q50" s="3744"/>
      <c r="R50" s="3745" t="e">
        <f>IF(F1="售价",ROUND(IF(D49="简单平均",AVERAGE(R49:V49),R49*F49+T49*H49+V49*J49),0),ROUND(IF(D49="简单平均",AVERAGE(R49:V49),R49*F49+T49*H49+V49*J49),1))</f>
        <v>#DIV/0!</v>
      </c>
      <c r="S50" s="3745"/>
      <c r="T50" s="3745"/>
      <c r="U50" s="3745"/>
      <c r="V50" s="3745"/>
      <c r="W50" s="374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9852.5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913"/>
      <c r="M4" s="914"/>
      <c r="N4" s="914"/>
      <c r="O4" s="914"/>
      <c r="P4" s="3707" t="s">
        <v>1775</v>
      </c>
      <c r="Q4" s="3708"/>
      <c r="R4" s="3690" t="s">
        <v>1771</v>
      </c>
      <c r="S4" s="3691"/>
      <c r="T4" s="3690" t="s">
        <v>1772</v>
      </c>
      <c r="U4" s="3691"/>
      <c r="V4" s="3715" t="s">
        <v>1773</v>
      </c>
      <c r="W4" s="3715"/>
      <c r="X4" s="1355"/>
      <c r="Y4" s="3690" t="s">
        <v>1775</v>
      </c>
      <c r="Z4" s="3691"/>
      <c r="AA4" s="3685" t="s">
        <v>1771</v>
      </c>
      <c r="AB4" s="3686" t="s">
        <v>1772</v>
      </c>
      <c r="AC4" s="3685" t="s">
        <v>1773</v>
      </c>
    </row>
    <row r="5" spans="1:29" ht="15">
      <c r="A5" s="358"/>
      <c r="B5" s="359"/>
      <c r="C5" s="3696" t="s">
        <v>1673</v>
      </c>
      <c r="D5" s="3697"/>
      <c r="E5" s="3694" t="s">
        <v>1674</v>
      </c>
      <c r="F5" s="3695"/>
      <c r="G5" s="3696" t="s">
        <v>1675</v>
      </c>
      <c r="H5" s="3697"/>
      <c r="I5" s="3696" t="s">
        <v>1676</v>
      </c>
      <c r="J5" s="3697"/>
      <c r="K5" s="559"/>
      <c r="L5" s="913"/>
      <c r="M5" s="914"/>
      <c r="N5" s="914"/>
      <c r="O5" s="914"/>
      <c r="P5" s="3709"/>
      <c r="Q5" s="3710"/>
      <c r="R5" s="3692"/>
      <c r="S5" s="3693"/>
      <c r="T5" s="3692"/>
      <c r="U5" s="3693"/>
      <c r="V5" s="3715"/>
      <c r="W5" s="3715"/>
      <c r="X5" s="1355"/>
      <c r="Y5" s="3692"/>
      <c r="Z5" s="3693"/>
      <c r="AA5" s="3686"/>
      <c r="AB5" s="3686"/>
      <c r="AC5" s="3686"/>
    </row>
    <row r="6" spans="1:29" ht="15.75" thickBot="1">
      <c r="A6" s="360"/>
      <c r="B6" s="361"/>
      <c r="C6" s="3698" t="s">
        <v>1677</v>
      </c>
      <c r="D6" s="3699"/>
      <c r="E6" s="3700" t="s">
        <v>1677</v>
      </c>
      <c r="F6" s="3701"/>
      <c r="G6" s="3698" t="s">
        <v>1677</v>
      </c>
      <c r="H6" s="3699"/>
      <c r="I6" s="3698" t="s">
        <v>1677</v>
      </c>
      <c r="J6" s="3699"/>
      <c r="K6" s="559" t="s">
        <v>1678</v>
      </c>
      <c r="L6" s="913"/>
      <c r="M6" s="914"/>
      <c r="N6" s="914"/>
      <c r="O6" s="914"/>
      <c r="P6" s="3711"/>
      <c r="Q6" s="3712"/>
      <c r="R6" s="3692"/>
      <c r="S6" s="3693"/>
      <c r="T6" s="3713"/>
      <c r="U6" s="3714"/>
      <c r="V6" s="3715"/>
      <c r="W6" s="3715"/>
      <c r="X6" s="1355"/>
      <c r="Y6" s="3713"/>
      <c r="Z6" s="3714"/>
      <c r="AA6" s="3687"/>
      <c r="AB6" s="3687"/>
      <c r="AC6" s="3687"/>
    </row>
    <row r="7" spans="1:29" s="108" customFormat="1" ht="15.75" thickBot="1">
      <c r="A7" s="362" t="s">
        <v>1679</v>
      </c>
      <c r="B7" s="363"/>
      <c r="C7" s="364">
        <f>'数据-取费表'!B2</f>
        <v>45013</v>
      </c>
      <c r="D7" s="365">
        <v>100</v>
      </c>
      <c r="E7" s="366"/>
      <c r="F7" s="367">
        <f>SUMIF(52:52,YEAR(E7)&amp;"-"&amp;MONTH(E7),53:53)</f>
        <v>0</v>
      </c>
      <c r="G7" s="366"/>
      <c r="H7" s="365">
        <f>SUMIF(52:52,YEAR(G7)&amp;"-"&amp;MONTH(G7),53:53)</f>
        <v>0</v>
      </c>
      <c r="I7" s="366"/>
      <c r="J7" s="365">
        <f>SUMIF(52:52,YEAR(I7)&amp;"-"&amp;MONTH(I7),53:53)</f>
        <v>0</v>
      </c>
      <c r="K7" s="560"/>
      <c r="L7" s="915"/>
      <c r="M7" s="916"/>
      <c r="N7" s="916"/>
      <c r="O7" s="916"/>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8" t="s">
        <v>1683</v>
      </c>
      <c r="Q8" s="3689"/>
      <c r="R8" s="701" t="s">
        <v>14</v>
      </c>
      <c r="S8" s="702">
        <f t="shared" si="0"/>
        <v>100</v>
      </c>
      <c r="T8" s="701" t="s">
        <v>14</v>
      </c>
      <c r="U8" s="702">
        <f t="shared" si="1"/>
        <v>100</v>
      </c>
      <c r="V8" s="701" t="s">
        <v>14</v>
      </c>
      <c r="W8" s="702">
        <f t="shared" si="2"/>
        <v>100</v>
      </c>
      <c r="X8" s="703"/>
      <c r="Y8" s="3688" t="s">
        <v>1683</v>
      </c>
      <c r="Z8" s="368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0"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0"/>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0"/>
      <c r="Q11" s="1343"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0"/>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0"/>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0"/>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2" t="s">
        <v>1691</v>
      </c>
      <c r="Q15" s="1352" t="str">
        <f t="shared" si="6"/>
        <v>产业集聚程度</v>
      </c>
      <c r="R15" s="705" t="s">
        <v>14</v>
      </c>
      <c r="S15" s="706">
        <f t="shared" si="0"/>
        <v>100</v>
      </c>
      <c r="T15" s="705" t="s">
        <v>14</v>
      </c>
      <c r="U15" s="706">
        <f t="shared" si="1"/>
        <v>100</v>
      </c>
      <c r="V15" s="705" t="s">
        <v>14</v>
      </c>
      <c r="W15" s="706">
        <f t="shared" si="2"/>
        <v>100</v>
      </c>
      <c r="X15" s="1355"/>
      <c r="Y15" s="372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3"/>
      <c r="Q16" s="1352"/>
      <c r="R16" s="705"/>
      <c r="S16" s="706"/>
      <c r="T16" s="705"/>
      <c r="U16" s="706"/>
      <c r="V16" s="705"/>
      <c r="W16" s="706"/>
      <c r="X16" s="1355"/>
      <c r="Y16" s="372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3"/>
      <c r="Q17" s="1352" t="str">
        <f>B17</f>
        <v>交通便捷度</v>
      </c>
      <c r="R17" s="705" t="s">
        <v>14</v>
      </c>
      <c r="S17" s="706">
        <f>F17</f>
        <v>100</v>
      </c>
      <c r="T17" s="705" t="s">
        <v>14</v>
      </c>
      <c r="U17" s="706">
        <f>H17</f>
        <v>100</v>
      </c>
      <c r="V17" s="705" t="s">
        <v>14</v>
      </c>
      <c r="W17" s="706">
        <f>J17</f>
        <v>100</v>
      </c>
      <c r="X17" s="1355"/>
      <c r="Y17" s="372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3"/>
      <c r="Q18" s="1352"/>
      <c r="R18" s="705"/>
      <c r="S18" s="706"/>
      <c r="T18" s="705"/>
      <c r="U18" s="706"/>
      <c r="V18" s="705"/>
      <c r="W18" s="706"/>
      <c r="X18" s="1355"/>
      <c r="Y18" s="372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3"/>
      <c r="Q19" s="1352" t="str">
        <f>B19</f>
        <v>公共配套设施</v>
      </c>
      <c r="R19" s="705" t="s">
        <v>14</v>
      </c>
      <c r="S19" s="706">
        <f>F19</f>
        <v>100</v>
      </c>
      <c r="T19" s="705" t="s">
        <v>14</v>
      </c>
      <c r="U19" s="706">
        <f>H19</f>
        <v>100</v>
      </c>
      <c r="V19" s="705" t="s">
        <v>14</v>
      </c>
      <c r="W19" s="706">
        <f>J19</f>
        <v>100</v>
      </c>
      <c r="X19" s="1355"/>
      <c r="Y19" s="372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3"/>
      <c r="Q20" s="1352"/>
      <c r="R20" s="705"/>
      <c r="S20" s="706"/>
      <c r="T20" s="705"/>
      <c r="U20" s="706"/>
      <c r="V20" s="705"/>
      <c r="W20" s="706"/>
      <c r="X20" s="1355"/>
      <c r="Y20" s="372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3"/>
      <c r="Q21" s="1352" t="str">
        <f>B21</f>
        <v>基础设施水平</v>
      </c>
      <c r="R21" s="705" t="s">
        <v>14</v>
      </c>
      <c r="S21" s="706">
        <f>F21</f>
        <v>100</v>
      </c>
      <c r="T21" s="705" t="s">
        <v>14</v>
      </c>
      <c r="U21" s="706">
        <f>H21</f>
        <v>100</v>
      </c>
      <c r="V21" s="705" t="s">
        <v>14</v>
      </c>
      <c r="W21" s="706">
        <f>J21</f>
        <v>100</v>
      </c>
      <c r="X21" s="1355"/>
      <c r="Y21" s="372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3"/>
      <c r="Q22" s="1352"/>
      <c r="R22" s="705"/>
      <c r="S22" s="706"/>
      <c r="T22" s="705"/>
      <c r="U22" s="706"/>
      <c r="V22" s="705"/>
      <c r="W22" s="706"/>
      <c r="X22" s="1355"/>
      <c r="Y22" s="372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3"/>
      <c r="Q23" s="1352" t="str">
        <f>B23</f>
        <v>环境质量</v>
      </c>
      <c r="R23" s="705" t="s">
        <v>14</v>
      </c>
      <c r="S23" s="706">
        <f>F23</f>
        <v>100</v>
      </c>
      <c r="T23" s="705" t="s">
        <v>14</v>
      </c>
      <c r="U23" s="706">
        <f>H23</f>
        <v>100</v>
      </c>
      <c r="V23" s="705" t="s">
        <v>14</v>
      </c>
      <c r="W23" s="706">
        <f>J23</f>
        <v>100</v>
      </c>
      <c r="X23" s="1355"/>
      <c r="Y23" s="372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3"/>
      <c r="Q24" s="1352"/>
      <c r="R24" s="705"/>
      <c r="S24" s="706"/>
      <c r="T24" s="705"/>
      <c r="U24" s="706"/>
      <c r="V24" s="705"/>
      <c r="W24" s="706"/>
      <c r="X24" s="1355"/>
      <c r="Y24" s="372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3"/>
      <c r="Q25" s="1352">
        <f>B25</f>
        <v>111</v>
      </c>
      <c r="R25" s="705" t="s">
        <v>14</v>
      </c>
      <c r="S25" s="706">
        <f>F25</f>
        <v>100</v>
      </c>
      <c r="T25" s="705" t="s">
        <v>14</v>
      </c>
      <c r="U25" s="706">
        <f>H25</f>
        <v>100</v>
      </c>
      <c r="V25" s="705" t="s">
        <v>14</v>
      </c>
      <c r="W25" s="706">
        <f>J25</f>
        <v>100</v>
      </c>
      <c r="X25" s="1355"/>
      <c r="Y25" s="372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3"/>
      <c r="Q26" s="1352">
        <f t="shared" ref="Q26:Q40" si="11">B26</f>
        <v>111</v>
      </c>
      <c r="R26" s="705" t="s">
        <v>14</v>
      </c>
      <c r="S26" s="706">
        <f>F26</f>
        <v>100</v>
      </c>
      <c r="T26" s="705" t="s">
        <v>14</v>
      </c>
      <c r="U26" s="706">
        <f>H26</f>
        <v>100</v>
      </c>
      <c r="V26" s="705" t="s">
        <v>14</v>
      </c>
      <c r="W26" s="706">
        <f>J26</f>
        <v>100</v>
      </c>
      <c r="X26" s="1355"/>
      <c r="Y26" s="372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3"/>
      <c r="Q27" s="1343">
        <f t="shared" si="11"/>
        <v>111</v>
      </c>
      <c r="R27" s="701" t="s">
        <v>14</v>
      </c>
      <c r="S27" s="702">
        <f>F27</f>
        <v>100</v>
      </c>
      <c r="T27" s="701" t="s">
        <v>14</v>
      </c>
      <c r="U27" s="702">
        <f>H27</f>
        <v>100</v>
      </c>
      <c r="V27" s="701" t="s">
        <v>14</v>
      </c>
      <c r="W27" s="702">
        <f>J27</f>
        <v>100</v>
      </c>
      <c r="X27" s="703"/>
      <c r="Y27" s="372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3"/>
      <c r="Q28" s="1352">
        <f t="shared" si="11"/>
        <v>111</v>
      </c>
      <c r="R28" s="705" t="s">
        <v>14</v>
      </c>
      <c r="S28" s="706">
        <f t="shared" ref="S28:S40" si="12">F28</f>
        <v>100</v>
      </c>
      <c r="T28" s="705" t="s">
        <v>14</v>
      </c>
      <c r="U28" s="706">
        <f t="shared" ref="U28:U40" si="13">H28</f>
        <v>100</v>
      </c>
      <c r="V28" s="705" t="s">
        <v>14</v>
      </c>
      <c r="W28" s="706">
        <f t="shared" ref="W28:W40" si="14">J28</f>
        <v>100</v>
      </c>
      <c r="X28" s="1355"/>
      <c r="Y28" s="372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6" t="s">
        <v>1696</v>
      </c>
      <c r="Q29" s="1352" t="str">
        <f t="shared" si="11"/>
        <v>建筑类型</v>
      </c>
      <c r="R29" s="705" t="s">
        <v>14</v>
      </c>
      <c r="S29" s="706">
        <f t="shared" si="12"/>
        <v>100</v>
      </c>
      <c r="T29" s="705" t="s">
        <v>14</v>
      </c>
      <c r="U29" s="706">
        <f t="shared" si="13"/>
        <v>100</v>
      </c>
      <c r="V29" s="705" t="s">
        <v>14</v>
      </c>
      <c r="W29" s="706">
        <f t="shared" si="14"/>
        <v>100</v>
      </c>
      <c r="X29" s="1355"/>
      <c r="Y29" s="372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7"/>
      <c r="Q30" s="707" t="str">
        <f t="shared" si="11"/>
        <v>项目建筑规模</v>
      </c>
      <c r="R30" s="708" t="s">
        <v>14</v>
      </c>
      <c r="S30" s="709" t="e">
        <f t="shared" si="12"/>
        <v>#N/A</v>
      </c>
      <c r="T30" s="708" t="s">
        <v>14</v>
      </c>
      <c r="U30" s="709" t="e">
        <f t="shared" si="13"/>
        <v>#N/A</v>
      </c>
      <c r="V30" s="708" t="s">
        <v>14</v>
      </c>
      <c r="W30" s="709" t="e">
        <f t="shared" si="14"/>
        <v>#N/A</v>
      </c>
      <c r="X30" s="710"/>
      <c r="Y30" s="372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7"/>
      <c r="Q31" s="1352" t="str">
        <f t="shared" si="11"/>
        <v>建筑结构</v>
      </c>
      <c r="R31" s="705" t="s">
        <v>14</v>
      </c>
      <c r="S31" s="706">
        <f t="shared" si="12"/>
        <v>100</v>
      </c>
      <c r="T31" s="705" t="s">
        <v>14</v>
      </c>
      <c r="U31" s="706">
        <f t="shared" si="13"/>
        <v>100</v>
      </c>
      <c r="V31" s="705" t="s">
        <v>14</v>
      </c>
      <c r="W31" s="706">
        <f t="shared" si="14"/>
        <v>100</v>
      </c>
      <c r="X31" s="1355"/>
      <c r="Y31" s="372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7"/>
      <c r="Q32" s="1352" t="str">
        <f t="shared" si="11"/>
        <v>公共部分装修</v>
      </c>
      <c r="R32" s="705" t="s">
        <v>14</v>
      </c>
      <c r="S32" s="706">
        <f t="shared" si="12"/>
        <v>100</v>
      </c>
      <c r="T32" s="705" t="s">
        <v>14</v>
      </c>
      <c r="U32" s="706">
        <f t="shared" si="13"/>
        <v>100</v>
      </c>
      <c r="V32" s="705" t="s">
        <v>14</v>
      </c>
      <c r="W32" s="706">
        <f t="shared" si="14"/>
        <v>100</v>
      </c>
      <c r="X32" s="1355"/>
      <c r="Y32" s="372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7"/>
      <c r="Q33" s="1352" t="str">
        <f t="shared" si="11"/>
        <v>成新度</v>
      </c>
      <c r="R33" s="705" t="s">
        <v>14</v>
      </c>
      <c r="S33" s="706" t="e">
        <f t="shared" si="12"/>
        <v>#N/A</v>
      </c>
      <c r="T33" s="705" t="s">
        <v>14</v>
      </c>
      <c r="U33" s="706" t="e">
        <f t="shared" si="13"/>
        <v>#N/A</v>
      </c>
      <c r="V33" s="705" t="s">
        <v>14</v>
      </c>
      <c r="W33" s="706" t="e">
        <f t="shared" si="14"/>
        <v>#N/A</v>
      </c>
      <c r="X33" s="1355"/>
      <c r="Y33" s="372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7"/>
      <c r="Q34" s="1343" t="str">
        <f t="shared" si="11"/>
        <v>物业管理</v>
      </c>
      <c r="R34" s="701" t="s">
        <v>14</v>
      </c>
      <c r="S34" s="702">
        <f t="shared" si="12"/>
        <v>100</v>
      </c>
      <c r="T34" s="701" t="s">
        <v>14</v>
      </c>
      <c r="U34" s="702">
        <f t="shared" si="13"/>
        <v>100</v>
      </c>
      <c r="V34" s="701" t="s">
        <v>14</v>
      </c>
      <c r="W34" s="702">
        <f t="shared" si="14"/>
        <v>100</v>
      </c>
      <c r="X34" s="703"/>
      <c r="Y34" s="372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7" t="s">
        <v>1696</v>
      </c>
      <c r="Q35" s="1352" t="str">
        <f t="shared" si="11"/>
        <v>市政基础设施</v>
      </c>
      <c r="R35" s="705" t="s">
        <v>14</v>
      </c>
      <c r="S35" s="706">
        <f t="shared" si="12"/>
        <v>100</v>
      </c>
      <c r="T35" s="705" t="s">
        <v>14</v>
      </c>
      <c r="U35" s="706">
        <f t="shared" si="13"/>
        <v>100</v>
      </c>
      <c r="V35" s="705" t="s">
        <v>14</v>
      </c>
      <c r="W35" s="706">
        <f t="shared" si="14"/>
        <v>100</v>
      </c>
      <c r="X35" s="1355"/>
      <c r="Y35" s="372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7"/>
      <c r="Q36" s="1352" t="str">
        <f t="shared" si="11"/>
        <v>内部装修</v>
      </c>
      <c r="R36" s="705" t="s">
        <v>14</v>
      </c>
      <c r="S36" s="706">
        <f t="shared" si="12"/>
        <v>100</v>
      </c>
      <c r="T36" s="705" t="s">
        <v>14</v>
      </c>
      <c r="U36" s="706">
        <f t="shared" si="13"/>
        <v>100</v>
      </c>
      <c r="V36" s="705" t="s">
        <v>14</v>
      </c>
      <c r="W36" s="706">
        <f t="shared" si="14"/>
        <v>100</v>
      </c>
      <c r="X36" s="1355"/>
      <c r="Y36" s="372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7"/>
      <c r="Q37" s="1352" t="str">
        <f t="shared" si="11"/>
        <v>内部装修状况</v>
      </c>
      <c r="R37" s="705" t="s">
        <v>14</v>
      </c>
      <c r="S37" s="706">
        <f t="shared" si="12"/>
        <v>100</v>
      </c>
      <c r="T37" s="705" t="s">
        <v>14</v>
      </c>
      <c r="U37" s="706">
        <f t="shared" si="13"/>
        <v>100</v>
      </c>
      <c r="V37" s="705" t="s">
        <v>14</v>
      </c>
      <c r="W37" s="706">
        <f t="shared" si="14"/>
        <v>100</v>
      </c>
      <c r="X37" s="1355"/>
      <c r="Y37" s="372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7"/>
      <c r="Q38" s="707">
        <f t="shared" si="11"/>
        <v>111</v>
      </c>
      <c r="R38" s="708" t="s">
        <v>14</v>
      </c>
      <c r="S38" s="709">
        <f t="shared" si="12"/>
        <v>100</v>
      </c>
      <c r="T38" s="708" t="s">
        <v>14</v>
      </c>
      <c r="U38" s="709">
        <f t="shared" si="13"/>
        <v>100</v>
      </c>
      <c r="V38" s="708" t="s">
        <v>14</v>
      </c>
      <c r="W38" s="709">
        <f t="shared" si="14"/>
        <v>100</v>
      </c>
      <c r="X38" s="710"/>
      <c r="Y38" s="372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7"/>
      <c r="Q39" s="1352">
        <f t="shared" si="11"/>
        <v>111</v>
      </c>
      <c r="R39" s="705" t="s">
        <v>14</v>
      </c>
      <c r="S39" s="706">
        <f t="shared" si="12"/>
        <v>100</v>
      </c>
      <c r="T39" s="705" t="s">
        <v>14</v>
      </c>
      <c r="U39" s="706">
        <f t="shared" si="13"/>
        <v>100</v>
      </c>
      <c r="V39" s="705" t="s">
        <v>14</v>
      </c>
      <c r="W39" s="706">
        <f t="shared" si="14"/>
        <v>100</v>
      </c>
      <c r="X39" s="1355"/>
      <c r="Y39" s="372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8"/>
      <c r="Q40" s="1352">
        <f t="shared" si="11"/>
        <v>111</v>
      </c>
      <c r="R40" s="705" t="s">
        <v>14</v>
      </c>
      <c r="S40" s="706">
        <f t="shared" si="12"/>
        <v>100</v>
      </c>
      <c r="T40" s="705" t="s">
        <v>14</v>
      </c>
      <c r="U40" s="706">
        <f t="shared" si="13"/>
        <v>100</v>
      </c>
      <c r="V40" s="705" t="s">
        <v>14</v>
      </c>
      <c r="W40" s="706">
        <f t="shared" si="14"/>
        <v>100</v>
      </c>
      <c r="X40" s="1355"/>
      <c r="Y40" s="372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0" t="str">
        <f>A41</f>
        <v>成交单价（元/平方米）</v>
      </c>
      <c r="Q41" s="3720"/>
      <c r="R41" s="3721">
        <f>E41</f>
        <v>0</v>
      </c>
      <c r="S41" s="3721"/>
      <c r="T41" s="3721">
        <f>G41</f>
        <v>0</v>
      </c>
      <c r="U41" s="3721"/>
      <c r="V41" s="3721">
        <f>I41</f>
        <v>0</v>
      </c>
      <c r="W41" s="372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0" t="str">
        <f>A42</f>
        <v>比较价值（元/平方米）</v>
      </c>
      <c r="Q42" s="3720"/>
      <c r="R42" s="3721" t="e">
        <f>IF(F1="售价",ROUND(PRODUCT(R41,AA7:AA40),0),ROUND(PRODUCT(R41,AA7:AA40),1))</f>
        <v>#DIV/0!</v>
      </c>
      <c r="S42" s="3721"/>
      <c r="T42" s="3721" t="e">
        <f>IF(F1="售价",ROUND(PRODUCT(T41,AB7:AB40),0),ROUND(PRODUCT(T41,AB7:AB40),1))</f>
        <v>#DIV/0!</v>
      </c>
      <c r="U42" s="3721"/>
      <c r="V42" s="3721" t="e">
        <f>IF(F1="售价",ROUND(PRODUCT(V41,AC7:AC40),0),ROUND(PRODUCT(V41,AC7:AC40),1))</f>
        <v>#DIV/0!</v>
      </c>
      <c r="W42" s="372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7" t="str">
        <f>A43</f>
        <v>估价对象XX用房的比较价值（楼面单价，元/平方米）</v>
      </c>
      <c r="Q43" s="3718"/>
      <c r="R43" s="3719" t="e">
        <f>IF(F1="售价",ROUND(IF(D42="简单平均",AVERAGE(R42:V42),R42*F42+T42*H42+V42*J42),0),ROUND(IF(D42="简单平均",AVERAGE(R42:V42),R42*F42+T42*H42+V42*J42),1))</f>
        <v>#DIV/0!</v>
      </c>
      <c r="S43" s="3719"/>
      <c r="T43" s="3719"/>
      <c r="U43" s="3719"/>
      <c r="V43" s="3719"/>
      <c r="W43" s="371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2715"/>
      <c r="M4" s="2716"/>
      <c r="N4" s="2716"/>
      <c r="O4" s="2716"/>
      <c r="P4" s="3707" t="s">
        <v>1775</v>
      </c>
      <c r="Q4" s="3708"/>
      <c r="R4" s="3690" t="s">
        <v>1771</v>
      </c>
      <c r="S4" s="3691"/>
      <c r="T4" s="3690" t="s">
        <v>1772</v>
      </c>
      <c r="U4" s="3691"/>
      <c r="V4" s="3715" t="s">
        <v>1773</v>
      </c>
      <c r="W4" s="3715"/>
      <c r="X4" s="1355"/>
      <c r="Y4" s="3690" t="s">
        <v>1775</v>
      </c>
      <c r="Z4" s="3691"/>
      <c r="AA4" s="3685" t="s">
        <v>1771</v>
      </c>
      <c r="AB4" s="3686" t="s">
        <v>1772</v>
      </c>
      <c r="AC4" s="3685" t="s">
        <v>1773</v>
      </c>
    </row>
    <row r="5" spans="1:29" ht="15">
      <c r="A5" s="358"/>
      <c r="B5" s="359"/>
      <c r="C5" s="3696" t="s">
        <v>1673</v>
      </c>
      <c r="D5" s="3697"/>
      <c r="E5" s="3694" t="s">
        <v>1674</v>
      </c>
      <c r="F5" s="3695"/>
      <c r="G5" s="3696" t="s">
        <v>1675</v>
      </c>
      <c r="H5" s="3697"/>
      <c r="I5" s="3696" t="s">
        <v>1676</v>
      </c>
      <c r="J5" s="3697"/>
      <c r="K5" s="559"/>
      <c r="L5" s="2715"/>
      <c r="M5" s="2716"/>
      <c r="N5" s="2716"/>
      <c r="O5" s="2716"/>
      <c r="P5" s="3709"/>
      <c r="Q5" s="3710"/>
      <c r="R5" s="3692"/>
      <c r="S5" s="3693"/>
      <c r="T5" s="3692"/>
      <c r="U5" s="3693"/>
      <c r="V5" s="3715"/>
      <c r="W5" s="3715"/>
      <c r="X5" s="1355"/>
      <c r="Y5" s="3692"/>
      <c r="Z5" s="3693"/>
      <c r="AA5" s="3686"/>
      <c r="AB5" s="3686"/>
      <c r="AC5" s="3686"/>
    </row>
    <row r="6" spans="1:29" ht="15.75" thickBot="1">
      <c r="A6" s="360"/>
      <c r="B6" s="361"/>
      <c r="C6" s="3698" t="s">
        <v>1677</v>
      </c>
      <c r="D6" s="3699"/>
      <c r="E6" s="3700" t="s">
        <v>1677</v>
      </c>
      <c r="F6" s="3701"/>
      <c r="G6" s="3698" t="s">
        <v>1677</v>
      </c>
      <c r="H6" s="3699"/>
      <c r="I6" s="3698" t="s">
        <v>1677</v>
      </c>
      <c r="J6" s="3699"/>
      <c r="K6" s="559" t="s">
        <v>1678</v>
      </c>
      <c r="L6" s="2715"/>
      <c r="M6" s="2716"/>
      <c r="N6" s="2716"/>
      <c r="O6" s="2716"/>
      <c r="P6" s="3711"/>
      <c r="Q6" s="3712"/>
      <c r="R6" s="3692"/>
      <c r="S6" s="3693"/>
      <c r="T6" s="3713"/>
      <c r="U6" s="3714"/>
      <c r="V6" s="3715"/>
      <c r="W6" s="3715"/>
      <c r="X6" s="1355"/>
      <c r="Y6" s="3713"/>
      <c r="Z6" s="3714"/>
      <c r="AA6" s="3687"/>
      <c r="AB6" s="3687"/>
      <c r="AC6" s="3687"/>
    </row>
    <row r="7" spans="1:29" s="108" customFormat="1" ht="15.75" thickBot="1">
      <c r="A7" s="362" t="s">
        <v>1679</v>
      </c>
      <c r="B7" s="363"/>
      <c r="C7" s="364">
        <f>'数据-取费表'!B2</f>
        <v>45013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8" t="s">
        <v>1680</v>
      </c>
      <c r="Q7" s="3716"/>
      <c r="R7" s="701" t="s">
        <v>14</v>
      </c>
      <c r="S7" s="702">
        <f t="shared" ref="S7:S14" si="0">F7</f>
        <v>0</v>
      </c>
      <c r="T7" s="701" t="s">
        <v>14</v>
      </c>
      <c r="U7" s="702">
        <f t="shared" ref="U7:U14" si="1">H7</f>
        <v>0</v>
      </c>
      <c r="V7" s="701" t="s">
        <v>14</v>
      </c>
      <c r="W7" s="702">
        <f t="shared" ref="W7:W14"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8" t="s">
        <v>1683</v>
      </c>
      <c r="Q8" s="3689"/>
      <c r="R8" s="701" t="s">
        <v>14</v>
      </c>
      <c r="S8" s="702">
        <f t="shared" si="0"/>
        <v>100</v>
      </c>
      <c r="T8" s="701" t="s">
        <v>14</v>
      </c>
      <c r="U8" s="702">
        <f t="shared" si="1"/>
        <v>100</v>
      </c>
      <c r="V8" s="701" t="s">
        <v>14</v>
      </c>
      <c r="W8" s="702">
        <f t="shared" si="2"/>
        <v>100</v>
      </c>
      <c r="X8" s="703"/>
      <c r="Y8" s="3688" t="s">
        <v>1683</v>
      </c>
      <c r="Z8" s="368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0" t="s">
        <v>1686</v>
      </c>
      <c r="Q9" s="1343" t="str">
        <f t="shared" ref="Q9:Q14" si="6">B9</f>
        <v>用途</v>
      </c>
      <c r="R9" s="701" t="s">
        <v>14</v>
      </c>
      <c r="S9" s="702">
        <f t="shared" si="0"/>
        <v>100</v>
      </c>
      <c r="T9" s="701" t="s">
        <v>14</v>
      </c>
      <c r="U9" s="702">
        <f t="shared" si="1"/>
        <v>100</v>
      </c>
      <c r="V9" s="701" t="s">
        <v>14</v>
      </c>
      <c r="W9" s="702">
        <f t="shared" si="2"/>
        <v>100</v>
      </c>
      <c r="X9" s="703"/>
      <c r="Y9" s="361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0"/>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0"/>
      <c r="Q11" s="1343">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0"/>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0"/>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2" t="s">
        <v>1691</v>
      </c>
      <c r="Q14" s="1352" t="str">
        <f t="shared" si="6"/>
        <v>交通便捷度</v>
      </c>
      <c r="R14" s="705" t="s">
        <v>14</v>
      </c>
      <c r="S14" s="706">
        <f t="shared" si="0"/>
        <v>100</v>
      </c>
      <c r="T14" s="705" t="s">
        <v>14</v>
      </c>
      <c r="U14" s="706">
        <f t="shared" si="1"/>
        <v>100</v>
      </c>
      <c r="V14" s="705" t="s">
        <v>14</v>
      </c>
      <c r="W14" s="706">
        <f t="shared" si="2"/>
        <v>100</v>
      </c>
      <c r="X14" s="1355"/>
      <c r="Y14" s="372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3"/>
      <c r="Q15" s="1352"/>
      <c r="R15" s="705"/>
      <c r="S15" s="706"/>
      <c r="T15" s="705"/>
      <c r="U15" s="706"/>
      <c r="V15" s="705"/>
      <c r="W15" s="706"/>
      <c r="X15" s="1355"/>
      <c r="Y15" s="372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3"/>
      <c r="Q16" s="1352" t="str">
        <f>B16</f>
        <v>公共配套设施</v>
      </c>
      <c r="R16" s="705" t="s">
        <v>14</v>
      </c>
      <c r="S16" s="706">
        <f>F16</f>
        <v>100</v>
      </c>
      <c r="T16" s="705" t="s">
        <v>14</v>
      </c>
      <c r="U16" s="706">
        <f>H16</f>
        <v>100</v>
      </c>
      <c r="V16" s="705" t="s">
        <v>14</v>
      </c>
      <c r="W16" s="706">
        <f>J16</f>
        <v>100</v>
      </c>
      <c r="X16" s="1355"/>
      <c r="Y16" s="372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3"/>
      <c r="Q17" s="1352"/>
      <c r="R17" s="705"/>
      <c r="S17" s="706"/>
      <c r="T17" s="705"/>
      <c r="U17" s="706"/>
      <c r="V17" s="705"/>
      <c r="W17" s="706"/>
      <c r="X17" s="1355"/>
      <c r="Y17" s="372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3"/>
      <c r="Q18" s="1352" t="str">
        <f>B18</f>
        <v>基础设施水平</v>
      </c>
      <c r="R18" s="705" t="s">
        <v>14</v>
      </c>
      <c r="S18" s="706">
        <f>F18</f>
        <v>100</v>
      </c>
      <c r="T18" s="705" t="s">
        <v>14</v>
      </c>
      <c r="U18" s="706">
        <f>H18</f>
        <v>100</v>
      </c>
      <c r="V18" s="705" t="s">
        <v>14</v>
      </c>
      <c r="W18" s="706">
        <f>J18</f>
        <v>100</v>
      </c>
      <c r="X18" s="1355"/>
      <c r="Y18" s="372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3"/>
      <c r="Q19" s="1352"/>
      <c r="R19" s="705"/>
      <c r="S19" s="706"/>
      <c r="T19" s="705"/>
      <c r="U19" s="706"/>
      <c r="V19" s="705"/>
      <c r="W19" s="706"/>
      <c r="X19" s="1355"/>
      <c r="Y19" s="372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3"/>
      <c r="Q20" s="1352" t="str">
        <f>B20</f>
        <v>自然及人文环境</v>
      </c>
      <c r="R20" s="705" t="s">
        <v>14</v>
      </c>
      <c r="S20" s="706">
        <f>F20</f>
        <v>100</v>
      </c>
      <c r="T20" s="705" t="s">
        <v>14</v>
      </c>
      <c r="U20" s="706">
        <f>H20</f>
        <v>100</v>
      </c>
      <c r="V20" s="705" t="s">
        <v>14</v>
      </c>
      <c r="W20" s="706">
        <f>J20</f>
        <v>100</v>
      </c>
      <c r="X20" s="1355"/>
      <c r="Y20" s="372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3"/>
      <c r="Q21" s="1352"/>
      <c r="R21" s="705"/>
      <c r="S21" s="706"/>
      <c r="T21" s="705"/>
      <c r="U21" s="706"/>
      <c r="V21" s="705"/>
      <c r="W21" s="706"/>
      <c r="X21" s="1355"/>
      <c r="Y21" s="372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3"/>
      <c r="Q22" s="1352" t="str">
        <f>B22</f>
        <v>楼层</v>
      </c>
      <c r="R22" s="705" t="s">
        <v>14</v>
      </c>
      <c r="S22" s="706">
        <f>F22</f>
        <v>100</v>
      </c>
      <c r="T22" s="705" t="s">
        <v>14</v>
      </c>
      <c r="U22" s="706">
        <f>H22</f>
        <v>100</v>
      </c>
      <c r="V22" s="705" t="s">
        <v>14</v>
      </c>
      <c r="W22" s="706">
        <f>J22</f>
        <v>100</v>
      </c>
      <c r="X22" s="1355"/>
      <c r="Y22" s="372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3"/>
      <c r="Q23" s="1352">
        <f>B23</f>
        <v>111</v>
      </c>
      <c r="R23" s="705" t="s">
        <v>14</v>
      </c>
      <c r="S23" s="706">
        <f>F23</f>
        <v>100</v>
      </c>
      <c r="T23" s="705" t="s">
        <v>14</v>
      </c>
      <c r="U23" s="706">
        <f>H23</f>
        <v>100</v>
      </c>
      <c r="V23" s="705" t="s">
        <v>14</v>
      </c>
      <c r="W23" s="706">
        <f>J23</f>
        <v>100</v>
      </c>
      <c r="X23" s="1355"/>
      <c r="Y23" s="372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3"/>
      <c r="Q24" s="1352">
        <f t="shared" ref="Q24:Q36" si="11">B24</f>
        <v>111</v>
      </c>
      <c r="R24" s="705" t="s">
        <v>14</v>
      </c>
      <c r="S24" s="706">
        <f>F24</f>
        <v>100</v>
      </c>
      <c r="T24" s="705" t="s">
        <v>14</v>
      </c>
      <c r="U24" s="706">
        <f>H24</f>
        <v>100</v>
      </c>
      <c r="V24" s="705" t="s">
        <v>14</v>
      </c>
      <c r="W24" s="706">
        <f>J24</f>
        <v>100</v>
      </c>
      <c r="X24" s="1355"/>
      <c r="Y24" s="372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3"/>
      <c r="Q25" s="1343">
        <f t="shared" si="11"/>
        <v>111</v>
      </c>
      <c r="R25" s="701" t="s">
        <v>14</v>
      </c>
      <c r="S25" s="702">
        <f>F25</f>
        <v>100</v>
      </c>
      <c r="T25" s="701" t="s">
        <v>14</v>
      </c>
      <c r="U25" s="702">
        <f>H25</f>
        <v>100</v>
      </c>
      <c r="V25" s="701" t="s">
        <v>14</v>
      </c>
      <c r="W25" s="702">
        <f>J25</f>
        <v>100</v>
      </c>
      <c r="X25" s="703"/>
      <c r="Y25" s="372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7"/>
      <c r="Q27" s="707" t="str">
        <f t="shared" si="11"/>
        <v>项目停车位配比</v>
      </c>
      <c r="R27" s="708" t="s">
        <v>14</v>
      </c>
      <c r="S27" s="709">
        <f t="shared" si="12"/>
        <v>100</v>
      </c>
      <c r="T27" s="708" t="s">
        <v>14</v>
      </c>
      <c r="U27" s="709">
        <f t="shared" si="13"/>
        <v>100</v>
      </c>
      <c r="V27" s="708" t="s">
        <v>14</v>
      </c>
      <c r="W27" s="709">
        <f t="shared" si="14"/>
        <v>100</v>
      </c>
      <c r="X27" s="710"/>
      <c r="Y27" s="372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7"/>
      <c r="Q28" s="1352" t="str">
        <f t="shared" si="11"/>
        <v>公共部分装修</v>
      </c>
      <c r="R28" s="705" t="s">
        <v>14</v>
      </c>
      <c r="S28" s="706">
        <f t="shared" si="12"/>
        <v>100</v>
      </c>
      <c r="T28" s="705" t="s">
        <v>14</v>
      </c>
      <c r="U28" s="706">
        <f t="shared" si="13"/>
        <v>100</v>
      </c>
      <c r="V28" s="705" t="s">
        <v>14</v>
      </c>
      <c r="W28" s="706">
        <f t="shared" si="14"/>
        <v>100</v>
      </c>
      <c r="X28" s="1355"/>
      <c r="Y28" s="372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7"/>
      <c r="Q29" s="1352" t="str">
        <f t="shared" si="11"/>
        <v>成新率</v>
      </c>
      <c r="R29" s="705" t="s">
        <v>14</v>
      </c>
      <c r="S29" s="706" t="e">
        <f t="shared" si="12"/>
        <v>#N/A</v>
      </c>
      <c r="T29" s="705" t="s">
        <v>14</v>
      </c>
      <c r="U29" s="706" t="e">
        <f t="shared" si="13"/>
        <v>#N/A</v>
      </c>
      <c r="V29" s="705" t="s">
        <v>14</v>
      </c>
      <c r="W29" s="706" t="e">
        <f t="shared" si="14"/>
        <v>#N/A</v>
      </c>
      <c r="X29" s="1355"/>
      <c r="Y29" s="372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7"/>
      <c r="Q30" s="1352" t="str">
        <f t="shared" si="11"/>
        <v>物业等级</v>
      </c>
      <c r="R30" s="705" t="s">
        <v>14</v>
      </c>
      <c r="S30" s="706">
        <f t="shared" si="12"/>
        <v>100</v>
      </c>
      <c r="T30" s="705" t="s">
        <v>14</v>
      </c>
      <c r="U30" s="706">
        <f t="shared" si="13"/>
        <v>100</v>
      </c>
      <c r="V30" s="705" t="s">
        <v>14</v>
      </c>
      <c r="W30" s="706">
        <f t="shared" si="14"/>
        <v>100</v>
      </c>
      <c r="X30" s="1355"/>
      <c r="Y30" s="372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7"/>
      <c r="Q31" s="1343" t="str">
        <f t="shared" si="11"/>
        <v>停车位面积</v>
      </c>
      <c r="R31" s="701" t="s">
        <v>14</v>
      </c>
      <c r="S31" s="702" t="e">
        <f t="shared" si="12"/>
        <v>#N/A</v>
      </c>
      <c r="T31" s="701" t="s">
        <v>14</v>
      </c>
      <c r="U31" s="702" t="e">
        <f t="shared" si="13"/>
        <v>#N/A</v>
      </c>
      <c r="V31" s="701" t="s">
        <v>14</v>
      </c>
      <c r="W31" s="702" t="e">
        <f t="shared" si="14"/>
        <v>#N/A</v>
      </c>
      <c r="X31" s="703"/>
      <c r="Y31" s="372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7" t="s">
        <v>1696</v>
      </c>
      <c r="Q32" s="1352" t="str">
        <f t="shared" si="11"/>
        <v>车位类型</v>
      </c>
      <c r="R32" s="705" t="s">
        <v>14</v>
      </c>
      <c r="S32" s="706">
        <f t="shared" si="12"/>
        <v>100</v>
      </c>
      <c r="T32" s="705" t="s">
        <v>14</v>
      </c>
      <c r="U32" s="706">
        <f t="shared" si="13"/>
        <v>100</v>
      </c>
      <c r="V32" s="705" t="s">
        <v>14</v>
      </c>
      <c r="W32" s="706">
        <f t="shared" si="14"/>
        <v>100</v>
      </c>
      <c r="X32" s="1355"/>
      <c r="Y32" s="372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7"/>
      <c r="Q33" s="1352" t="str">
        <f t="shared" si="11"/>
        <v>是否直接入户</v>
      </c>
      <c r="R33" s="705" t="s">
        <v>14</v>
      </c>
      <c r="S33" s="706">
        <f t="shared" si="12"/>
        <v>100</v>
      </c>
      <c r="T33" s="705" t="s">
        <v>14</v>
      </c>
      <c r="U33" s="706">
        <f t="shared" si="13"/>
        <v>100</v>
      </c>
      <c r="V33" s="705" t="s">
        <v>14</v>
      </c>
      <c r="W33" s="706">
        <f t="shared" si="14"/>
        <v>100</v>
      </c>
      <c r="X33" s="1355"/>
      <c r="Y33" s="372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7"/>
      <c r="Q34" s="1352">
        <f t="shared" si="11"/>
        <v>111</v>
      </c>
      <c r="R34" s="705" t="s">
        <v>14</v>
      </c>
      <c r="S34" s="706">
        <f t="shared" si="12"/>
        <v>100</v>
      </c>
      <c r="T34" s="705" t="s">
        <v>14</v>
      </c>
      <c r="U34" s="706">
        <f t="shared" si="13"/>
        <v>100</v>
      </c>
      <c r="V34" s="705" t="s">
        <v>14</v>
      </c>
      <c r="W34" s="706">
        <f t="shared" si="14"/>
        <v>100</v>
      </c>
      <c r="X34" s="1355"/>
      <c r="Y34" s="372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7"/>
      <c r="Q35" s="707">
        <f t="shared" si="11"/>
        <v>111</v>
      </c>
      <c r="R35" s="708" t="s">
        <v>14</v>
      </c>
      <c r="S35" s="709">
        <f t="shared" si="12"/>
        <v>100</v>
      </c>
      <c r="T35" s="708" t="s">
        <v>14</v>
      </c>
      <c r="U35" s="709">
        <f t="shared" si="13"/>
        <v>100</v>
      </c>
      <c r="V35" s="708" t="s">
        <v>14</v>
      </c>
      <c r="W35" s="709">
        <f t="shared" si="14"/>
        <v>100</v>
      </c>
      <c r="X35" s="710"/>
      <c r="Y35" s="372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7"/>
      <c r="Q36" s="1352">
        <f t="shared" si="11"/>
        <v>111</v>
      </c>
      <c r="R36" s="705" t="s">
        <v>14</v>
      </c>
      <c r="S36" s="706">
        <f t="shared" si="12"/>
        <v>100</v>
      </c>
      <c r="T36" s="705" t="s">
        <v>14</v>
      </c>
      <c r="U36" s="706">
        <f t="shared" si="13"/>
        <v>100</v>
      </c>
      <c r="V36" s="705" t="s">
        <v>14</v>
      </c>
      <c r="W36" s="706">
        <f t="shared" si="14"/>
        <v>100</v>
      </c>
      <c r="X36" s="1355"/>
      <c r="Y36" s="3727"/>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720" t="str">
        <f>A37</f>
        <v>成交单价</v>
      </c>
      <c r="Q37" s="3720"/>
      <c r="R37" s="3721">
        <f>E37</f>
        <v>0</v>
      </c>
      <c r="S37" s="3721"/>
      <c r="T37" s="3721">
        <f>G37</f>
        <v>0</v>
      </c>
      <c r="U37" s="3721"/>
      <c r="V37" s="3721">
        <f>I37</f>
        <v>0</v>
      </c>
      <c r="W37" s="372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0" t="str">
        <f>A38</f>
        <v>比较价值（元/平方米）</v>
      </c>
      <c r="Q38" s="3720"/>
      <c r="R38" s="3721" t="e">
        <f>IF(F1="售价",ROUND(PRODUCT(R37,AA7:AA36),0),ROUND(PRODUCT(R37,AA7:AA36),1))</f>
        <v>#DIV/0!</v>
      </c>
      <c r="S38" s="3721"/>
      <c r="T38" s="3721" t="e">
        <f>IF(F1="售价",ROUND(PRODUCT(T37,AB7:AB36),0),ROUND(PRODUCT(T37,AB7:AB36),1))</f>
        <v>#DIV/0!</v>
      </c>
      <c r="U38" s="3721"/>
      <c r="V38" s="3721" t="e">
        <f>IF(F1="售价",ROUND(PRODUCT(V37,AC7:AC36),0),ROUND(PRODUCT(V37,AC7:AC36),1))</f>
        <v>#DIV/0!</v>
      </c>
      <c r="W38" s="372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7" t="str">
        <f>A39</f>
        <v>估价对象XX用房的比较价值（楼面单价，元/平方米）</v>
      </c>
      <c r="Q39" s="3718"/>
      <c r="R39" s="3747" t="e">
        <f>IF(F1="售价",ROUND(IF(D38="简单平均",AVERAGE(R38:W38),R38*F38+T38*H38+V38*J38),0),ROUND(IF(D38="简单平均",AVERAGE(R38:V38),R38*F38+T38*H38+V38*J38),1))</f>
        <v>#DIV/0!</v>
      </c>
      <c r="S39" s="3747"/>
      <c r="T39" s="3747"/>
      <c r="U39" s="3747"/>
      <c r="V39" s="3747"/>
      <c r="W39" s="374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2715"/>
      <c r="M4" s="2716"/>
      <c r="N4" s="2716"/>
      <c r="O4" s="2716"/>
      <c r="P4" s="3707" t="s">
        <v>1775</v>
      </c>
      <c r="Q4" s="3708"/>
      <c r="R4" s="3690" t="s">
        <v>1771</v>
      </c>
      <c r="S4" s="3691"/>
      <c r="T4" s="3690" t="s">
        <v>1772</v>
      </c>
      <c r="U4" s="3691"/>
      <c r="V4" s="3715" t="s">
        <v>1773</v>
      </c>
      <c r="W4" s="3715"/>
      <c r="X4" s="1355"/>
      <c r="Y4" s="3690" t="s">
        <v>1775</v>
      </c>
      <c r="Z4" s="3691"/>
      <c r="AA4" s="3685" t="s">
        <v>1771</v>
      </c>
      <c r="AB4" s="3686" t="s">
        <v>1772</v>
      </c>
      <c r="AC4" s="3685" t="s">
        <v>1773</v>
      </c>
    </row>
    <row r="5" spans="1:29" ht="15">
      <c r="A5" s="358"/>
      <c r="B5" s="359"/>
      <c r="C5" s="3696" t="s">
        <v>1673</v>
      </c>
      <c r="D5" s="3697"/>
      <c r="E5" s="3694" t="s">
        <v>1674</v>
      </c>
      <c r="F5" s="3695"/>
      <c r="G5" s="3696" t="s">
        <v>1675</v>
      </c>
      <c r="H5" s="3697"/>
      <c r="I5" s="3696" t="s">
        <v>1676</v>
      </c>
      <c r="J5" s="3697"/>
      <c r="K5" s="559"/>
      <c r="L5" s="2715"/>
      <c r="M5" s="2716"/>
      <c r="N5" s="2716"/>
      <c r="O5" s="2716"/>
      <c r="P5" s="3709"/>
      <c r="Q5" s="3710"/>
      <c r="R5" s="3692"/>
      <c r="S5" s="3693"/>
      <c r="T5" s="3692"/>
      <c r="U5" s="3693"/>
      <c r="V5" s="3715"/>
      <c r="W5" s="3715"/>
      <c r="X5" s="1355"/>
      <c r="Y5" s="3692"/>
      <c r="Z5" s="3693"/>
      <c r="AA5" s="3686"/>
      <c r="AB5" s="3686"/>
      <c r="AC5" s="3686"/>
    </row>
    <row r="6" spans="1:29" ht="15.75" thickBot="1">
      <c r="A6" s="360"/>
      <c r="B6" s="361"/>
      <c r="C6" s="3698" t="s">
        <v>1677</v>
      </c>
      <c r="D6" s="3699"/>
      <c r="E6" s="3700" t="s">
        <v>1677</v>
      </c>
      <c r="F6" s="3701"/>
      <c r="G6" s="3698" t="s">
        <v>1677</v>
      </c>
      <c r="H6" s="3699"/>
      <c r="I6" s="3698" t="s">
        <v>1677</v>
      </c>
      <c r="J6" s="3699"/>
      <c r="K6" s="559" t="s">
        <v>1678</v>
      </c>
      <c r="L6" s="2715"/>
      <c r="M6" s="2716"/>
      <c r="N6" s="2716"/>
      <c r="O6" s="2716"/>
      <c r="P6" s="3711"/>
      <c r="Q6" s="3712"/>
      <c r="R6" s="3692"/>
      <c r="S6" s="3693"/>
      <c r="T6" s="3713"/>
      <c r="U6" s="3714"/>
      <c r="V6" s="3715"/>
      <c r="W6" s="3715"/>
      <c r="X6" s="1355"/>
      <c r="Y6" s="3713"/>
      <c r="Z6" s="3714"/>
      <c r="AA6" s="3687"/>
      <c r="AB6" s="3687"/>
      <c r="AC6" s="3687"/>
    </row>
    <row r="7" spans="1:29" s="108" customFormat="1" ht="15.75" thickBot="1">
      <c r="A7" s="362" t="s">
        <v>1679</v>
      </c>
      <c r="B7" s="363"/>
      <c r="C7" s="364">
        <f>'数据-取费表'!B2</f>
        <v>45013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8" t="s">
        <v>1680</v>
      </c>
      <c r="Q7" s="3716"/>
      <c r="R7" s="701" t="s">
        <v>14</v>
      </c>
      <c r="S7" s="702">
        <f t="shared" ref="S7:S14" si="0">F7</f>
        <v>0</v>
      </c>
      <c r="T7" s="701" t="s">
        <v>14</v>
      </c>
      <c r="U7" s="702">
        <f t="shared" ref="U7:U14" si="1">H7</f>
        <v>0</v>
      </c>
      <c r="V7" s="701" t="s">
        <v>14</v>
      </c>
      <c r="W7" s="702">
        <f t="shared" ref="W7:W14"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8" t="s">
        <v>1683</v>
      </c>
      <c r="Q8" s="3689"/>
      <c r="R8" s="701" t="s">
        <v>14</v>
      </c>
      <c r="S8" s="702">
        <f t="shared" si="0"/>
        <v>100</v>
      </c>
      <c r="T8" s="701" t="s">
        <v>14</v>
      </c>
      <c r="U8" s="702">
        <f t="shared" si="1"/>
        <v>100</v>
      </c>
      <c r="V8" s="701" t="s">
        <v>14</v>
      </c>
      <c r="W8" s="702">
        <f t="shared" si="2"/>
        <v>100</v>
      </c>
      <c r="X8" s="703"/>
      <c r="Y8" s="3688" t="s">
        <v>1683</v>
      </c>
      <c r="Z8" s="368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0" t="s">
        <v>1686</v>
      </c>
      <c r="Q9" s="1343" t="str">
        <f t="shared" ref="Q9:Q14" si="6">B9</f>
        <v>用途</v>
      </c>
      <c r="R9" s="701" t="s">
        <v>14</v>
      </c>
      <c r="S9" s="702">
        <f t="shared" si="0"/>
        <v>100</v>
      </c>
      <c r="T9" s="701" t="s">
        <v>14</v>
      </c>
      <c r="U9" s="702">
        <f t="shared" si="1"/>
        <v>100</v>
      </c>
      <c r="V9" s="701" t="s">
        <v>14</v>
      </c>
      <c r="W9" s="702">
        <f t="shared" si="2"/>
        <v>100</v>
      </c>
      <c r="X9" s="703"/>
      <c r="Y9" s="361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0"/>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0"/>
      <c r="Q11" s="1343">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0"/>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0"/>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2" t="s">
        <v>1691</v>
      </c>
      <c r="Q14" s="1352" t="str">
        <f t="shared" si="6"/>
        <v>交通便捷度</v>
      </c>
      <c r="R14" s="705" t="s">
        <v>14</v>
      </c>
      <c r="S14" s="706">
        <f t="shared" si="0"/>
        <v>100</v>
      </c>
      <c r="T14" s="705" t="s">
        <v>14</v>
      </c>
      <c r="U14" s="706">
        <f t="shared" si="1"/>
        <v>100</v>
      </c>
      <c r="V14" s="705" t="s">
        <v>14</v>
      </c>
      <c r="W14" s="706">
        <f t="shared" si="2"/>
        <v>100</v>
      </c>
      <c r="X14" s="1355"/>
      <c r="Y14" s="372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3"/>
      <c r="Q15" s="1352"/>
      <c r="R15" s="705"/>
      <c r="S15" s="706"/>
      <c r="T15" s="705"/>
      <c r="U15" s="706"/>
      <c r="V15" s="705"/>
      <c r="W15" s="706"/>
      <c r="X15" s="1355"/>
      <c r="Y15" s="372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3"/>
      <c r="Q16" s="1352" t="str">
        <f>B16</f>
        <v>公共配套设施</v>
      </c>
      <c r="R16" s="705" t="s">
        <v>14</v>
      </c>
      <c r="S16" s="706">
        <f>F16</f>
        <v>100</v>
      </c>
      <c r="T16" s="705" t="s">
        <v>14</v>
      </c>
      <c r="U16" s="706">
        <f>H16</f>
        <v>100</v>
      </c>
      <c r="V16" s="705" t="s">
        <v>14</v>
      </c>
      <c r="W16" s="706">
        <f>J16</f>
        <v>100</v>
      </c>
      <c r="X16" s="1355"/>
      <c r="Y16" s="372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3"/>
      <c r="Q17" s="1352"/>
      <c r="R17" s="705"/>
      <c r="S17" s="706"/>
      <c r="T17" s="705"/>
      <c r="U17" s="706"/>
      <c r="V17" s="705"/>
      <c r="W17" s="706"/>
      <c r="X17" s="1355"/>
      <c r="Y17" s="372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3"/>
      <c r="Q18" s="1352" t="str">
        <f>B18</f>
        <v>基础设施水平</v>
      </c>
      <c r="R18" s="705" t="s">
        <v>14</v>
      </c>
      <c r="S18" s="706">
        <f>F18</f>
        <v>100</v>
      </c>
      <c r="T18" s="705" t="s">
        <v>14</v>
      </c>
      <c r="U18" s="706">
        <f>H18</f>
        <v>100</v>
      </c>
      <c r="V18" s="705" t="s">
        <v>14</v>
      </c>
      <c r="W18" s="706">
        <f>J18</f>
        <v>100</v>
      </c>
      <c r="X18" s="1355"/>
      <c r="Y18" s="372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3"/>
      <c r="Q19" s="1352"/>
      <c r="R19" s="705"/>
      <c r="S19" s="706"/>
      <c r="T19" s="705"/>
      <c r="U19" s="706"/>
      <c r="V19" s="705"/>
      <c r="W19" s="706"/>
      <c r="X19" s="1355"/>
      <c r="Y19" s="372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3"/>
      <c r="Q20" s="1352" t="str">
        <f>B20</f>
        <v>自然及人文环境</v>
      </c>
      <c r="R20" s="705" t="s">
        <v>14</v>
      </c>
      <c r="S20" s="706">
        <f>F20</f>
        <v>100</v>
      </c>
      <c r="T20" s="705" t="s">
        <v>14</v>
      </c>
      <c r="U20" s="706">
        <f>H20</f>
        <v>100</v>
      </c>
      <c r="V20" s="705" t="s">
        <v>14</v>
      </c>
      <c r="W20" s="706">
        <f>J20</f>
        <v>100</v>
      </c>
      <c r="X20" s="1355"/>
      <c r="Y20" s="372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3"/>
      <c r="Q21" s="1352"/>
      <c r="R21" s="705"/>
      <c r="S21" s="706"/>
      <c r="T21" s="705"/>
      <c r="U21" s="706"/>
      <c r="V21" s="705"/>
      <c r="W21" s="706"/>
      <c r="X21" s="1355"/>
      <c r="Y21" s="372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3"/>
      <c r="Q22" s="1352" t="str">
        <f>B22</f>
        <v>楼层</v>
      </c>
      <c r="R22" s="705" t="s">
        <v>14</v>
      </c>
      <c r="S22" s="706">
        <f>F22</f>
        <v>100</v>
      </c>
      <c r="T22" s="705" t="s">
        <v>14</v>
      </c>
      <c r="U22" s="706">
        <f>H22</f>
        <v>100</v>
      </c>
      <c r="V22" s="705" t="s">
        <v>14</v>
      </c>
      <c r="W22" s="706">
        <f>J22</f>
        <v>100</v>
      </c>
      <c r="X22" s="1355"/>
      <c r="Y22" s="372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3"/>
      <c r="Q23" s="1352">
        <f>B23</f>
        <v>111</v>
      </c>
      <c r="R23" s="705" t="s">
        <v>14</v>
      </c>
      <c r="S23" s="706">
        <f>F23</f>
        <v>100</v>
      </c>
      <c r="T23" s="705" t="s">
        <v>14</v>
      </c>
      <c r="U23" s="706">
        <f>H23</f>
        <v>100</v>
      </c>
      <c r="V23" s="705" t="s">
        <v>14</v>
      </c>
      <c r="W23" s="706">
        <f>J23</f>
        <v>100</v>
      </c>
      <c r="X23" s="1355"/>
      <c r="Y23" s="372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3"/>
      <c r="Q24" s="1352">
        <f t="shared" ref="Q24:Q34" si="11">B24</f>
        <v>111</v>
      </c>
      <c r="R24" s="705" t="s">
        <v>14</v>
      </c>
      <c r="S24" s="706">
        <f>F24</f>
        <v>100</v>
      </c>
      <c r="T24" s="705" t="s">
        <v>14</v>
      </c>
      <c r="U24" s="706">
        <f>H24</f>
        <v>100</v>
      </c>
      <c r="V24" s="705" t="s">
        <v>14</v>
      </c>
      <c r="W24" s="706">
        <f>J24</f>
        <v>100</v>
      </c>
      <c r="X24" s="1355"/>
      <c r="Y24" s="372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3"/>
      <c r="Q25" s="1343">
        <f t="shared" si="11"/>
        <v>111</v>
      </c>
      <c r="R25" s="701" t="s">
        <v>14</v>
      </c>
      <c r="S25" s="702">
        <f>F25</f>
        <v>100</v>
      </c>
      <c r="T25" s="701" t="s">
        <v>14</v>
      </c>
      <c r="U25" s="702">
        <f>H25</f>
        <v>100</v>
      </c>
      <c r="V25" s="701" t="s">
        <v>14</v>
      </c>
      <c r="W25" s="702">
        <f>J25</f>
        <v>100</v>
      </c>
      <c r="X25" s="703"/>
      <c r="Y25" s="372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7"/>
      <c r="Q27" s="707" t="str">
        <f t="shared" si="11"/>
        <v>成新率</v>
      </c>
      <c r="R27" s="708" t="s">
        <v>14</v>
      </c>
      <c r="S27" s="709" t="e">
        <f t="shared" si="12"/>
        <v>#N/A</v>
      </c>
      <c r="T27" s="708" t="s">
        <v>14</v>
      </c>
      <c r="U27" s="709" t="e">
        <f t="shared" si="13"/>
        <v>#N/A</v>
      </c>
      <c r="V27" s="708" t="s">
        <v>14</v>
      </c>
      <c r="W27" s="709" t="e">
        <f t="shared" si="14"/>
        <v>#N/A</v>
      </c>
      <c r="X27" s="710"/>
      <c r="Y27" s="372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7"/>
      <c r="Q28" s="1352" t="str">
        <f t="shared" si="11"/>
        <v>物业等级</v>
      </c>
      <c r="R28" s="705" t="s">
        <v>14</v>
      </c>
      <c r="S28" s="706">
        <f t="shared" si="12"/>
        <v>100</v>
      </c>
      <c r="T28" s="705" t="s">
        <v>14</v>
      </c>
      <c r="U28" s="706">
        <f t="shared" si="13"/>
        <v>100</v>
      </c>
      <c r="V28" s="705" t="s">
        <v>14</v>
      </c>
      <c r="W28" s="706">
        <f t="shared" si="14"/>
        <v>100</v>
      </c>
      <c r="X28" s="1355"/>
      <c r="Y28" s="372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7"/>
      <c r="Q29" s="1352" t="str">
        <f t="shared" si="11"/>
        <v>有无电梯</v>
      </c>
      <c r="R29" s="705" t="s">
        <v>14</v>
      </c>
      <c r="S29" s="706">
        <f t="shared" si="12"/>
        <v>100</v>
      </c>
      <c r="T29" s="705" t="s">
        <v>14</v>
      </c>
      <c r="U29" s="706">
        <f t="shared" si="13"/>
        <v>100</v>
      </c>
      <c r="V29" s="705" t="s">
        <v>14</v>
      </c>
      <c r="W29" s="706">
        <f t="shared" si="14"/>
        <v>100</v>
      </c>
      <c r="X29" s="1355"/>
      <c r="Y29" s="372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7"/>
      <c r="Q30" s="1352" t="str">
        <f t="shared" si="11"/>
        <v>建筑面积</v>
      </c>
      <c r="R30" s="705" t="s">
        <v>14</v>
      </c>
      <c r="S30" s="706" t="e">
        <f t="shared" si="12"/>
        <v>#N/A</v>
      </c>
      <c r="T30" s="705" t="s">
        <v>14</v>
      </c>
      <c r="U30" s="706" t="e">
        <f t="shared" si="13"/>
        <v>#N/A</v>
      </c>
      <c r="V30" s="705" t="s">
        <v>14</v>
      </c>
      <c r="W30" s="706" t="e">
        <f t="shared" si="14"/>
        <v>#N/A</v>
      </c>
      <c r="X30" s="1355"/>
      <c r="Y30" s="372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7"/>
      <c r="Q31" s="1343" t="str">
        <f t="shared" si="11"/>
        <v>是否封闭</v>
      </c>
      <c r="R31" s="701" t="s">
        <v>14</v>
      </c>
      <c r="S31" s="702">
        <f t="shared" si="12"/>
        <v>100</v>
      </c>
      <c r="T31" s="701" t="s">
        <v>14</v>
      </c>
      <c r="U31" s="702">
        <f t="shared" si="13"/>
        <v>100</v>
      </c>
      <c r="V31" s="701" t="s">
        <v>14</v>
      </c>
      <c r="W31" s="702">
        <f t="shared" si="14"/>
        <v>100</v>
      </c>
      <c r="X31" s="703"/>
      <c r="Y31" s="372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7" t="s">
        <v>1696</v>
      </c>
      <c r="Q32" s="1352">
        <f t="shared" si="11"/>
        <v>111</v>
      </c>
      <c r="R32" s="705" t="s">
        <v>14</v>
      </c>
      <c r="S32" s="706">
        <f t="shared" si="12"/>
        <v>100</v>
      </c>
      <c r="T32" s="705" t="s">
        <v>14</v>
      </c>
      <c r="U32" s="706">
        <f t="shared" si="13"/>
        <v>100</v>
      </c>
      <c r="V32" s="705" t="s">
        <v>14</v>
      </c>
      <c r="W32" s="706">
        <f t="shared" si="14"/>
        <v>100</v>
      </c>
      <c r="X32" s="1355"/>
      <c r="Y32" s="372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7"/>
      <c r="Q33" s="1352">
        <f t="shared" si="11"/>
        <v>111</v>
      </c>
      <c r="R33" s="705" t="s">
        <v>14</v>
      </c>
      <c r="S33" s="706">
        <f t="shared" si="12"/>
        <v>100</v>
      </c>
      <c r="T33" s="705" t="s">
        <v>14</v>
      </c>
      <c r="U33" s="706">
        <f t="shared" si="13"/>
        <v>100</v>
      </c>
      <c r="V33" s="705" t="s">
        <v>14</v>
      </c>
      <c r="W33" s="706">
        <f t="shared" si="14"/>
        <v>100</v>
      </c>
      <c r="X33" s="1355"/>
      <c r="Y33" s="372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7"/>
      <c r="Q34" s="1352">
        <f t="shared" si="11"/>
        <v>111</v>
      </c>
      <c r="R34" s="705" t="s">
        <v>14</v>
      </c>
      <c r="S34" s="706">
        <f t="shared" si="12"/>
        <v>100</v>
      </c>
      <c r="T34" s="705" t="s">
        <v>14</v>
      </c>
      <c r="U34" s="706">
        <f t="shared" si="13"/>
        <v>100</v>
      </c>
      <c r="V34" s="705" t="s">
        <v>14</v>
      </c>
      <c r="W34" s="706">
        <f t="shared" si="14"/>
        <v>100</v>
      </c>
      <c r="X34" s="1355"/>
      <c r="Y34" s="372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0" t="str">
        <f>A35</f>
        <v>成交单价（元/平方米）</v>
      </c>
      <c r="Q35" s="3720"/>
      <c r="R35" s="3721">
        <f>E35</f>
        <v>0</v>
      </c>
      <c r="S35" s="3721"/>
      <c r="T35" s="3721">
        <f>G35</f>
        <v>0</v>
      </c>
      <c r="U35" s="3721"/>
      <c r="V35" s="3721">
        <f>I35</f>
        <v>0</v>
      </c>
      <c r="W35" s="372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0" t="str">
        <f>A36</f>
        <v>比较价值（元/平方米）</v>
      </c>
      <c r="Q36" s="3720"/>
      <c r="R36" s="3721" t="e">
        <f>IF(F1="售价",ROUND(PRODUCT(R35,AA7:AA34),0),ROUND(PRODUCT(R35,AA7:AA34),1))</f>
        <v>#DIV/0!</v>
      </c>
      <c r="S36" s="3721"/>
      <c r="T36" s="3721" t="e">
        <f>IF(F1="售价",ROUND(PRODUCT(T35,AB7:AB34),0),ROUND(PRODUCT(T35,AB7:AB34),1))</f>
        <v>#DIV/0!</v>
      </c>
      <c r="U36" s="3721"/>
      <c r="V36" s="3721" t="e">
        <f>IF(F1="售价",ROUND(PRODUCT(V35,AC7:AC34),0),ROUND(PRODUCT(V35,AC7:AC34),1))</f>
        <v>#DIV/0!</v>
      </c>
      <c r="W36" s="372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7" t="str">
        <f>A37</f>
        <v>估价对象XX用房的比较价值（楼面单价，元/平方米）</v>
      </c>
      <c r="Q37" s="3718"/>
      <c r="R37" s="3747" t="e">
        <f>IF(F1="售价",ROUND(IF(D36="简单平均",AVERAGE(R36:W36),R36*F36+T36*H36+V36*J36),0),ROUND(IF(D36="简单平均",AVERAGE(R36:V36),R36*F36+T36*H36+V36*J36),1))</f>
        <v>#DIV/0!</v>
      </c>
      <c r="S37" s="3747"/>
      <c r="T37" s="3747"/>
      <c r="U37" s="3747"/>
      <c r="V37" s="3747"/>
      <c r="W37" s="374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3" t="s">
        <v>1770</v>
      </c>
      <c r="D4" s="3704"/>
      <c r="E4" s="3705" t="s">
        <v>1771</v>
      </c>
      <c r="F4" s="3706"/>
      <c r="G4" s="3703" t="s">
        <v>1772</v>
      </c>
      <c r="H4" s="3704"/>
      <c r="I4" s="3703" t="s">
        <v>1773</v>
      </c>
      <c r="J4" s="3704"/>
      <c r="K4" s="559" t="s">
        <v>1774</v>
      </c>
      <c r="L4" s="2715"/>
      <c r="M4" s="2716"/>
      <c r="N4" s="2716"/>
      <c r="O4" s="2716"/>
      <c r="P4" s="3707" t="s">
        <v>1775</v>
      </c>
      <c r="Q4" s="3708"/>
      <c r="R4" s="3690" t="s">
        <v>1771</v>
      </c>
      <c r="S4" s="3691"/>
      <c r="T4" s="3690" t="s">
        <v>1772</v>
      </c>
      <c r="U4" s="3691"/>
      <c r="V4" s="3715" t="s">
        <v>1773</v>
      </c>
      <c r="W4" s="3715"/>
      <c r="X4" s="1355"/>
      <c r="Y4" s="3690" t="s">
        <v>1775</v>
      </c>
      <c r="Z4" s="3691"/>
      <c r="AA4" s="3685" t="s">
        <v>1771</v>
      </c>
      <c r="AB4" s="3686" t="s">
        <v>1772</v>
      </c>
      <c r="AC4" s="3685" t="s">
        <v>1773</v>
      </c>
    </row>
    <row r="5" spans="1:30" ht="15">
      <c r="A5" s="358"/>
      <c r="B5" s="359"/>
      <c r="C5" s="3696" t="s">
        <v>1673</v>
      </c>
      <c r="D5" s="3697"/>
      <c r="E5" s="3694" t="s">
        <v>1674</v>
      </c>
      <c r="F5" s="3695"/>
      <c r="G5" s="3696" t="s">
        <v>1675</v>
      </c>
      <c r="H5" s="3697"/>
      <c r="I5" s="3696" t="s">
        <v>1676</v>
      </c>
      <c r="J5" s="3697"/>
      <c r="K5" s="559"/>
      <c r="L5" s="2715"/>
      <c r="M5" s="2716"/>
      <c r="N5" s="2716"/>
      <c r="O5" s="2716"/>
      <c r="P5" s="3709"/>
      <c r="Q5" s="3710"/>
      <c r="R5" s="3692"/>
      <c r="S5" s="3693"/>
      <c r="T5" s="3692"/>
      <c r="U5" s="3693"/>
      <c r="V5" s="3715"/>
      <c r="W5" s="3715"/>
      <c r="X5" s="1355"/>
      <c r="Y5" s="3692"/>
      <c r="Z5" s="3693"/>
      <c r="AA5" s="3686"/>
      <c r="AB5" s="3686"/>
      <c r="AC5" s="3686"/>
    </row>
    <row r="6" spans="1:30" ht="15.75" thickBot="1">
      <c r="A6" s="360"/>
      <c r="B6" s="361"/>
      <c r="C6" s="3698" t="s">
        <v>1677</v>
      </c>
      <c r="D6" s="3699"/>
      <c r="E6" s="3700" t="s">
        <v>1677</v>
      </c>
      <c r="F6" s="3701"/>
      <c r="G6" s="3698" t="s">
        <v>1677</v>
      </c>
      <c r="H6" s="3699"/>
      <c r="I6" s="3698" t="s">
        <v>1677</v>
      </c>
      <c r="J6" s="3699"/>
      <c r="K6" s="559" t="s">
        <v>1678</v>
      </c>
      <c r="L6" s="2715"/>
      <c r="M6" s="2716"/>
      <c r="N6" s="2716"/>
      <c r="O6" s="2716"/>
      <c r="P6" s="3711"/>
      <c r="Q6" s="3712"/>
      <c r="R6" s="3692"/>
      <c r="S6" s="3693"/>
      <c r="T6" s="3713"/>
      <c r="U6" s="3714"/>
      <c r="V6" s="3715"/>
      <c r="W6" s="3715"/>
      <c r="X6" s="1355"/>
      <c r="Y6" s="3713"/>
      <c r="Z6" s="3714"/>
      <c r="AA6" s="3687"/>
      <c r="AB6" s="3687"/>
      <c r="AC6" s="3687"/>
    </row>
    <row r="7" spans="1:30" s="108" customFormat="1" ht="15.75" thickBot="1">
      <c r="A7" s="362" t="s">
        <v>1679</v>
      </c>
      <c r="B7" s="363"/>
      <c r="C7" s="364">
        <f>'数据-取费表'!B2</f>
        <v>45013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8" t="s">
        <v>1683</v>
      </c>
      <c r="Q8" s="3689"/>
      <c r="R8" s="701" t="s">
        <v>14</v>
      </c>
      <c r="S8" s="702">
        <f t="shared" si="0"/>
        <v>0</v>
      </c>
      <c r="T8" s="701" t="s">
        <v>14</v>
      </c>
      <c r="U8" s="702">
        <f t="shared" si="1"/>
        <v>0</v>
      </c>
      <c r="V8" s="701" t="s">
        <v>14</v>
      </c>
      <c r="W8" s="702">
        <f t="shared" si="2"/>
        <v>0</v>
      </c>
      <c r="X8" s="703"/>
      <c r="Y8" s="3688" t="s">
        <v>1683</v>
      </c>
      <c r="Z8" s="368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0"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169</v>
      </c>
      <c r="G10" s="414"/>
      <c r="H10" s="127">
        <f>ROUND(100/'数据-取费表'!G16,0)</f>
        <v>169</v>
      </c>
      <c r="I10" s="414"/>
      <c r="J10" s="127">
        <f>ROUND(100/'数据-取费表'!G16,0)</f>
        <v>169</v>
      </c>
      <c r="K10" s="620"/>
      <c r="L10" s="2719"/>
      <c r="M10" s="2720"/>
      <c r="N10" s="2720"/>
      <c r="O10" s="2773"/>
      <c r="P10" s="3720"/>
      <c r="Q10" s="1343" t="str">
        <f t="shared" si="6"/>
        <v>土地使用年限（年）</v>
      </c>
      <c r="R10" s="701" t="s">
        <v>14</v>
      </c>
      <c r="S10" s="702">
        <f t="shared" si="0"/>
        <v>169</v>
      </c>
      <c r="T10" s="701" t="s">
        <v>14</v>
      </c>
      <c r="U10" s="702">
        <f t="shared" si="1"/>
        <v>169</v>
      </c>
      <c r="V10" s="701" t="s">
        <v>14</v>
      </c>
      <c r="W10" s="702">
        <f t="shared" si="2"/>
        <v>169</v>
      </c>
      <c r="X10" s="703"/>
      <c r="Y10" s="3613"/>
      <c r="Z10" s="52" t="str">
        <f t="shared" si="7"/>
        <v>土地使用年限（年）</v>
      </c>
      <c r="AA10" s="704">
        <f t="shared" si="3"/>
        <v>0.59171597633136097</v>
      </c>
      <c r="AB10" s="704">
        <f t="shared" si="4"/>
        <v>0.59171597633136097</v>
      </c>
      <c r="AC10" s="704">
        <f t="shared" si="5"/>
        <v>0.59171597633136097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0"/>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0"/>
      <c r="Q12" s="1343" t="str">
        <f t="shared" si="6"/>
        <v>配建</v>
      </c>
      <c r="R12" s="701" t="s">
        <v>14</v>
      </c>
      <c r="S12" s="702">
        <f t="shared" si="0"/>
        <v>100</v>
      </c>
      <c r="T12" s="701" t="s">
        <v>14</v>
      </c>
      <c r="U12" s="702">
        <f t="shared" si="1"/>
        <v>100</v>
      </c>
      <c r="V12" s="701" t="s">
        <v>14</v>
      </c>
      <c r="W12" s="702">
        <f t="shared" si="2"/>
        <v>100</v>
      </c>
      <c r="X12" s="703"/>
      <c r="Y12" s="361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0"/>
      <c r="Q13" s="1343">
        <f t="shared" si="6"/>
        <v>111</v>
      </c>
      <c r="R13" s="701" t="s">
        <v>14</v>
      </c>
      <c r="S13" s="702">
        <f t="shared" si="0"/>
        <v>100</v>
      </c>
      <c r="T13" s="701" t="s">
        <v>14</v>
      </c>
      <c r="U13" s="702">
        <f t="shared" si="1"/>
        <v>100</v>
      </c>
      <c r="V13" s="701" t="s">
        <v>14</v>
      </c>
      <c r="W13" s="702">
        <f t="shared" si="2"/>
        <v>100</v>
      </c>
      <c r="X13" s="703"/>
      <c r="Y13" s="361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0"/>
      <c r="Q14" s="1343">
        <f t="shared" si="6"/>
        <v>111</v>
      </c>
      <c r="R14" s="701" t="s">
        <v>14</v>
      </c>
      <c r="S14" s="702">
        <f t="shared" si="0"/>
        <v>100</v>
      </c>
      <c r="T14" s="701" t="s">
        <v>14</v>
      </c>
      <c r="U14" s="702">
        <f t="shared" si="1"/>
        <v>100</v>
      </c>
      <c r="V14" s="701" t="s">
        <v>14</v>
      </c>
      <c r="W14" s="702">
        <f t="shared" si="2"/>
        <v>100</v>
      </c>
      <c r="X14" s="703"/>
      <c r="Y14" s="361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2" t="s">
        <v>1691</v>
      </c>
      <c r="Q15" s="1352" t="str">
        <f t="shared" si="6"/>
        <v>居住社区成熟度</v>
      </c>
      <c r="R15" s="705" t="s">
        <v>14</v>
      </c>
      <c r="S15" s="706">
        <f t="shared" si="0"/>
        <v>100</v>
      </c>
      <c r="T15" s="705" t="s">
        <v>14</v>
      </c>
      <c r="U15" s="706">
        <f t="shared" si="1"/>
        <v>100</v>
      </c>
      <c r="V15" s="705" t="s">
        <v>14</v>
      </c>
      <c r="W15" s="706">
        <f t="shared" si="2"/>
        <v>100</v>
      </c>
      <c r="X15" s="1355"/>
      <c r="Y15" s="372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3"/>
      <c r="Q16" s="1352"/>
      <c r="R16" s="705"/>
      <c r="S16" s="706"/>
      <c r="T16" s="705"/>
      <c r="U16" s="706"/>
      <c r="V16" s="705"/>
      <c r="W16" s="706"/>
      <c r="X16" s="1355"/>
      <c r="Y16" s="372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3"/>
      <c r="Q17" s="1352" t="str">
        <f>B17</f>
        <v>商业繁华度</v>
      </c>
      <c r="R17" s="705" t="s">
        <v>14</v>
      </c>
      <c r="S17" s="706">
        <f>F17</f>
        <v>100</v>
      </c>
      <c r="T17" s="705" t="s">
        <v>14</v>
      </c>
      <c r="U17" s="706">
        <f>H17</f>
        <v>100</v>
      </c>
      <c r="V17" s="705" t="s">
        <v>14</v>
      </c>
      <c r="W17" s="706">
        <f>J17</f>
        <v>100</v>
      </c>
      <c r="X17" s="1355"/>
      <c r="Y17" s="372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3"/>
      <c r="Q18" s="1352"/>
      <c r="R18" s="705"/>
      <c r="S18" s="706"/>
      <c r="T18" s="705"/>
      <c r="U18" s="706"/>
      <c r="V18" s="705"/>
      <c r="W18" s="706"/>
      <c r="X18" s="1355"/>
      <c r="Y18" s="372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3"/>
      <c r="Q19" s="1352" t="str">
        <f>B19</f>
        <v>办公集聚程度</v>
      </c>
      <c r="R19" s="705" t="s">
        <v>14</v>
      </c>
      <c r="S19" s="706">
        <f>F19</f>
        <v>100</v>
      </c>
      <c r="T19" s="705" t="s">
        <v>14</v>
      </c>
      <c r="U19" s="706">
        <f>H19</f>
        <v>100</v>
      </c>
      <c r="V19" s="705" t="s">
        <v>14</v>
      </c>
      <c r="W19" s="706">
        <f>J19</f>
        <v>100</v>
      </c>
      <c r="X19" s="1355"/>
      <c r="Y19" s="372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3"/>
      <c r="Q20" s="1352"/>
      <c r="R20" s="705"/>
      <c r="S20" s="706"/>
      <c r="T20" s="705"/>
      <c r="U20" s="706"/>
      <c r="V20" s="705"/>
      <c r="W20" s="706"/>
      <c r="X20" s="1355"/>
      <c r="Y20" s="372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3"/>
      <c r="Q21" s="1352" t="str">
        <f>B21</f>
        <v>交通便捷度</v>
      </c>
      <c r="R21" s="705" t="s">
        <v>14</v>
      </c>
      <c r="S21" s="706">
        <f>F21</f>
        <v>100</v>
      </c>
      <c r="T21" s="705" t="s">
        <v>14</v>
      </c>
      <c r="U21" s="706">
        <f>H21</f>
        <v>100</v>
      </c>
      <c r="V21" s="705" t="s">
        <v>14</v>
      </c>
      <c r="W21" s="706">
        <f>J21</f>
        <v>100</v>
      </c>
      <c r="X21" s="1355"/>
      <c r="Y21" s="372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3"/>
      <c r="Q22" s="1352"/>
      <c r="R22" s="705"/>
      <c r="S22" s="706"/>
      <c r="T22" s="705"/>
      <c r="U22" s="706"/>
      <c r="V22" s="705"/>
      <c r="W22" s="706"/>
      <c r="X22" s="1355"/>
      <c r="Y22" s="372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3"/>
      <c r="Q23" s="1352" t="str">
        <f t="shared" ref="Q23:Q37" si="8">B23</f>
        <v>区域土地利用方向</v>
      </c>
      <c r="R23" s="705" t="s">
        <v>14</v>
      </c>
      <c r="S23" s="706">
        <f>F23</f>
        <v>100</v>
      </c>
      <c r="T23" s="705" t="s">
        <v>14</v>
      </c>
      <c r="U23" s="706">
        <f>H23</f>
        <v>100</v>
      </c>
      <c r="V23" s="705" t="s">
        <v>14</v>
      </c>
      <c r="W23" s="706">
        <f>J23</f>
        <v>100</v>
      </c>
      <c r="X23" s="1355"/>
      <c r="Y23" s="372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3"/>
      <c r="Q24" s="1352"/>
      <c r="R24" s="705"/>
      <c r="S24" s="706"/>
      <c r="T24" s="705"/>
      <c r="U24" s="706"/>
      <c r="V24" s="705"/>
      <c r="W24" s="706"/>
      <c r="X24" s="1355"/>
      <c r="Y24" s="372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3"/>
      <c r="Q25" s="1352" t="str">
        <f t="shared" si="8"/>
        <v>自然及人文环境状况</v>
      </c>
      <c r="R25" s="705" t="s">
        <v>14</v>
      </c>
      <c r="S25" s="706">
        <f>F25</f>
        <v>100</v>
      </c>
      <c r="T25" s="705" t="s">
        <v>14</v>
      </c>
      <c r="U25" s="706">
        <f>H25</f>
        <v>100</v>
      </c>
      <c r="V25" s="705" t="s">
        <v>14</v>
      </c>
      <c r="W25" s="706">
        <f>J25</f>
        <v>100</v>
      </c>
      <c r="X25" s="1355"/>
      <c r="Y25" s="372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3"/>
      <c r="Q26" s="1352"/>
      <c r="R26" s="705"/>
      <c r="S26" s="706"/>
      <c r="T26" s="705"/>
      <c r="U26" s="706"/>
      <c r="V26" s="705"/>
      <c r="W26" s="706"/>
      <c r="X26" s="1355"/>
      <c r="Y26" s="372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3"/>
      <c r="Q27" s="1343" t="str">
        <f t="shared" si="8"/>
        <v>公共配套设施</v>
      </c>
      <c r="R27" s="701" t="s">
        <v>14</v>
      </c>
      <c r="S27" s="702">
        <f>F27</f>
        <v>100</v>
      </c>
      <c r="T27" s="701" t="s">
        <v>14</v>
      </c>
      <c r="U27" s="702">
        <f>H27</f>
        <v>100</v>
      </c>
      <c r="V27" s="701" t="s">
        <v>14</v>
      </c>
      <c r="W27" s="702">
        <f>J27</f>
        <v>100</v>
      </c>
      <c r="X27" s="703"/>
      <c r="Y27" s="372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3"/>
      <c r="Q28" s="1343"/>
      <c r="R28" s="701"/>
      <c r="S28" s="702"/>
      <c r="T28" s="701"/>
      <c r="U28" s="702"/>
      <c r="V28" s="701"/>
      <c r="W28" s="702"/>
      <c r="X28" s="703"/>
      <c r="Y28" s="372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3"/>
      <c r="Q29" s="1343" t="str">
        <f t="shared" ref="Q29" si="9">B29</f>
        <v>基础设施水平</v>
      </c>
      <c r="R29" s="701" t="s">
        <v>14</v>
      </c>
      <c r="S29" s="702">
        <f>F29</f>
        <v>100</v>
      </c>
      <c r="T29" s="701" t="s">
        <v>14</v>
      </c>
      <c r="U29" s="702">
        <f>H29</f>
        <v>100</v>
      </c>
      <c r="V29" s="701" t="s">
        <v>14</v>
      </c>
      <c r="W29" s="702">
        <f>J29</f>
        <v>100</v>
      </c>
      <c r="X29" s="703"/>
      <c r="Y29" s="372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3"/>
      <c r="Q30" s="1343"/>
      <c r="R30" s="701"/>
      <c r="S30" s="702"/>
      <c r="T30" s="701"/>
      <c r="U30" s="702"/>
      <c r="V30" s="701"/>
      <c r="W30" s="702"/>
      <c r="X30" s="703"/>
      <c r="Y30" s="372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3"/>
      <c r="Q32" s="1352" t="str">
        <f t="shared" si="8"/>
        <v>毗邻道路的类型与等级</v>
      </c>
      <c r="R32" s="705" t="s">
        <v>14</v>
      </c>
      <c r="S32" s="706">
        <f t="shared" si="10"/>
        <v>100</v>
      </c>
      <c r="T32" s="705" t="s">
        <v>14</v>
      </c>
      <c r="U32" s="706">
        <f t="shared" si="11"/>
        <v>100</v>
      </c>
      <c r="V32" s="705" t="s">
        <v>14</v>
      </c>
      <c r="W32" s="706">
        <f t="shared" si="12"/>
        <v>100</v>
      </c>
      <c r="X32" s="1355"/>
      <c r="Y32" s="372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3"/>
      <c r="Q33" s="1352"/>
      <c r="R33" s="705"/>
      <c r="S33" s="706"/>
      <c r="T33" s="705"/>
      <c r="U33" s="706"/>
      <c r="V33" s="705"/>
      <c r="W33" s="706"/>
      <c r="X33" s="1355"/>
      <c r="Y33" s="372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3"/>
      <c r="Q34" s="1352" t="str">
        <f t="shared" si="8"/>
        <v>土地级别</v>
      </c>
      <c r="R34" s="705" t="s">
        <v>14</v>
      </c>
      <c r="S34" s="706">
        <f t="shared" si="10"/>
        <v>100</v>
      </c>
      <c r="T34" s="705" t="s">
        <v>14</v>
      </c>
      <c r="U34" s="706">
        <f t="shared" si="11"/>
        <v>100</v>
      </c>
      <c r="V34" s="705" t="s">
        <v>14</v>
      </c>
      <c r="W34" s="706">
        <f t="shared" si="12"/>
        <v>100</v>
      </c>
      <c r="X34" s="1355"/>
      <c r="Y34" s="372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3"/>
      <c r="Q35" s="1352">
        <f t="shared" si="8"/>
        <v>111</v>
      </c>
      <c r="R35" s="705" t="s">
        <v>14</v>
      </c>
      <c r="S35" s="706">
        <f t="shared" si="10"/>
        <v>100</v>
      </c>
      <c r="T35" s="705" t="s">
        <v>14</v>
      </c>
      <c r="U35" s="706">
        <f t="shared" si="11"/>
        <v>100</v>
      </c>
      <c r="V35" s="705" t="s">
        <v>14</v>
      </c>
      <c r="W35" s="706">
        <f t="shared" si="12"/>
        <v>100</v>
      </c>
      <c r="X35" s="1355"/>
      <c r="Y35" s="372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6" t="s">
        <v>1696</v>
      </c>
      <c r="Q36" s="1352">
        <f t="shared" si="8"/>
        <v>111</v>
      </c>
      <c r="R36" s="705" t="s">
        <v>14</v>
      </c>
      <c r="S36" s="706">
        <f t="shared" si="10"/>
        <v>100</v>
      </c>
      <c r="T36" s="705" t="s">
        <v>14</v>
      </c>
      <c r="U36" s="706">
        <f t="shared" si="11"/>
        <v>100</v>
      </c>
      <c r="V36" s="705" t="s">
        <v>14</v>
      </c>
      <c r="W36" s="706">
        <f t="shared" si="12"/>
        <v>100</v>
      </c>
      <c r="X36" s="1355"/>
      <c r="Y36" s="372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7"/>
      <c r="Q37" s="1352">
        <f t="shared" si="8"/>
        <v>111</v>
      </c>
      <c r="R37" s="708" t="s">
        <v>14</v>
      </c>
      <c r="S37" s="709">
        <f t="shared" si="10"/>
        <v>100</v>
      </c>
      <c r="T37" s="708" t="s">
        <v>14</v>
      </c>
      <c r="U37" s="709">
        <f t="shared" si="11"/>
        <v>100</v>
      </c>
      <c r="V37" s="708" t="s">
        <v>14</v>
      </c>
      <c r="W37" s="709">
        <f t="shared" si="12"/>
        <v>100</v>
      </c>
      <c r="X37" s="710"/>
      <c r="Y37" s="372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7"/>
      <c r="Q38" s="1352" t="str">
        <f>B38</f>
        <v>宗地面积</v>
      </c>
      <c r="R38" s="705" t="s">
        <v>14</v>
      </c>
      <c r="S38" s="706" t="e">
        <f t="shared" si="10"/>
        <v>#N/A</v>
      </c>
      <c r="T38" s="705" t="s">
        <v>14</v>
      </c>
      <c r="U38" s="706" t="e">
        <f t="shared" si="11"/>
        <v>#N/A</v>
      </c>
      <c r="V38" s="705" t="s">
        <v>14</v>
      </c>
      <c r="W38" s="706" t="e">
        <f t="shared" si="12"/>
        <v>#N/A</v>
      </c>
      <c r="X38" s="1355"/>
      <c r="Y38" s="372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7"/>
      <c r="Q39" s="1352" t="str">
        <f t="shared" ref="Q39:Q45" si="14">B39</f>
        <v>宗地形状</v>
      </c>
      <c r="R39" s="705" t="s">
        <v>14</v>
      </c>
      <c r="S39" s="706">
        <f t="shared" si="10"/>
        <v>100</v>
      </c>
      <c r="T39" s="705" t="s">
        <v>14</v>
      </c>
      <c r="U39" s="706">
        <f t="shared" si="11"/>
        <v>100</v>
      </c>
      <c r="V39" s="705" t="s">
        <v>14</v>
      </c>
      <c r="W39" s="706">
        <f t="shared" si="12"/>
        <v>100</v>
      </c>
      <c r="X39" s="1355"/>
      <c r="Y39" s="372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7"/>
      <c r="Q40" s="1352" t="str">
        <f t="shared" si="14"/>
        <v>临街宽度及深度</v>
      </c>
      <c r="R40" s="705" t="s">
        <v>14</v>
      </c>
      <c r="S40" s="706">
        <f t="shared" si="10"/>
        <v>100</v>
      </c>
      <c r="T40" s="705" t="s">
        <v>14</v>
      </c>
      <c r="U40" s="706">
        <f t="shared" si="11"/>
        <v>100</v>
      </c>
      <c r="V40" s="705" t="s">
        <v>14</v>
      </c>
      <c r="W40" s="706">
        <f t="shared" si="12"/>
        <v>100</v>
      </c>
      <c r="X40" s="1355"/>
      <c r="Y40" s="372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7"/>
      <c r="Q41" s="1352" t="str">
        <f t="shared" si="14"/>
        <v>宗地开发程度</v>
      </c>
      <c r="R41" s="701" t="s">
        <v>14</v>
      </c>
      <c r="S41" s="702">
        <f t="shared" si="10"/>
        <v>100</v>
      </c>
      <c r="T41" s="701" t="s">
        <v>14</v>
      </c>
      <c r="U41" s="702">
        <f t="shared" si="11"/>
        <v>100</v>
      </c>
      <c r="V41" s="701" t="s">
        <v>14</v>
      </c>
      <c r="W41" s="702">
        <f t="shared" si="12"/>
        <v>100</v>
      </c>
      <c r="X41" s="703"/>
      <c r="Y41" s="372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7" t="s">
        <v>1696</v>
      </c>
      <c r="Q42" s="1352" t="str">
        <f t="shared" si="14"/>
        <v>工程地质条件</v>
      </c>
      <c r="R42" s="705" t="s">
        <v>14</v>
      </c>
      <c r="S42" s="706">
        <f t="shared" si="10"/>
        <v>100</v>
      </c>
      <c r="T42" s="705" t="s">
        <v>14</v>
      </c>
      <c r="U42" s="706">
        <f t="shared" si="11"/>
        <v>100</v>
      </c>
      <c r="V42" s="705" t="s">
        <v>14</v>
      </c>
      <c r="W42" s="706">
        <f t="shared" si="12"/>
        <v>100</v>
      </c>
      <c r="X42" s="1355"/>
      <c r="Y42" s="372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7"/>
      <c r="Q43" s="1352">
        <f t="shared" si="14"/>
        <v>111</v>
      </c>
      <c r="R43" s="705" t="s">
        <v>14</v>
      </c>
      <c r="S43" s="706">
        <f t="shared" si="10"/>
        <v>100</v>
      </c>
      <c r="T43" s="705" t="s">
        <v>14</v>
      </c>
      <c r="U43" s="706">
        <f t="shared" si="11"/>
        <v>100</v>
      </c>
      <c r="V43" s="705" t="s">
        <v>14</v>
      </c>
      <c r="W43" s="706">
        <f t="shared" si="12"/>
        <v>100</v>
      </c>
      <c r="X43" s="1355"/>
      <c r="Y43" s="372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7"/>
      <c r="Q44" s="1352">
        <f t="shared" si="14"/>
        <v>111</v>
      </c>
      <c r="R44" s="705" t="s">
        <v>14</v>
      </c>
      <c r="S44" s="706">
        <f t="shared" si="10"/>
        <v>100</v>
      </c>
      <c r="T44" s="705" t="s">
        <v>14</v>
      </c>
      <c r="U44" s="706">
        <f t="shared" si="11"/>
        <v>100</v>
      </c>
      <c r="V44" s="705" t="s">
        <v>14</v>
      </c>
      <c r="W44" s="706">
        <f t="shared" si="12"/>
        <v>100</v>
      </c>
      <c r="X44" s="1355"/>
      <c r="Y44" s="372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7"/>
      <c r="Q45" s="1352">
        <f t="shared" si="14"/>
        <v>111</v>
      </c>
      <c r="R45" s="708" t="s">
        <v>14</v>
      </c>
      <c r="S45" s="709">
        <f t="shared" si="10"/>
        <v>100</v>
      </c>
      <c r="T45" s="708" t="s">
        <v>14</v>
      </c>
      <c r="U45" s="709">
        <f t="shared" si="11"/>
        <v>100</v>
      </c>
      <c r="V45" s="708" t="s">
        <v>14</v>
      </c>
      <c r="W45" s="709">
        <f t="shared" si="12"/>
        <v>100</v>
      </c>
      <c r="X45" s="710"/>
      <c r="Y45" s="372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0" t="str">
        <f>A46</f>
        <v>成交单价</v>
      </c>
      <c r="Q46" s="3720"/>
      <c r="R46" s="3715">
        <f>E46</f>
        <v>0</v>
      </c>
      <c r="S46" s="3715"/>
      <c r="T46" s="3715">
        <f>G46</f>
        <v>0</v>
      </c>
      <c r="U46" s="3715"/>
      <c r="V46" s="3715">
        <f>I46</f>
        <v>0</v>
      </c>
      <c r="W46" s="371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0" t="str">
        <f>A47</f>
        <v>比较价值（元/平方米）</v>
      </c>
      <c r="Q47" s="3720"/>
      <c r="R47" s="3748" t="e">
        <f>ROUND(PRODUCT(R46,AA7:AA45),0)</f>
        <v>#DIV/0!</v>
      </c>
      <c r="S47" s="3748"/>
      <c r="T47" s="3748" t="e">
        <f>ROUND(PRODUCT(T46,AB7:AB45),0)</f>
        <v>#DIV/0!</v>
      </c>
      <c r="U47" s="3748"/>
      <c r="V47" s="3748" t="e">
        <f>ROUND(PRODUCT(V46,AC7:AC45),0)</f>
        <v>#DIV/0!</v>
      </c>
      <c r="W47" s="374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7" t="str">
        <f>A48</f>
        <v>估价对象XX用房的比较价值（楼面单价，元/平方米）</v>
      </c>
      <c r="Q48" s="3718"/>
      <c r="R48" s="3749" t="e">
        <f>ROUND(IF(D47="简单平均",AVERAGE(R47:W47),R47*F47+T47*H47+V47*J47),0)</f>
        <v>#DIV/0!</v>
      </c>
      <c r="S48" s="3749"/>
      <c r="T48" s="3749"/>
      <c r="U48" s="3749"/>
      <c r="V48" s="3749"/>
      <c r="W48" s="374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3" t="s">
        <v>1887</v>
      </c>
      <c r="H55" s="375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9317.7000000000007</v>
      </c>
      <c r="F56" s="886" t="e">
        <f t="shared" ref="F56:F64" si="15">ROUND(B56*E56/10000,0)</f>
        <v>#DIV/0!</v>
      </c>
      <c r="G56" s="3702"/>
      <c r="H56" s="372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0.7</v>
      </c>
      <c r="D57" s="945">
        <v>0.25</v>
      </c>
      <c r="E57" s="642"/>
      <c r="F57" s="886" t="e">
        <f t="shared" si="15"/>
        <v>#DIV/0!</v>
      </c>
      <c r="G57" s="3006" t="s">
        <v>1892</v>
      </c>
      <c r="H57" s="887" t="str">
        <f>项目基本情况!B37</f>
        <v>二级</v>
      </c>
      <c r="I57" s="891">
        <f>SUMIF(修正!A57:A68,H57,修正!B57:B68)</f>
        <v>0.7</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0.4</v>
      </c>
      <c r="D58" s="945">
        <v>0.25</v>
      </c>
      <c r="E58" s="642"/>
      <c r="F58" s="886" t="e">
        <f t="shared" si="15"/>
        <v>#DIV/0!</v>
      </c>
      <c r="G58" s="3007"/>
      <c r="H58" s="887" t="str">
        <f>项目基本情况!B37</f>
        <v>二级</v>
      </c>
      <c r="I58" s="891">
        <f>SUMIF(修正!A57:A68,H58,修正!C57:C68)</f>
        <v>0.4</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0.3</v>
      </c>
      <c r="D59" s="945">
        <v>0.25</v>
      </c>
      <c r="E59" s="642"/>
      <c r="F59" s="886" t="e">
        <f t="shared" si="15"/>
        <v>#DIV/0!</v>
      </c>
      <c r="G59" s="3007"/>
      <c r="H59" s="887" t="str">
        <f>项目基本情况!B37</f>
        <v>二级</v>
      </c>
      <c r="I59" s="891">
        <f>SUMIF(修正!A57:A68,H59,修正!D57:D68)</f>
        <v>0.3</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0.2</v>
      </c>
      <c r="D63" s="945">
        <v>0.25</v>
      </c>
      <c r="E63" s="217">
        <f>'数据-汇总表'!E14</f>
        <v>0</v>
      </c>
      <c r="F63" s="886" t="e">
        <f t="shared" si="15"/>
        <v>#DIV/0!</v>
      </c>
      <c r="G63" s="1987" t="s">
        <v>1892</v>
      </c>
      <c r="H63" s="887" t="str">
        <f>项目基本情况!B37</f>
        <v>二级</v>
      </c>
      <c r="I63" s="891">
        <f>SUMIF(修正!A57:A68,H63,修正!G57:G68)</f>
        <v>0.2</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9317.7000000000007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2715"/>
      <c r="M4" s="2716"/>
      <c r="N4" s="2716"/>
      <c r="O4" s="2716"/>
      <c r="P4" s="3707" t="s">
        <v>1775</v>
      </c>
      <c r="Q4" s="3708"/>
      <c r="R4" s="3690" t="s">
        <v>1771</v>
      </c>
      <c r="S4" s="3691"/>
      <c r="T4" s="3690" t="s">
        <v>1772</v>
      </c>
      <c r="U4" s="3691"/>
      <c r="V4" s="3715" t="s">
        <v>1773</v>
      </c>
      <c r="W4" s="3715"/>
      <c r="X4" s="1355"/>
      <c r="Y4" s="3690" t="s">
        <v>1775</v>
      </c>
      <c r="Z4" s="3691"/>
      <c r="AA4" s="3685" t="s">
        <v>1771</v>
      </c>
      <c r="AB4" s="3686" t="s">
        <v>1772</v>
      </c>
      <c r="AC4" s="3685" t="s">
        <v>1773</v>
      </c>
    </row>
    <row r="5" spans="1:29" ht="15">
      <c r="A5" s="358"/>
      <c r="B5" s="359"/>
      <c r="C5" s="3696" t="s">
        <v>1673</v>
      </c>
      <c r="D5" s="3697"/>
      <c r="E5" s="3694" t="s">
        <v>1674</v>
      </c>
      <c r="F5" s="3695"/>
      <c r="G5" s="3696" t="s">
        <v>1675</v>
      </c>
      <c r="H5" s="3697"/>
      <c r="I5" s="3696" t="s">
        <v>1676</v>
      </c>
      <c r="J5" s="3697"/>
      <c r="K5" s="559"/>
      <c r="L5" s="2715"/>
      <c r="M5" s="2716"/>
      <c r="N5" s="2716"/>
      <c r="O5" s="2716"/>
      <c r="P5" s="3709"/>
      <c r="Q5" s="3710"/>
      <c r="R5" s="3692"/>
      <c r="S5" s="3693"/>
      <c r="T5" s="3692"/>
      <c r="U5" s="3693"/>
      <c r="V5" s="3715"/>
      <c r="W5" s="3715"/>
      <c r="X5" s="1355"/>
      <c r="Y5" s="3692"/>
      <c r="Z5" s="3693"/>
      <c r="AA5" s="3686"/>
      <c r="AB5" s="3686"/>
      <c r="AC5" s="3686"/>
    </row>
    <row r="6" spans="1:29" ht="15.75" thickBot="1">
      <c r="A6" s="360"/>
      <c r="B6" s="361"/>
      <c r="C6" s="3751" t="s">
        <v>1919</v>
      </c>
      <c r="D6" s="3752"/>
      <c r="E6" s="3753" t="s">
        <v>1919</v>
      </c>
      <c r="F6" s="3754"/>
      <c r="G6" s="3751" t="s">
        <v>1919</v>
      </c>
      <c r="H6" s="3752"/>
      <c r="I6" s="3751" t="s">
        <v>1919</v>
      </c>
      <c r="J6" s="3752"/>
      <c r="K6" s="559" t="s">
        <v>1678</v>
      </c>
      <c r="L6" s="2715"/>
      <c r="M6" s="2716"/>
      <c r="N6" s="2716"/>
      <c r="O6" s="2716"/>
      <c r="P6" s="3711"/>
      <c r="Q6" s="3712"/>
      <c r="R6" s="3692"/>
      <c r="S6" s="3693"/>
      <c r="T6" s="3713"/>
      <c r="U6" s="3714"/>
      <c r="V6" s="3715"/>
      <c r="W6" s="3715"/>
      <c r="X6" s="1355"/>
      <c r="Y6" s="3713"/>
      <c r="Z6" s="3714"/>
      <c r="AA6" s="3687"/>
      <c r="AB6" s="3687"/>
      <c r="AC6" s="3687"/>
    </row>
    <row r="7" spans="1:29" s="108" customFormat="1" ht="15.75" thickBot="1">
      <c r="A7" s="362" t="s">
        <v>1679</v>
      </c>
      <c r="B7" s="363"/>
      <c r="C7" s="364">
        <f>'数据-取费表'!B2</f>
        <v>45013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8" t="s">
        <v>1683</v>
      </c>
      <c r="Q8" s="3689"/>
      <c r="R8" s="701" t="s">
        <v>14</v>
      </c>
      <c r="S8" s="702">
        <f t="shared" si="0"/>
        <v>0</v>
      </c>
      <c r="T8" s="701" t="s">
        <v>14</v>
      </c>
      <c r="U8" s="702">
        <f t="shared" si="1"/>
        <v>0</v>
      </c>
      <c r="V8" s="701" t="s">
        <v>14</v>
      </c>
      <c r="W8" s="702">
        <f t="shared" si="2"/>
        <v>0</v>
      </c>
      <c r="X8" s="703"/>
      <c r="Y8" s="3688" t="s">
        <v>1683</v>
      </c>
      <c r="Z8" s="368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0"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169</v>
      </c>
      <c r="G10" s="383"/>
      <c r="H10" s="127">
        <f>ROUND(100/'数据-取费表'!G16,0)</f>
        <v>169</v>
      </c>
      <c r="I10" s="383"/>
      <c r="J10" s="127">
        <f>ROUND(100/'数据-取费表'!G16,0)</f>
        <v>169</v>
      </c>
      <c r="K10" s="620"/>
      <c r="L10" s="2719"/>
      <c r="M10" s="2720"/>
      <c r="N10" s="2720"/>
      <c r="O10" s="2773"/>
      <c r="P10" s="3720"/>
      <c r="Q10" s="1343" t="str">
        <f t="shared" si="6"/>
        <v>土地使用年限（年）</v>
      </c>
      <c r="R10" s="701" t="s">
        <v>14</v>
      </c>
      <c r="S10" s="702">
        <f t="shared" si="0"/>
        <v>169</v>
      </c>
      <c r="T10" s="701" t="s">
        <v>14</v>
      </c>
      <c r="U10" s="702">
        <f t="shared" si="1"/>
        <v>169</v>
      </c>
      <c r="V10" s="701" t="s">
        <v>14</v>
      </c>
      <c r="W10" s="702">
        <f t="shared" si="2"/>
        <v>169</v>
      </c>
      <c r="X10" s="703"/>
      <c r="Y10" s="3613"/>
      <c r="Z10" s="52" t="str">
        <f t="shared" si="7"/>
        <v>土地使用年限（年）</v>
      </c>
      <c r="AA10" s="704">
        <f t="shared" si="3"/>
        <v>0.59171597633136097</v>
      </c>
      <c r="AB10" s="704">
        <f t="shared" si="4"/>
        <v>0.59171597633136097</v>
      </c>
      <c r="AC10" s="704">
        <f t="shared" si="5"/>
        <v>0.59171597633136097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0"/>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0"/>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0"/>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0"/>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2" t="s">
        <v>1691</v>
      </c>
      <c r="Q15" s="1352" t="str">
        <f t="shared" si="6"/>
        <v>产业集聚程度</v>
      </c>
      <c r="R15" s="705" t="s">
        <v>14</v>
      </c>
      <c r="S15" s="706">
        <f t="shared" si="0"/>
        <v>100</v>
      </c>
      <c r="T15" s="705" t="s">
        <v>14</v>
      </c>
      <c r="U15" s="706">
        <f t="shared" si="1"/>
        <v>100</v>
      </c>
      <c r="V15" s="705" t="s">
        <v>14</v>
      </c>
      <c r="W15" s="706">
        <f t="shared" si="2"/>
        <v>100</v>
      </c>
      <c r="X15" s="1355"/>
      <c r="Y15" s="372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3"/>
      <c r="Q16" s="1352"/>
      <c r="R16" s="705"/>
      <c r="S16" s="706"/>
      <c r="T16" s="705"/>
      <c r="U16" s="706"/>
      <c r="V16" s="705"/>
      <c r="W16" s="706"/>
      <c r="X16" s="1355"/>
      <c r="Y16" s="372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3"/>
      <c r="Q17" s="1352" t="str">
        <f>B17</f>
        <v>交通便捷度</v>
      </c>
      <c r="R17" s="705" t="s">
        <v>14</v>
      </c>
      <c r="S17" s="706">
        <f>F17</f>
        <v>100</v>
      </c>
      <c r="T17" s="705" t="s">
        <v>14</v>
      </c>
      <c r="U17" s="706">
        <f>H17</f>
        <v>100</v>
      </c>
      <c r="V17" s="705" t="s">
        <v>14</v>
      </c>
      <c r="W17" s="706">
        <f>J17</f>
        <v>100</v>
      </c>
      <c r="X17" s="1355"/>
      <c r="Y17" s="372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3"/>
      <c r="Q18" s="1352"/>
      <c r="R18" s="705"/>
      <c r="S18" s="706"/>
      <c r="T18" s="705"/>
      <c r="U18" s="706"/>
      <c r="V18" s="705"/>
      <c r="W18" s="706"/>
      <c r="X18" s="1355"/>
      <c r="Y18" s="372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3"/>
      <c r="Q19" s="1352" t="str">
        <f t="shared" ref="Q19:Q33" si="8">B19</f>
        <v>区域土地利用方向</v>
      </c>
      <c r="R19" s="705" t="s">
        <v>14</v>
      </c>
      <c r="S19" s="706">
        <f>F19</f>
        <v>100</v>
      </c>
      <c r="T19" s="705" t="s">
        <v>14</v>
      </c>
      <c r="U19" s="706">
        <f>H19</f>
        <v>100</v>
      </c>
      <c r="V19" s="705" t="s">
        <v>14</v>
      </c>
      <c r="W19" s="706">
        <f>J19</f>
        <v>100</v>
      </c>
      <c r="X19" s="1355"/>
      <c r="Y19" s="372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3"/>
      <c r="Q20" s="1352"/>
      <c r="R20" s="705"/>
      <c r="S20" s="706"/>
      <c r="T20" s="705"/>
      <c r="U20" s="706"/>
      <c r="V20" s="705"/>
      <c r="W20" s="706"/>
      <c r="X20" s="1355"/>
      <c r="Y20" s="372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3"/>
      <c r="Q21" s="1352" t="str">
        <f t="shared" si="8"/>
        <v>环境状况</v>
      </c>
      <c r="R21" s="705" t="s">
        <v>14</v>
      </c>
      <c r="S21" s="706">
        <f>F21</f>
        <v>100</v>
      </c>
      <c r="T21" s="705" t="s">
        <v>14</v>
      </c>
      <c r="U21" s="706">
        <f>H21</f>
        <v>100</v>
      </c>
      <c r="V21" s="705" t="s">
        <v>14</v>
      </c>
      <c r="W21" s="706">
        <f>J21</f>
        <v>100</v>
      </c>
      <c r="X21" s="1355"/>
      <c r="Y21" s="372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3"/>
      <c r="Q22" s="1352"/>
      <c r="R22" s="705"/>
      <c r="S22" s="706"/>
      <c r="T22" s="705"/>
      <c r="U22" s="706"/>
      <c r="V22" s="705"/>
      <c r="W22" s="706"/>
      <c r="X22" s="1355"/>
      <c r="Y22" s="372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3"/>
      <c r="Q23" s="1343" t="str">
        <f t="shared" si="8"/>
        <v>公共配套设施</v>
      </c>
      <c r="R23" s="701" t="s">
        <v>14</v>
      </c>
      <c r="S23" s="702">
        <f>F23</f>
        <v>100</v>
      </c>
      <c r="T23" s="701" t="s">
        <v>14</v>
      </c>
      <c r="U23" s="702">
        <f>H23</f>
        <v>100</v>
      </c>
      <c r="V23" s="701" t="s">
        <v>14</v>
      </c>
      <c r="W23" s="702">
        <f>J23</f>
        <v>100</v>
      </c>
      <c r="X23" s="703"/>
      <c r="Y23" s="372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3"/>
      <c r="Q24" s="1343"/>
      <c r="R24" s="701"/>
      <c r="S24" s="702"/>
      <c r="T24" s="701"/>
      <c r="U24" s="702"/>
      <c r="V24" s="701"/>
      <c r="W24" s="702"/>
      <c r="X24" s="703"/>
      <c r="Y24" s="372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3"/>
      <c r="Q25" s="1343" t="str">
        <f t="shared" ref="Q25" si="9">B25</f>
        <v>基础设施水平</v>
      </c>
      <c r="R25" s="701" t="s">
        <v>14</v>
      </c>
      <c r="S25" s="702">
        <f>F25</f>
        <v>100</v>
      </c>
      <c r="T25" s="701" t="s">
        <v>14</v>
      </c>
      <c r="U25" s="702">
        <f>H25</f>
        <v>100</v>
      </c>
      <c r="V25" s="701" t="s">
        <v>14</v>
      </c>
      <c r="W25" s="702">
        <f>J25</f>
        <v>100</v>
      </c>
      <c r="X25" s="703"/>
      <c r="Y25" s="372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3"/>
      <c r="Q26" s="1343"/>
      <c r="R26" s="701"/>
      <c r="S26" s="702"/>
      <c r="T26" s="701"/>
      <c r="U26" s="702"/>
      <c r="V26" s="701"/>
      <c r="W26" s="702"/>
      <c r="X26" s="703"/>
      <c r="Y26" s="372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3"/>
      <c r="Q28" s="1352" t="str">
        <f t="shared" si="8"/>
        <v>毗邻道路的类型与等级</v>
      </c>
      <c r="R28" s="705" t="s">
        <v>14</v>
      </c>
      <c r="S28" s="706">
        <f t="shared" si="10"/>
        <v>100</v>
      </c>
      <c r="T28" s="705" t="s">
        <v>14</v>
      </c>
      <c r="U28" s="706">
        <f t="shared" si="11"/>
        <v>100</v>
      </c>
      <c r="V28" s="705" t="s">
        <v>14</v>
      </c>
      <c r="W28" s="706">
        <f t="shared" si="12"/>
        <v>100</v>
      </c>
      <c r="X28" s="1355"/>
      <c r="Y28" s="372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3"/>
      <c r="Q29" s="1352"/>
      <c r="R29" s="705"/>
      <c r="S29" s="706"/>
      <c r="T29" s="705"/>
      <c r="U29" s="706"/>
      <c r="V29" s="705"/>
      <c r="W29" s="706"/>
      <c r="X29" s="1355"/>
      <c r="Y29" s="372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3"/>
      <c r="Q30" s="1352" t="str">
        <f t="shared" si="8"/>
        <v>土地级别</v>
      </c>
      <c r="R30" s="705" t="s">
        <v>14</v>
      </c>
      <c r="S30" s="706">
        <f t="shared" si="10"/>
        <v>100</v>
      </c>
      <c r="T30" s="705" t="s">
        <v>14</v>
      </c>
      <c r="U30" s="706">
        <f t="shared" si="11"/>
        <v>100</v>
      </c>
      <c r="V30" s="705" t="s">
        <v>14</v>
      </c>
      <c r="W30" s="706">
        <f t="shared" si="12"/>
        <v>100</v>
      </c>
      <c r="X30" s="1355"/>
      <c r="Y30" s="372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3"/>
      <c r="Q31" s="1352">
        <f t="shared" si="8"/>
        <v>111</v>
      </c>
      <c r="R31" s="705" t="s">
        <v>14</v>
      </c>
      <c r="S31" s="706">
        <f t="shared" si="10"/>
        <v>100</v>
      </c>
      <c r="T31" s="705" t="s">
        <v>14</v>
      </c>
      <c r="U31" s="706">
        <f t="shared" si="11"/>
        <v>100</v>
      </c>
      <c r="V31" s="705" t="s">
        <v>14</v>
      </c>
      <c r="W31" s="706">
        <f t="shared" si="12"/>
        <v>100</v>
      </c>
      <c r="X31" s="1355"/>
      <c r="Y31" s="372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6" t="s">
        <v>1696</v>
      </c>
      <c r="Q32" s="1352">
        <f t="shared" si="8"/>
        <v>111</v>
      </c>
      <c r="R32" s="705" t="s">
        <v>14</v>
      </c>
      <c r="S32" s="706">
        <f t="shared" si="10"/>
        <v>100</v>
      </c>
      <c r="T32" s="705" t="s">
        <v>14</v>
      </c>
      <c r="U32" s="706">
        <f t="shared" si="11"/>
        <v>100</v>
      </c>
      <c r="V32" s="705" t="s">
        <v>14</v>
      </c>
      <c r="W32" s="706">
        <f t="shared" si="12"/>
        <v>100</v>
      </c>
      <c r="X32" s="1355"/>
      <c r="Y32" s="372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7"/>
      <c r="Q33" s="1352">
        <f t="shared" si="8"/>
        <v>111</v>
      </c>
      <c r="R33" s="708" t="s">
        <v>14</v>
      </c>
      <c r="S33" s="709">
        <f t="shared" si="10"/>
        <v>100</v>
      </c>
      <c r="T33" s="708" t="s">
        <v>14</v>
      </c>
      <c r="U33" s="709">
        <f t="shared" si="11"/>
        <v>100</v>
      </c>
      <c r="V33" s="708" t="s">
        <v>14</v>
      </c>
      <c r="W33" s="709">
        <f t="shared" si="12"/>
        <v>100</v>
      </c>
      <c r="X33" s="710"/>
      <c r="Y33" s="372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7"/>
      <c r="Q34" s="1352" t="str">
        <f>B34</f>
        <v>宗地面积</v>
      </c>
      <c r="R34" s="705" t="s">
        <v>14</v>
      </c>
      <c r="S34" s="706" t="e">
        <f t="shared" si="10"/>
        <v>#N/A</v>
      </c>
      <c r="T34" s="705" t="s">
        <v>14</v>
      </c>
      <c r="U34" s="706" t="e">
        <f t="shared" si="11"/>
        <v>#N/A</v>
      </c>
      <c r="V34" s="705" t="s">
        <v>14</v>
      </c>
      <c r="W34" s="706" t="e">
        <f t="shared" si="12"/>
        <v>#N/A</v>
      </c>
      <c r="X34" s="1355"/>
      <c r="Y34" s="372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7"/>
      <c r="Q35" s="1352" t="str">
        <f t="shared" ref="Q35:Q40" si="14">B35</f>
        <v>宗地形状</v>
      </c>
      <c r="R35" s="705" t="s">
        <v>14</v>
      </c>
      <c r="S35" s="706">
        <f t="shared" si="10"/>
        <v>100</v>
      </c>
      <c r="T35" s="705" t="s">
        <v>14</v>
      </c>
      <c r="U35" s="706">
        <f t="shared" si="11"/>
        <v>100</v>
      </c>
      <c r="V35" s="705" t="s">
        <v>14</v>
      </c>
      <c r="W35" s="706">
        <f t="shared" si="12"/>
        <v>100</v>
      </c>
      <c r="X35" s="1355"/>
      <c r="Y35" s="372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7"/>
      <c r="Q36" s="1352" t="str">
        <f t="shared" si="14"/>
        <v>宗地开发程度</v>
      </c>
      <c r="R36" s="701" t="s">
        <v>14</v>
      </c>
      <c r="S36" s="702">
        <f t="shared" si="10"/>
        <v>100</v>
      </c>
      <c r="T36" s="701" t="s">
        <v>14</v>
      </c>
      <c r="U36" s="702">
        <f t="shared" si="11"/>
        <v>100</v>
      </c>
      <c r="V36" s="701" t="s">
        <v>14</v>
      </c>
      <c r="W36" s="702">
        <f t="shared" si="12"/>
        <v>100</v>
      </c>
      <c r="X36" s="703"/>
      <c r="Y36" s="372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7" t="s">
        <v>1696</v>
      </c>
      <c r="Q37" s="1352" t="str">
        <f t="shared" si="14"/>
        <v>工程地质条件</v>
      </c>
      <c r="R37" s="705" t="s">
        <v>14</v>
      </c>
      <c r="S37" s="706">
        <f t="shared" si="10"/>
        <v>100</v>
      </c>
      <c r="T37" s="705" t="s">
        <v>14</v>
      </c>
      <c r="U37" s="706">
        <f t="shared" si="11"/>
        <v>100</v>
      </c>
      <c r="V37" s="705" t="s">
        <v>14</v>
      </c>
      <c r="W37" s="706">
        <f t="shared" si="12"/>
        <v>100</v>
      </c>
      <c r="X37" s="1355"/>
      <c r="Y37" s="372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7"/>
      <c r="Q38" s="1352">
        <f t="shared" si="14"/>
        <v>111</v>
      </c>
      <c r="R38" s="705" t="s">
        <v>14</v>
      </c>
      <c r="S38" s="706">
        <f t="shared" si="10"/>
        <v>100</v>
      </c>
      <c r="T38" s="705" t="s">
        <v>14</v>
      </c>
      <c r="U38" s="706">
        <f t="shared" si="11"/>
        <v>100</v>
      </c>
      <c r="V38" s="705" t="s">
        <v>14</v>
      </c>
      <c r="W38" s="706">
        <f t="shared" si="12"/>
        <v>100</v>
      </c>
      <c r="X38" s="1355"/>
      <c r="Y38" s="372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7"/>
      <c r="Q39" s="1352">
        <f t="shared" si="14"/>
        <v>111</v>
      </c>
      <c r="R39" s="705" t="s">
        <v>14</v>
      </c>
      <c r="S39" s="706">
        <f t="shared" si="10"/>
        <v>100</v>
      </c>
      <c r="T39" s="705" t="s">
        <v>14</v>
      </c>
      <c r="U39" s="706">
        <f t="shared" si="11"/>
        <v>100</v>
      </c>
      <c r="V39" s="705" t="s">
        <v>14</v>
      </c>
      <c r="W39" s="706">
        <f t="shared" si="12"/>
        <v>100</v>
      </c>
      <c r="X39" s="1355"/>
      <c r="Y39" s="372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7"/>
      <c r="Q40" s="1352">
        <f t="shared" si="14"/>
        <v>111</v>
      </c>
      <c r="R40" s="708" t="s">
        <v>14</v>
      </c>
      <c r="S40" s="709">
        <f t="shared" si="10"/>
        <v>100</v>
      </c>
      <c r="T40" s="708" t="s">
        <v>14</v>
      </c>
      <c r="U40" s="709">
        <f t="shared" si="11"/>
        <v>100</v>
      </c>
      <c r="V40" s="708" t="s">
        <v>14</v>
      </c>
      <c r="W40" s="709">
        <f t="shared" si="12"/>
        <v>100</v>
      </c>
      <c r="X40" s="710"/>
      <c r="Y40" s="372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0" t="str">
        <f>A41</f>
        <v>成交单价</v>
      </c>
      <c r="Q41" s="3720"/>
      <c r="R41" s="3715">
        <f>E41</f>
        <v>0</v>
      </c>
      <c r="S41" s="3715"/>
      <c r="T41" s="3715">
        <f>G41</f>
        <v>0</v>
      </c>
      <c r="U41" s="3715"/>
      <c r="V41" s="3715">
        <f>I41</f>
        <v>0</v>
      </c>
      <c r="W41" s="371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0" t="str">
        <f>A42</f>
        <v>比较价值（元/平方米）</v>
      </c>
      <c r="Q42" s="3720"/>
      <c r="R42" s="3748" t="e">
        <f>ROUND(PRODUCT(R41,AA7:AA40),0)</f>
        <v>#DIV/0!</v>
      </c>
      <c r="S42" s="3748"/>
      <c r="T42" s="3748" t="e">
        <f>ROUND(PRODUCT(T41,AB7:AB40),0)</f>
        <v>#DIV/0!</v>
      </c>
      <c r="U42" s="3748"/>
      <c r="V42" s="3748" t="e">
        <f>ROUND(PRODUCT(V41,AC7:AC40),0)</f>
        <v>#DIV/0!</v>
      </c>
      <c r="W42" s="374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7" t="str">
        <f>A43</f>
        <v>估价对象XX用房的比较价值（楼面单价，元/平方米）</v>
      </c>
      <c r="Q43" s="3718"/>
      <c r="R43" s="3749" t="e">
        <f>ROUND(IF(D42="简单平均",AVERAGE(R42:W42),R42*F42+T42*H42+V42*J42),0)</f>
        <v>#DIV/0!</v>
      </c>
      <c r="S43" s="3749"/>
      <c r="T43" s="3749"/>
      <c r="U43" s="3749"/>
      <c r="V43" s="3749"/>
      <c r="W43" s="374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3" t="s">
        <v>1887</v>
      </c>
      <c r="H50" s="375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9317.7000000000007</v>
      </c>
      <c r="F51" s="639" t="e">
        <f t="shared" ref="F51:F60" si="15">ROUND(B51*E51/10000,0)</f>
        <v>#DIV/0!</v>
      </c>
      <c r="G51" s="3702"/>
      <c r="H51" s="372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0.7</v>
      </c>
      <c r="D52" s="945">
        <v>0.25</v>
      </c>
      <c r="E52" s="642"/>
      <c r="F52" s="639" t="e">
        <f t="shared" si="15"/>
        <v>#DIV/0!</v>
      </c>
      <c r="G52" s="3006" t="s">
        <v>1892</v>
      </c>
      <c r="H52" s="887" t="str">
        <f>项目基本情况!B37</f>
        <v>二级</v>
      </c>
      <c r="I52" s="773">
        <f>SUMIF(修正!A57:A68,H52,修正!B57:B68)</f>
        <v>0.7</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0.4</v>
      </c>
      <c r="D53" s="945">
        <v>0.25</v>
      </c>
      <c r="E53" s="642"/>
      <c r="F53" s="639" t="e">
        <f t="shared" si="15"/>
        <v>#DIV/0!</v>
      </c>
      <c r="G53" s="3007"/>
      <c r="H53" s="887" t="str">
        <f>项目基本情况!B37</f>
        <v>二级</v>
      </c>
      <c r="I53" s="773">
        <f>SUMIF(修正!A57:A68,H53,修正!C57:C68)</f>
        <v>0.4</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0.3</v>
      </c>
      <c r="D54" s="945">
        <v>0.25</v>
      </c>
      <c r="E54" s="642"/>
      <c r="F54" s="639" t="e">
        <f t="shared" si="15"/>
        <v>#DIV/0!</v>
      </c>
      <c r="G54" s="3007"/>
      <c r="H54" s="887" t="str">
        <f>项目基本情况!B37</f>
        <v>二级</v>
      </c>
      <c r="I54" s="773">
        <f>SUMIF(修正!A57:A68,H54,修正!D57:D68)</f>
        <v>0.3</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0.2</v>
      </c>
      <c r="D59" s="945">
        <v>0.25</v>
      </c>
      <c r="E59" s="217">
        <f>'数据-汇总表'!E14</f>
        <v>0</v>
      </c>
      <c r="F59" s="639" t="e">
        <f t="shared" si="15"/>
        <v>#DIV/0!</v>
      </c>
      <c r="G59" s="1987" t="s">
        <v>1892</v>
      </c>
      <c r="H59" s="887" t="str">
        <f>项目基本情况!B37</f>
        <v>二级</v>
      </c>
      <c r="I59" s="773">
        <f>SUMIF(修正!A57:A68,H59,修正!G57:G68)</f>
        <v>0.2</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3500.6</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8" t="s">
        <v>2084</v>
      </c>
      <c r="D1" s="3759"/>
      <c r="E1" s="3759"/>
      <c r="F1" s="3759"/>
      <c r="G1" s="3759"/>
      <c r="H1" s="3759"/>
      <c r="I1" s="3759"/>
      <c r="J1" s="3759"/>
      <c r="K1" s="3759"/>
      <c r="L1" s="3759"/>
      <c r="M1" s="3759"/>
      <c r="N1" s="3759"/>
      <c r="O1" s="3759"/>
      <c r="P1" s="3759"/>
      <c r="Q1" s="3759"/>
      <c r="R1" s="3759"/>
      <c r="S1" s="376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5" t="s">
        <v>27</v>
      </c>
      <c r="D22" s="3756"/>
      <c r="E22" s="3756"/>
      <c r="F22" s="3756"/>
      <c r="G22" s="3756"/>
      <c r="H22" s="3756"/>
      <c r="I22" s="3756"/>
      <c r="J22" s="3756"/>
      <c r="K22" s="3756"/>
      <c r="L22" s="3756"/>
      <c r="M22" s="3756"/>
      <c r="N22" s="3756"/>
      <c r="O22" s="3756"/>
      <c r="P22" s="3756"/>
      <c r="Q22" s="375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15865</v>
      </c>
      <c r="C2" s="2145" t="s">
        <v>2074</v>
      </c>
      <c r="D2" s="2145" t="s">
        <v>2075</v>
      </c>
      <c r="E2" s="2612">
        <f ca="1">SUMIF(E6:E13,"&lt;&gt;#ref!",E6:E13)</f>
        <v>9852.5</v>
      </c>
      <c r="F2" s="2793"/>
      <c r="G2" s="2793"/>
      <c r="H2" s="2793"/>
      <c r="I2" s="2793"/>
      <c r="J2" s="2793"/>
      <c r="K2" s="2793"/>
      <c r="L2" s="2793"/>
      <c r="M2" s="2793"/>
      <c r="N2" s="2793"/>
      <c r="O2" s="2793"/>
      <c r="P2" s="2793"/>
    </row>
    <row r="3" spans="1:16" ht="15.75">
      <c r="A3" s="2145" t="s">
        <v>2076</v>
      </c>
      <c r="B3" s="2602">
        <f ca="1">ROUND(B2*10000/E2,0)</f>
        <v>16103</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15865</v>
      </c>
      <c r="C6" s="2145" t="s">
        <v>2074</v>
      </c>
      <c r="D6" s="2793"/>
      <c r="E6" s="2612">
        <f ca="1">SUMIF(INDIRECT("'"&amp;A6&amp;"'"&amp;"!C:C"),"建筑面积",INDIRECT("'"&amp;A6&amp;"'"&amp;"!D:D"))</f>
        <v>9852.5</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2590</v>
      </c>
      <c r="B1" s="3072" t="s">
        <v>2591</v>
      </c>
      <c r="C1" s="3072" t="s">
        <v>2592</v>
      </c>
      <c r="D1" s="3072" t="s">
        <v>2593</v>
      </c>
      <c r="E1" s="3072" t="s">
        <v>2594</v>
      </c>
      <c r="F1" s="3072" t="s">
        <v>2595</v>
      </c>
      <c r="G1" s="3072" t="s">
        <v>2596</v>
      </c>
      <c r="H1" s="3072" t="s">
        <v>2597</v>
      </c>
      <c r="I1" s="3072" t="s">
        <v>2598</v>
      </c>
      <c r="J1" s="3072" t="s">
        <v>2599</v>
      </c>
      <c r="K1" s="3072" t="s">
        <v>2600</v>
      </c>
      <c r="L1" s="3072" t="s">
        <v>2601</v>
      </c>
      <c r="M1" s="3073" t="s">
        <v>2602</v>
      </c>
    </row>
    <row r="2" spans="1:13" ht="19.5" customHeight="1">
      <c r="A2" s="3075" t="s">
        <v>2603</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2604</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2605</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2606</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2607</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2608</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2609</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2610</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2611</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2612</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2613</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2614</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2615</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2616</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2617</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2618</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2619</v>
      </c>
      <c r="B18" s="3097"/>
      <c r="C18" s="3098"/>
      <c r="D18" s="3098"/>
      <c r="E18" s="3097"/>
      <c r="F18" s="3098"/>
      <c r="G18" s="3098"/>
    </row>
    <row r="19" spans="1:13" ht="19.5" customHeight="1" thickBot="1">
      <c r="A19" s="3095" t="s">
        <v>2620</v>
      </c>
      <c r="B19" s="3100" t="s">
        <v>2621</v>
      </c>
      <c r="C19" s="3100" t="s">
        <v>2622</v>
      </c>
      <c r="D19" s="3101"/>
      <c r="E19" s="3095" t="s">
        <v>2623</v>
      </c>
      <c r="F19" s="3102"/>
      <c r="G19" s="3102"/>
    </row>
    <row r="20" spans="1:13" ht="19.5" customHeight="1">
      <c r="A20" s="3768" t="s">
        <v>2603</v>
      </c>
      <c r="B20" s="3761" t="s">
        <v>2624</v>
      </c>
      <c r="C20" s="3103" t="s">
        <v>2435</v>
      </c>
      <c r="D20" s="3104"/>
      <c r="E20" s="3105">
        <v>1</v>
      </c>
      <c r="F20" s="3106" t="s">
        <v>2436</v>
      </c>
      <c r="G20" s="3106"/>
    </row>
    <row r="21" spans="1:13" ht="19.5" customHeight="1">
      <c r="A21" s="3769"/>
      <c r="B21" s="3762"/>
      <c r="C21" s="3107" t="s">
        <v>2437</v>
      </c>
      <c r="D21" s="3108"/>
      <c r="E21" s="3109">
        <v>1</v>
      </c>
      <c r="F21" s="3106" t="s">
        <v>2438</v>
      </c>
      <c r="G21" s="3106"/>
    </row>
    <row r="22" spans="1:13" ht="19.5" customHeight="1">
      <c r="A22" s="3769"/>
      <c r="B22" s="3762"/>
      <c r="C22" s="3107" t="s">
        <v>2439</v>
      </c>
      <c r="D22" s="3108"/>
      <c r="E22" s="3109">
        <v>0.9</v>
      </c>
      <c r="F22" s="3106" t="s">
        <v>2440</v>
      </c>
      <c r="G22" s="3106"/>
    </row>
    <row r="23" spans="1:13" ht="19.5" customHeight="1">
      <c r="A23" s="3769"/>
      <c r="B23" s="3762"/>
      <c r="C23" s="3107" t="s">
        <v>2441</v>
      </c>
      <c r="D23" s="3108"/>
      <c r="E23" s="3109">
        <v>0.9</v>
      </c>
      <c r="F23" s="3106" t="s">
        <v>2442</v>
      </c>
      <c r="G23" s="3106"/>
    </row>
    <row r="24" spans="1:13" ht="19.5" customHeight="1">
      <c r="A24" s="3769"/>
      <c r="B24" s="3762"/>
      <c r="C24" s="3107" t="s">
        <v>2443</v>
      </c>
      <c r="D24" s="3108"/>
      <c r="E24" s="3109">
        <v>0.8</v>
      </c>
      <c r="F24" s="3106" t="s">
        <v>2444</v>
      </c>
      <c r="G24" s="3106"/>
    </row>
    <row r="25" spans="1:13" ht="19.5" customHeight="1" thickBot="1">
      <c r="A25" s="3770"/>
      <c r="B25" s="3763"/>
      <c r="C25" s="3110" t="s">
        <v>2445</v>
      </c>
      <c r="D25" s="3111"/>
      <c r="E25" s="3112">
        <v>0.8</v>
      </c>
      <c r="F25" s="3106" t="s">
        <v>2446</v>
      </c>
      <c r="G25" s="3106"/>
    </row>
    <row r="26" spans="1:13" ht="19.5" customHeight="1" thickBot="1">
      <c r="A26" s="3113" t="s">
        <v>2625</v>
      </c>
      <c r="B26" s="3114" t="s">
        <v>2624</v>
      </c>
      <c r="C26" s="3115" t="s">
        <v>2626</v>
      </c>
      <c r="D26" s="3116"/>
      <c r="E26" s="3117">
        <v>1</v>
      </c>
      <c r="F26" s="3106" t="s">
        <v>2447</v>
      </c>
      <c r="G26" s="3106"/>
    </row>
    <row r="27" spans="1:13" ht="19.5" customHeight="1">
      <c r="A27" s="3764" t="s">
        <v>2627</v>
      </c>
      <c r="B27" s="3761" t="s">
        <v>2608</v>
      </c>
      <c r="C27" s="3103" t="s">
        <v>2448</v>
      </c>
      <c r="D27" s="3104"/>
      <c r="E27" s="3105">
        <v>1</v>
      </c>
      <c r="F27" s="3106" t="s">
        <v>2449</v>
      </c>
      <c r="G27" s="3106"/>
    </row>
    <row r="28" spans="1:13" ht="19.5" customHeight="1">
      <c r="A28" s="3765"/>
      <c r="B28" s="3762"/>
      <c r="C28" s="3107" t="s">
        <v>2450</v>
      </c>
      <c r="D28" s="3108"/>
      <c r="E28" s="3109">
        <v>1</v>
      </c>
      <c r="F28" s="3106" t="s">
        <v>2451</v>
      </c>
      <c r="G28" s="3106"/>
    </row>
    <row r="29" spans="1:13" ht="19.5" customHeight="1">
      <c r="A29" s="3765"/>
      <c r="B29" s="3762"/>
      <c r="C29" s="3107" t="s">
        <v>2452</v>
      </c>
      <c r="D29" s="3108"/>
      <c r="E29" s="3109">
        <v>0.8</v>
      </c>
      <c r="F29" s="3106" t="s">
        <v>2453</v>
      </c>
      <c r="G29" s="3106"/>
    </row>
    <row r="30" spans="1:13" ht="19.5" customHeight="1">
      <c r="A30" s="3765"/>
      <c r="B30" s="3762"/>
      <c r="C30" s="3107" t="s">
        <v>2454</v>
      </c>
      <c r="D30" s="3108"/>
      <c r="E30" s="3109">
        <v>0.8</v>
      </c>
      <c r="F30" s="3106" t="s">
        <v>2455</v>
      </c>
      <c r="G30" s="3106"/>
    </row>
    <row r="31" spans="1:13" ht="19.5" customHeight="1">
      <c r="A31" s="3765"/>
      <c r="B31" s="3762"/>
      <c r="C31" s="3107" t="s">
        <v>2456</v>
      </c>
      <c r="D31" s="3108"/>
      <c r="E31" s="3109">
        <v>0.8</v>
      </c>
      <c r="F31" s="3106" t="s">
        <v>2457</v>
      </c>
      <c r="G31" s="3106"/>
    </row>
    <row r="32" spans="1:13" ht="19.5" customHeight="1">
      <c r="A32" s="3765"/>
      <c r="B32" s="3762"/>
      <c r="C32" s="3107" t="s">
        <v>2458</v>
      </c>
      <c r="D32" s="3108"/>
      <c r="E32" s="3109">
        <v>0.7</v>
      </c>
      <c r="F32" s="3106" t="s">
        <v>2459</v>
      </c>
      <c r="G32" s="3106"/>
    </row>
    <row r="33" spans="1:7" ht="19.5" customHeight="1">
      <c r="A33" s="3765"/>
      <c r="B33" s="3762"/>
      <c r="C33" s="3107" t="s">
        <v>2460</v>
      </c>
      <c r="D33" s="3108"/>
      <c r="E33" s="3109">
        <v>0.8</v>
      </c>
      <c r="F33" s="3106" t="s">
        <v>2461</v>
      </c>
      <c r="G33" s="3106"/>
    </row>
    <row r="34" spans="1:7" ht="19.5" customHeight="1">
      <c r="A34" s="3765"/>
      <c r="B34" s="3762"/>
      <c r="C34" s="3107" t="s">
        <v>2462</v>
      </c>
      <c r="D34" s="3108"/>
      <c r="E34" s="3109">
        <v>0.6</v>
      </c>
      <c r="F34" s="3106" t="s">
        <v>2463</v>
      </c>
      <c r="G34" s="3106"/>
    </row>
    <row r="35" spans="1:7" ht="19.5" customHeight="1">
      <c r="A35" s="3765"/>
      <c r="B35" s="3762"/>
      <c r="C35" s="3107" t="s">
        <v>2464</v>
      </c>
      <c r="D35" s="3108"/>
      <c r="E35" s="3109">
        <v>0.2</v>
      </c>
      <c r="F35" s="3106" t="s">
        <v>2465</v>
      </c>
      <c r="G35" s="3106"/>
    </row>
    <row r="36" spans="1:7" ht="19.5" customHeight="1">
      <c r="A36" s="3765"/>
      <c r="B36" s="3762"/>
      <c r="C36" s="3107" t="s">
        <v>2466</v>
      </c>
      <c r="D36" s="3108"/>
      <c r="E36" s="3109">
        <v>0.2</v>
      </c>
      <c r="F36" s="3106" t="s">
        <v>2467</v>
      </c>
      <c r="G36" s="3106"/>
    </row>
    <row r="37" spans="1:7" ht="19.5" customHeight="1">
      <c r="A37" s="3765"/>
      <c r="B37" s="3767" t="s">
        <v>2628</v>
      </c>
      <c r="C37" s="3107" t="s">
        <v>2468</v>
      </c>
      <c r="D37" s="3108"/>
      <c r="E37" s="3109">
        <v>0.6</v>
      </c>
      <c r="F37" s="3106" t="s">
        <v>2469</v>
      </c>
      <c r="G37" s="3106"/>
    </row>
    <row r="38" spans="1:7" ht="19.5" customHeight="1">
      <c r="A38" s="3765"/>
      <c r="B38" s="3762"/>
      <c r="C38" s="3107" t="s">
        <v>2470</v>
      </c>
      <c r="D38" s="3108"/>
      <c r="E38" s="3109">
        <v>0.6</v>
      </c>
      <c r="F38" s="3106" t="s">
        <v>2471</v>
      </c>
      <c r="G38" s="3106"/>
    </row>
    <row r="39" spans="1:7" ht="19.5" customHeight="1" thickBot="1">
      <c r="A39" s="3766"/>
      <c r="B39" s="3763"/>
      <c r="C39" s="3110" t="s">
        <v>2472</v>
      </c>
      <c r="D39" s="3111"/>
      <c r="E39" s="3112">
        <v>0.6</v>
      </c>
      <c r="F39" s="3106" t="s">
        <v>2473</v>
      </c>
      <c r="G39" s="3106"/>
    </row>
    <row r="40" spans="1:7" ht="19.5" customHeight="1" thickBot="1">
      <c r="A40" s="3113" t="s">
        <v>2605</v>
      </c>
      <c r="B40" s="3114" t="s">
        <v>2605</v>
      </c>
      <c r="C40" s="3115" t="s">
        <v>2629</v>
      </c>
      <c r="D40" s="3116"/>
      <c r="E40" s="3117">
        <v>1</v>
      </c>
      <c r="F40" s="3106" t="s">
        <v>2474</v>
      </c>
      <c r="G40" s="3106"/>
    </row>
    <row r="41" spans="1:7" ht="19.5" customHeight="1">
      <c r="A41" s="3768" t="s">
        <v>2606</v>
      </c>
      <c r="B41" s="3761" t="s">
        <v>2630</v>
      </c>
      <c r="C41" s="3103" t="s">
        <v>2475</v>
      </c>
      <c r="D41" s="3104"/>
      <c r="E41" s="3105">
        <v>1</v>
      </c>
      <c r="F41" s="3106" t="s">
        <v>2476</v>
      </c>
      <c r="G41" s="3106"/>
    </row>
    <row r="42" spans="1:7" ht="19.5" customHeight="1">
      <c r="A42" s="3769"/>
      <c r="B42" s="3762"/>
      <c r="C42" s="3107" t="s">
        <v>2477</v>
      </c>
      <c r="D42" s="3108"/>
      <c r="E42" s="3109">
        <v>1</v>
      </c>
      <c r="F42" s="3106" t="s">
        <v>2478</v>
      </c>
      <c r="G42" s="3106"/>
    </row>
    <row r="43" spans="1:7" ht="19.5" customHeight="1">
      <c r="A43" s="3769"/>
      <c r="B43" s="3771"/>
      <c r="C43" s="3107" t="s">
        <v>2479</v>
      </c>
      <c r="D43" s="3108"/>
      <c r="E43" s="3109">
        <v>1.5</v>
      </c>
      <c r="F43" s="3106" t="s">
        <v>2480</v>
      </c>
      <c r="G43" s="3106"/>
    </row>
    <row r="44" spans="1:7" ht="19.5" customHeight="1">
      <c r="A44" s="3769"/>
      <c r="B44" s="3118" t="s">
        <v>2631</v>
      </c>
      <c r="C44" s="3107" t="s">
        <v>2632</v>
      </c>
      <c r="D44" s="3108"/>
      <c r="E44" s="3109">
        <v>2</v>
      </c>
      <c r="F44" s="3106" t="s">
        <v>2481</v>
      </c>
      <c r="G44" s="3106"/>
    </row>
    <row r="45" spans="1:7" ht="19.5" customHeight="1">
      <c r="A45" s="3769"/>
      <c r="B45" s="3767" t="s">
        <v>2633</v>
      </c>
      <c r="C45" s="3107" t="s">
        <v>2482</v>
      </c>
      <c r="D45" s="3108"/>
      <c r="E45" s="3109">
        <v>1</v>
      </c>
      <c r="F45" s="3106" t="s">
        <v>2483</v>
      </c>
      <c r="G45" s="3106"/>
    </row>
    <row r="46" spans="1:7" ht="19.5" customHeight="1">
      <c r="A46" s="3769"/>
      <c r="B46" s="3762"/>
      <c r="C46" s="3107" t="s">
        <v>2484</v>
      </c>
      <c r="D46" s="3108"/>
      <c r="E46" s="3109">
        <v>1</v>
      </c>
      <c r="F46" s="3106" t="s">
        <v>2485</v>
      </c>
      <c r="G46" s="3106"/>
    </row>
    <row r="47" spans="1:7" ht="19.5" customHeight="1">
      <c r="A47" s="3769"/>
      <c r="B47" s="3762"/>
      <c r="C47" s="3107" t="s">
        <v>2486</v>
      </c>
      <c r="D47" s="3108"/>
      <c r="E47" s="3109">
        <v>1</v>
      </c>
      <c r="F47" s="3106" t="s">
        <v>2487</v>
      </c>
      <c r="G47" s="3106"/>
    </row>
    <row r="48" spans="1:7" ht="19.5" customHeight="1">
      <c r="A48" s="3769"/>
      <c r="B48" s="3762"/>
      <c r="C48" s="3107" t="s">
        <v>2488</v>
      </c>
      <c r="D48" s="3108"/>
      <c r="E48" s="3109">
        <v>1</v>
      </c>
      <c r="F48" s="3106" t="s">
        <v>2489</v>
      </c>
      <c r="G48" s="3106"/>
    </row>
    <row r="49" spans="1:7" ht="19.5" customHeight="1">
      <c r="A49" s="3769"/>
      <c r="B49" s="3762"/>
      <c r="C49" s="3107" t="s">
        <v>2490</v>
      </c>
      <c r="D49" s="3108"/>
      <c r="E49" s="3109">
        <v>1</v>
      </c>
      <c r="F49" s="3106" t="s">
        <v>2491</v>
      </c>
      <c r="G49" s="3106"/>
    </row>
    <row r="50" spans="1:7" ht="19.5" customHeight="1">
      <c r="A50" s="3769"/>
      <c r="B50" s="3762"/>
      <c r="C50" s="3107" t="s">
        <v>2492</v>
      </c>
      <c r="D50" s="3108"/>
      <c r="E50" s="3109">
        <v>1</v>
      </c>
      <c r="F50" s="3106" t="s">
        <v>2493</v>
      </c>
      <c r="G50" s="3106"/>
    </row>
    <row r="51" spans="1:7" ht="19.5" customHeight="1" thickBot="1">
      <c r="A51" s="3770"/>
      <c r="B51" s="3763"/>
      <c r="C51" s="3110" t="s">
        <v>2494</v>
      </c>
      <c r="D51" s="3111"/>
      <c r="E51" s="3112">
        <v>1</v>
      </c>
      <c r="F51" s="3106" t="s">
        <v>2495</v>
      </c>
      <c r="G51" s="3106"/>
    </row>
    <row r="52" spans="1:7" ht="19.5" customHeight="1">
      <c r="A52" s="3119"/>
      <c r="B52" s="3119"/>
      <c r="C52" s="3119"/>
      <c r="D52" s="3119"/>
      <c r="E52" s="3119"/>
      <c r="F52" s="3119"/>
      <c r="G52" s="3119"/>
    </row>
    <row r="54" spans="1:7" ht="19.5" customHeight="1">
      <c r="A54" s="3120"/>
      <c r="B54" s="3092" t="s">
        <v>2634</v>
      </c>
      <c r="C54" s="3092" t="s">
        <v>2634</v>
      </c>
      <c r="D54" s="3092" t="s">
        <v>2634</v>
      </c>
      <c r="E54" s="3095" t="s">
        <v>2634</v>
      </c>
      <c r="F54" s="3095" t="s">
        <v>2635</v>
      </c>
      <c r="G54" s="3095" t="s">
        <v>2636</v>
      </c>
    </row>
    <row r="55" spans="1:7" ht="19.5" customHeight="1">
      <c r="A55" s="3121"/>
      <c r="B55" s="3095" t="s">
        <v>2603</v>
      </c>
      <c r="C55" s="3095" t="s">
        <v>2603</v>
      </c>
      <c r="D55" s="3095" t="s">
        <v>2603</v>
      </c>
      <c r="E55" s="3092" t="s">
        <v>2604</v>
      </c>
      <c r="F55" s="3092" t="s">
        <v>2606</v>
      </c>
      <c r="G55" s="3092" t="s">
        <v>2637</v>
      </c>
    </row>
    <row r="56" spans="1:7" ht="19.5" customHeight="1">
      <c r="A56" s="3122"/>
      <c r="B56" s="3092">
        <v>1</v>
      </c>
      <c r="C56" s="3092">
        <v>2</v>
      </c>
      <c r="D56" s="3092">
        <v>3</v>
      </c>
      <c r="E56" s="3123" t="s">
        <v>2638</v>
      </c>
      <c r="F56" s="3123" t="s">
        <v>2638</v>
      </c>
      <c r="G56" s="3123" t="s">
        <v>2638</v>
      </c>
    </row>
    <row r="57" spans="1:7" ht="19.5" customHeight="1">
      <c r="A57" s="3124" t="s">
        <v>2591</v>
      </c>
      <c r="B57" s="3092">
        <v>0.7</v>
      </c>
      <c r="C57" s="3092">
        <v>0.4</v>
      </c>
      <c r="D57" s="3092">
        <v>0.3</v>
      </c>
      <c r="E57" s="3123">
        <v>0.3</v>
      </c>
      <c r="F57" s="3092">
        <v>0.3</v>
      </c>
      <c r="G57" s="3092">
        <v>0.2</v>
      </c>
    </row>
    <row r="58" spans="1:7" ht="19.5" customHeight="1">
      <c r="A58" s="3124" t="s">
        <v>2592</v>
      </c>
      <c r="B58" s="3092">
        <v>0.7</v>
      </c>
      <c r="C58" s="3092">
        <v>0.4</v>
      </c>
      <c r="D58" s="3092">
        <v>0.3</v>
      </c>
      <c r="E58" s="3092">
        <v>0.3</v>
      </c>
      <c r="F58" s="3092">
        <v>0.3</v>
      </c>
      <c r="G58" s="3092">
        <v>0.2</v>
      </c>
    </row>
    <row r="59" spans="1:7" ht="19.5" customHeight="1">
      <c r="A59" s="3124" t="s">
        <v>2593</v>
      </c>
      <c r="B59" s="3092">
        <v>0.6</v>
      </c>
      <c r="C59" s="3092">
        <v>0.3</v>
      </c>
      <c r="D59" s="3092">
        <v>0.25</v>
      </c>
      <c r="E59" s="3092">
        <v>0.25</v>
      </c>
      <c r="F59" s="3092">
        <v>0.25</v>
      </c>
      <c r="G59" s="3092">
        <v>0.15</v>
      </c>
    </row>
    <row r="60" spans="1:7" ht="19.5" customHeight="1">
      <c r="A60" s="3124" t="s">
        <v>2594</v>
      </c>
      <c r="B60" s="3092">
        <v>0.6</v>
      </c>
      <c r="C60" s="3092">
        <v>0.3</v>
      </c>
      <c r="D60" s="3092">
        <v>0.25</v>
      </c>
      <c r="E60" s="3092">
        <v>0.25</v>
      </c>
      <c r="F60" s="3092">
        <v>0.25</v>
      </c>
      <c r="G60" s="3092">
        <v>0.15</v>
      </c>
    </row>
    <row r="61" spans="1:7" ht="19.5" customHeight="1">
      <c r="A61" s="3124" t="s">
        <v>2595</v>
      </c>
      <c r="B61" s="3092">
        <v>0.6</v>
      </c>
      <c r="C61" s="3092">
        <v>0.3</v>
      </c>
      <c r="D61" s="3092">
        <v>0.25</v>
      </c>
      <c r="E61" s="3092">
        <v>0.25</v>
      </c>
      <c r="F61" s="3092">
        <v>0.25</v>
      </c>
      <c r="G61" s="3092">
        <v>0.15</v>
      </c>
    </row>
    <row r="62" spans="1:7" ht="19.5" customHeight="1">
      <c r="A62" s="3124" t="s">
        <v>2596</v>
      </c>
      <c r="B62" s="3092">
        <v>0.6</v>
      </c>
      <c r="C62" s="3092">
        <v>0.3</v>
      </c>
      <c r="D62" s="3092">
        <v>0.25</v>
      </c>
      <c r="E62" s="3092">
        <v>0.25</v>
      </c>
      <c r="F62" s="3092">
        <v>0.25</v>
      </c>
      <c r="G62" s="3092">
        <v>0.15</v>
      </c>
    </row>
    <row r="63" spans="1:7" ht="19.5" customHeight="1">
      <c r="A63" s="3124" t="s">
        <v>2597</v>
      </c>
      <c r="B63" s="3092">
        <v>0.6</v>
      </c>
      <c r="C63" s="3092">
        <v>0.3</v>
      </c>
      <c r="D63" s="3092">
        <v>0.25</v>
      </c>
      <c r="E63" s="3092">
        <v>0.25</v>
      </c>
      <c r="F63" s="3092">
        <v>0.25</v>
      </c>
      <c r="G63" s="3092">
        <v>0.15</v>
      </c>
    </row>
    <row r="64" spans="1:7" ht="19.5" customHeight="1">
      <c r="A64" s="3124" t="s">
        <v>2598</v>
      </c>
      <c r="B64" s="3092">
        <v>0.5</v>
      </c>
      <c r="C64" s="3092">
        <v>0.2</v>
      </c>
      <c r="D64" s="3092">
        <v>0.2</v>
      </c>
      <c r="E64" s="3092">
        <v>0.2</v>
      </c>
      <c r="F64" s="3092">
        <v>0.2</v>
      </c>
      <c r="G64" s="3092">
        <v>0.1</v>
      </c>
    </row>
    <row r="65" spans="1:7" ht="19.5" customHeight="1">
      <c r="A65" s="3124" t="s">
        <v>2599</v>
      </c>
      <c r="B65" s="3092">
        <v>0.5</v>
      </c>
      <c r="C65" s="3092">
        <v>0.2</v>
      </c>
      <c r="D65" s="3092">
        <v>0.2</v>
      </c>
      <c r="E65" s="3092">
        <v>0.2</v>
      </c>
      <c r="F65" s="3092">
        <v>0.2</v>
      </c>
      <c r="G65" s="3092">
        <v>0.1</v>
      </c>
    </row>
    <row r="66" spans="1:7" ht="19.5" customHeight="1">
      <c r="A66" s="3124" t="s">
        <v>2600</v>
      </c>
      <c r="B66" s="3092">
        <v>0.5</v>
      </c>
      <c r="C66" s="3092">
        <v>0.2</v>
      </c>
      <c r="D66" s="3092">
        <v>0.2</v>
      </c>
      <c r="E66" s="3092">
        <v>0.2</v>
      </c>
      <c r="F66" s="3092">
        <v>0.2</v>
      </c>
      <c r="G66" s="3092">
        <v>0.1</v>
      </c>
    </row>
    <row r="67" spans="1:7" ht="19.5" customHeight="1">
      <c r="A67" s="3124" t="s">
        <v>2601</v>
      </c>
      <c r="B67" s="3092">
        <v>0.5</v>
      </c>
      <c r="C67" s="3092">
        <v>0.2</v>
      </c>
      <c r="D67" s="3092">
        <v>0.2</v>
      </c>
      <c r="E67" s="3092">
        <v>0.2</v>
      </c>
      <c r="F67" s="3092">
        <v>0.2</v>
      </c>
      <c r="G67" s="3092">
        <v>0.1</v>
      </c>
    </row>
    <row r="68" spans="1:7" ht="19.5" customHeight="1">
      <c r="A68" s="3124" t="s">
        <v>2602</v>
      </c>
      <c r="B68" s="3092">
        <v>0.5</v>
      </c>
      <c r="C68" s="3092">
        <v>0.2</v>
      </c>
      <c r="D68" s="3092">
        <v>0.2</v>
      </c>
      <c r="E68" s="3092">
        <v>0.2</v>
      </c>
      <c r="F68" s="3092">
        <v>0.2</v>
      </c>
      <c r="G68" s="3092">
        <v>0.1</v>
      </c>
    </row>
    <row r="70" spans="1:7" ht="19.5" customHeight="1">
      <c r="A70" s="3125"/>
      <c r="B70" s="3126"/>
      <c r="C70" s="3126"/>
      <c r="D70" s="3126" t="s">
        <v>2639</v>
      </c>
      <c r="E70" s="3126"/>
      <c r="F70" s="3126"/>
    </row>
    <row r="71" spans="1:7" ht="19.5" customHeight="1">
      <c r="A71" s="3118" t="s">
        <v>2640</v>
      </c>
      <c r="B71" s="3118" t="s">
        <v>2641</v>
      </c>
      <c r="C71" s="3118" t="s">
        <v>2642</v>
      </c>
      <c r="D71" s="3118" t="s">
        <v>2643</v>
      </c>
      <c r="E71" s="3118" t="s">
        <v>2644</v>
      </c>
      <c r="F71" s="3118" t="s">
        <v>2645</v>
      </c>
    </row>
    <row r="72" spans="1:7" ht="13.5">
      <c r="A72" s="3118"/>
      <c r="B72" s="3118"/>
      <c r="C72" s="3118" t="s">
        <v>2646</v>
      </c>
      <c r="D72" s="3118"/>
      <c r="E72" s="3118" t="s">
        <v>2617</v>
      </c>
      <c r="F72" s="3118" t="s">
        <v>2617</v>
      </c>
    </row>
    <row r="73" spans="1:7" ht="13.5">
      <c r="A73" s="3118">
        <v>1</v>
      </c>
      <c r="B73" s="3767" t="s">
        <v>2647</v>
      </c>
      <c r="C73" s="3092" t="s">
        <v>2648</v>
      </c>
      <c r="D73" s="3092" t="s">
        <v>2649</v>
      </c>
      <c r="E73" s="3118">
        <v>0.2</v>
      </c>
      <c r="F73" s="3118">
        <v>25</v>
      </c>
    </row>
    <row r="74" spans="1:7" ht="24">
      <c r="A74" s="3118">
        <v>2</v>
      </c>
      <c r="B74" s="3762"/>
      <c r="C74" s="3092" t="s">
        <v>2650</v>
      </c>
      <c r="D74" s="3092" t="s">
        <v>2651</v>
      </c>
      <c r="E74" s="3118">
        <v>0.2</v>
      </c>
      <c r="F74" s="3118">
        <v>25</v>
      </c>
    </row>
    <row r="75" spans="1:7" ht="24">
      <c r="A75" s="3118">
        <v>3</v>
      </c>
      <c r="B75" s="3762"/>
      <c r="C75" s="3092" t="s">
        <v>2652</v>
      </c>
      <c r="D75" s="3092" t="s">
        <v>2653</v>
      </c>
      <c r="E75" s="3118">
        <v>0.2</v>
      </c>
      <c r="F75" s="3118">
        <v>25</v>
      </c>
    </row>
    <row r="76" spans="1:7" ht="13.5">
      <c r="A76" s="3118">
        <v>4</v>
      </c>
      <c r="B76" s="3762"/>
      <c r="C76" s="3092" t="s">
        <v>2654</v>
      </c>
      <c r="D76" s="3092" t="s">
        <v>2655</v>
      </c>
      <c r="E76" s="3118">
        <v>0.15</v>
      </c>
      <c r="F76" s="3118">
        <v>20</v>
      </c>
    </row>
    <row r="77" spans="1:7" ht="24">
      <c r="A77" s="3118">
        <v>5</v>
      </c>
      <c r="B77" s="3762"/>
      <c r="C77" s="3092" t="s">
        <v>2656</v>
      </c>
      <c r="D77" s="3092" t="s">
        <v>2657</v>
      </c>
      <c r="E77" s="3118">
        <v>0.15</v>
      </c>
      <c r="F77" s="3118">
        <v>20</v>
      </c>
    </row>
    <row r="78" spans="1:7" ht="24">
      <c r="A78" s="3118">
        <v>6</v>
      </c>
      <c r="B78" s="3762"/>
      <c r="C78" s="3092" t="s">
        <v>2658</v>
      </c>
      <c r="D78" s="3092" t="s">
        <v>2659</v>
      </c>
      <c r="E78" s="3118">
        <v>0.15</v>
      </c>
      <c r="F78" s="3118">
        <v>20</v>
      </c>
    </row>
    <row r="79" spans="1:7" ht="24">
      <c r="A79" s="3118">
        <v>7</v>
      </c>
      <c r="B79" s="3762"/>
      <c r="C79" s="3092" t="s">
        <v>2660</v>
      </c>
      <c r="D79" s="3092" t="s">
        <v>2661</v>
      </c>
      <c r="E79" s="3118">
        <v>0.15</v>
      </c>
      <c r="F79" s="3118">
        <v>20</v>
      </c>
    </row>
    <row r="80" spans="1:7" ht="24">
      <c r="A80" s="3118">
        <v>8</v>
      </c>
      <c r="B80" s="3762"/>
      <c r="C80" s="3092" t="s">
        <v>2662</v>
      </c>
      <c r="D80" s="3092" t="s">
        <v>2663</v>
      </c>
      <c r="E80" s="3118">
        <v>0.1</v>
      </c>
      <c r="F80" s="3118">
        <v>15</v>
      </c>
    </row>
    <row r="81" spans="1:6" ht="24">
      <c r="A81" s="3118">
        <v>9</v>
      </c>
      <c r="B81" s="3762"/>
      <c r="C81" s="3092" t="s">
        <v>2664</v>
      </c>
      <c r="D81" s="3092" t="s">
        <v>2665</v>
      </c>
      <c r="E81" s="3118">
        <v>0.1</v>
      </c>
      <c r="F81" s="3118">
        <v>15</v>
      </c>
    </row>
    <row r="82" spans="1:6" ht="24">
      <c r="A82" s="3118">
        <v>10</v>
      </c>
      <c r="B82" s="3762"/>
      <c r="C82" s="3092" t="s">
        <v>2666</v>
      </c>
      <c r="D82" s="3092" t="s">
        <v>2667</v>
      </c>
      <c r="E82" s="3118">
        <v>0.1</v>
      </c>
      <c r="F82" s="3118">
        <v>15</v>
      </c>
    </row>
    <row r="83" spans="1:6" ht="24">
      <c r="A83" s="3118">
        <v>11</v>
      </c>
      <c r="B83" s="3762"/>
      <c r="C83" s="3092" t="s">
        <v>2668</v>
      </c>
      <c r="D83" s="3092" t="s">
        <v>2669</v>
      </c>
      <c r="E83" s="3118">
        <v>0.1</v>
      </c>
      <c r="F83" s="3118">
        <v>15</v>
      </c>
    </row>
    <row r="84" spans="1:6" ht="24">
      <c r="A84" s="3118">
        <v>12</v>
      </c>
      <c r="B84" s="3762"/>
      <c r="C84" s="3092" t="s">
        <v>2670</v>
      </c>
      <c r="D84" s="3092" t="s">
        <v>2671</v>
      </c>
      <c r="E84" s="3118">
        <v>0.1</v>
      </c>
      <c r="F84" s="3118">
        <v>15</v>
      </c>
    </row>
    <row r="85" spans="1:6" ht="13.5">
      <c r="A85" s="3118">
        <v>13</v>
      </c>
      <c r="B85" s="3762"/>
      <c r="C85" s="3092" t="s">
        <v>2672</v>
      </c>
      <c r="D85" s="3092" t="s">
        <v>2673</v>
      </c>
      <c r="E85" s="3118">
        <v>0.1</v>
      </c>
      <c r="F85" s="3118">
        <v>15</v>
      </c>
    </row>
    <row r="86" spans="1:6" ht="13.5">
      <c r="A86" s="3118">
        <v>14</v>
      </c>
      <c r="B86" s="3762"/>
      <c r="C86" s="3092" t="s">
        <v>2674</v>
      </c>
      <c r="D86" s="3092" t="s">
        <v>2675</v>
      </c>
      <c r="E86" s="3118">
        <v>0.1</v>
      </c>
      <c r="F86" s="3118">
        <v>15</v>
      </c>
    </row>
    <row r="87" spans="1:6" ht="13.5">
      <c r="A87" s="3118">
        <v>15</v>
      </c>
      <c r="B87" s="3762"/>
      <c r="C87" s="3092" t="s">
        <v>2676</v>
      </c>
      <c r="D87" s="3092" t="s">
        <v>2677</v>
      </c>
      <c r="E87" s="3118">
        <v>0.1</v>
      </c>
      <c r="F87" s="3118">
        <v>15</v>
      </c>
    </row>
    <row r="88" spans="1:6" ht="24">
      <c r="A88" s="3118">
        <v>16</v>
      </c>
      <c r="B88" s="3762"/>
      <c r="C88" s="3092" t="s">
        <v>2678</v>
      </c>
      <c r="D88" s="3092" t="s">
        <v>2679</v>
      </c>
      <c r="E88" s="3118">
        <v>0.1</v>
      </c>
      <c r="F88" s="3118">
        <v>15</v>
      </c>
    </row>
    <row r="89" spans="1:6" ht="24">
      <c r="A89" s="3118">
        <v>17</v>
      </c>
      <c r="B89" s="3771"/>
      <c r="C89" s="3092" t="s">
        <v>2680</v>
      </c>
      <c r="D89" s="3092" t="s">
        <v>2681</v>
      </c>
      <c r="E89" s="3118">
        <v>0.1</v>
      </c>
      <c r="F89" s="3118">
        <v>15</v>
      </c>
    </row>
    <row r="90" spans="1:6" ht="13.5">
      <c r="A90" s="3118">
        <v>18</v>
      </c>
      <c r="B90" s="3767" t="s">
        <v>2682</v>
      </c>
      <c r="C90" s="3092" t="s">
        <v>2683</v>
      </c>
      <c r="D90" s="3092" t="s">
        <v>2684</v>
      </c>
      <c r="E90" s="3118">
        <v>0.2</v>
      </c>
      <c r="F90" s="3118">
        <v>25</v>
      </c>
    </row>
    <row r="91" spans="1:6" ht="24">
      <c r="A91" s="3118">
        <v>19</v>
      </c>
      <c r="B91" s="3762"/>
      <c r="C91" s="3092" t="s">
        <v>2685</v>
      </c>
      <c r="D91" s="3092" t="s">
        <v>2686</v>
      </c>
      <c r="E91" s="3118">
        <v>0.2</v>
      </c>
      <c r="F91" s="3118">
        <v>25</v>
      </c>
    </row>
    <row r="92" spans="1:6" ht="13.5">
      <c r="A92" s="3118">
        <v>20</v>
      </c>
      <c r="B92" s="3762"/>
      <c r="C92" s="3092" t="s">
        <v>2687</v>
      </c>
      <c r="D92" s="3092" t="s">
        <v>2688</v>
      </c>
      <c r="E92" s="3118">
        <v>0.15</v>
      </c>
      <c r="F92" s="3118">
        <v>20</v>
      </c>
    </row>
    <row r="93" spans="1:6" ht="13.5">
      <c r="A93" s="3118">
        <v>21</v>
      </c>
      <c r="B93" s="3762"/>
      <c r="C93" s="3092" t="s">
        <v>2689</v>
      </c>
      <c r="D93" s="3092" t="s">
        <v>2690</v>
      </c>
      <c r="E93" s="3118">
        <v>0.15</v>
      </c>
      <c r="F93" s="3118">
        <v>20</v>
      </c>
    </row>
    <row r="94" spans="1:6" ht="13.5">
      <c r="A94" s="3118">
        <v>22</v>
      </c>
      <c r="B94" s="3762"/>
      <c r="C94" s="3092" t="s">
        <v>2691</v>
      </c>
      <c r="D94" s="3092" t="s">
        <v>2692</v>
      </c>
      <c r="E94" s="3118">
        <v>0.15</v>
      </c>
      <c r="F94" s="3118">
        <v>20</v>
      </c>
    </row>
    <row r="95" spans="1:6" ht="36">
      <c r="A95" s="3118">
        <v>23</v>
      </c>
      <c r="B95" s="3762"/>
      <c r="C95" s="3092" t="s">
        <v>2693</v>
      </c>
      <c r="D95" s="3092" t="s">
        <v>2694</v>
      </c>
      <c r="E95" s="3118">
        <v>0.15</v>
      </c>
      <c r="F95" s="3118">
        <v>20</v>
      </c>
    </row>
    <row r="96" spans="1:6" ht="13.5">
      <c r="A96" s="3118">
        <v>24</v>
      </c>
      <c r="B96" s="3762"/>
      <c r="C96" s="3092" t="s">
        <v>2695</v>
      </c>
      <c r="D96" s="3092" t="s">
        <v>2696</v>
      </c>
      <c r="E96" s="3118">
        <v>0.1</v>
      </c>
      <c r="F96" s="3118">
        <v>15</v>
      </c>
    </row>
    <row r="97" spans="1:6" ht="13.5">
      <c r="A97" s="3118">
        <v>25</v>
      </c>
      <c r="B97" s="3762"/>
      <c r="C97" s="3092" t="s">
        <v>2697</v>
      </c>
      <c r="D97" s="3092" t="s">
        <v>2698</v>
      </c>
      <c r="E97" s="3118">
        <v>0.1</v>
      </c>
      <c r="F97" s="3118">
        <v>15</v>
      </c>
    </row>
    <row r="98" spans="1:6" ht="24">
      <c r="A98" s="3118">
        <v>26</v>
      </c>
      <c r="B98" s="3762"/>
      <c r="C98" s="3092" t="s">
        <v>2699</v>
      </c>
      <c r="D98" s="3092" t="s">
        <v>2700</v>
      </c>
      <c r="E98" s="3118">
        <v>0.1</v>
      </c>
      <c r="F98" s="3118">
        <v>15</v>
      </c>
    </row>
    <row r="99" spans="1:6" ht="24">
      <c r="A99" s="3118">
        <v>27</v>
      </c>
      <c r="B99" s="3762"/>
      <c r="C99" s="3092" t="s">
        <v>2701</v>
      </c>
      <c r="D99" s="3092" t="s">
        <v>2702</v>
      </c>
      <c r="E99" s="3118">
        <v>0.1</v>
      </c>
      <c r="F99" s="3118">
        <v>15</v>
      </c>
    </row>
    <row r="100" spans="1:6" ht="13.5">
      <c r="A100" s="3118">
        <v>28</v>
      </c>
      <c r="B100" s="3762"/>
      <c r="C100" s="3092" t="s">
        <v>2703</v>
      </c>
      <c r="D100" s="3092" t="s">
        <v>2704</v>
      </c>
      <c r="E100" s="3118">
        <v>0.1</v>
      </c>
      <c r="F100" s="3118">
        <v>15</v>
      </c>
    </row>
    <row r="101" spans="1:6" ht="13.5">
      <c r="A101" s="3118">
        <v>29</v>
      </c>
      <c r="B101" s="3762"/>
      <c r="C101" s="3092" t="s">
        <v>2705</v>
      </c>
      <c r="D101" s="3092" t="s">
        <v>2706</v>
      </c>
      <c r="E101" s="3118">
        <v>0.1</v>
      </c>
      <c r="F101" s="3118">
        <v>15</v>
      </c>
    </row>
    <row r="102" spans="1:6" ht="13.5">
      <c r="A102" s="3118">
        <v>30</v>
      </c>
      <c r="B102" s="3762"/>
      <c r="C102" s="3092" t="s">
        <v>2707</v>
      </c>
      <c r="D102" s="3092" t="s">
        <v>2708</v>
      </c>
      <c r="E102" s="3118">
        <v>0.1</v>
      </c>
      <c r="F102" s="3118">
        <v>15</v>
      </c>
    </row>
    <row r="103" spans="1:6" ht="24">
      <c r="A103" s="3118">
        <v>31</v>
      </c>
      <c r="B103" s="3762"/>
      <c r="C103" s="3092" t="s">
        <v>2709</v>
      </c>
      <c r="D103" s="3092" t="s">
        <v>2710</v>
      </c>
      <c r="E103" s="3118">
        <v>0.1</v>
      </c>
      <c r="F103" s="3118">
        <v>15</v>
      </c>
    </row>
    <row r="104" spans="1:6" ht="24">
      <c r="A104" s="3118">
        <v>32</v>
      </c>
      <c r="B104" s="3762"/>
      <c r="C104" s="3092" t="s">
        <v>2711</v>
      </c>
      <c r="D104" s="3092" t="s">
        <v>2712</v>
      </c>
      <c r="E104" s="3118">
        <v>0.1</v>
      </c>
      <c r="F104" s="3118">
        <v>15</v>
      </c>
    </row>
    <row r="105" spans="1:6" ht="24">
      <c r="A105" s="3118">
        <v>33</v>
      </c>
      <c r="B105" s="3762"/>
      <c r="C105" s="3092" t="s">
        <v>2713</v>
      </c>
      <c r="D105" s="3092" t="s">
        <v>2714</v>
      </c>
      <c r="E105" s="3118">
        <v>0.1</v>
      </c>
      <c r="F105" s="3118">
        <v>15</v>
      </c>
    </row>
    <row r="106" spans="1:6" ht="24">
      <c r="A106" s="3118">
        <v>34</v>
      </c>
      <c r="B106" s="3771"/>
      <c r="C106" s="3092" t="s">
        <v>2715</v>
      </c>
      <c r="D106" s="3092" t="s">
        <v>2716</v>
      </c>
      <c r="E106" s="3118">
        <v>0.1</v>
      </c>
      <c r="F106" s="3118">
        <v>15</v>
      </c>
    </row>
    <row r="107" spans="1:6" ht="24">
      <c r="A107" s="3118">
        <v>35</v>
      </c>
      <c r="B107" s="3767" t="s">
        <v>2717</v>
      </c>
      <c r="C107" s="3118" t="s">
        <v>2718</v>
      </c>
      <c r="D107" s="3092" t="s">
        <v>2719</v>
      </c>
      <c r="E107" s="3118">
        <v>0.15</v>
      </c>
      <c r="F107" s="3118">
        <v>20</v>
      </c>
    </row>
    <row r="108" spans="1:6" ht="13.5">
      <c r="A108" s="3118">
        <v>36</v>
      </c>
      <c r="B108" s="3762"/>
      <c r="C108" s="3118" t="s">
        <v>2720</v>
      </c>
      <c r="D108" s="3092" t="s">
        <v>2721</v>
      </c>
      <c r="E108" s="3118">
        <v>0.15</v>
      </c>
      <c r="F108" s="3118">
        <v>20</v>
      </c>
    </row>
    <row r="109" spans="1:6" ht="13.5">
      <c r="A109" s="3118">
        <v>37</v>
      </c>
      <c r="B109" s="3762"/>
      <c r="C109" s="3118" t="s">
        <v>2722</v>
      </c>
      <c r="D109" s="3092" t="s">
        <v>2723</v>
      </c>
      <c r="E109" s="3118">
        <v>0.15</v>
      </c>
      <c r="F109" s="3118">
        <v>20</v>
      </c>
    </row>
    <row r="110" spans="1:6" ht="13.5">
      <c r="A110" s="3118">
        <v>38</v>
      </c>
      <c r="B110" s="3762"/>
      <c r="C110" s="3118" t="s">
        <v>2724</v>
      </c>
      <c r="D110" s="3092" t="s">
        <v>2725</v>
      </c>
      <c r="E110" s="3118">
        <v>0.1</v>
      </c>
      <c r="F110" s="3118">
        <v>15</v>
      </c>
    </row>
    <row r="111" spans="1:6" ht="24">
      <c r="A111" s="3118">
        <v>39</v>
      </c>
      <c r="B111" s="3762"/>
      <c r="C111" s="3118" t="s">
        <v>2726</v>
      </c>
      <c r="D111" s="3092" t="s">
        <v>2727</v>
      </c>
      <c r="E111" s="3118">
        <v>0.1</v>
      </c>
      <c r="F111" s="3118">
        <v>15</v>
      </c>
    </row>
    <row r="112" spans="1:6" ht="24">
      <c r="A112" s="3118">
        <v>40</v>
      </c>
      <c r="B112" s="3771"/>
      <c r="C112" s="3118" t="s">
        <v>2728</v>
      </c>
      <c r="D112" s="3092" t="s">
        <v>2729</v>
      </c>
      <c r="E112" s="3118">
        <v>0.1</v>
      </c>
      <c r="F112" s="3118">
        <v>15</v>
      </c>
    </row>
    <row r="113" spans="1:6" ht="13.5">
      <c r="A113" s="3118">
        <v>41</v>
      </c>
      <c r="B113" s="3772" t="s">
        <v>2730</v>
      </c>
      <c r="C113" s="3118" t="s">
        <v>2731</v>
      </c>
      <c r="D113" s="3092" t="s">
        <v>2732</v>
      </c>
      <c r="E113" s="3118">
        <v>0.1</v>
      </c>
      <c r="F113" s="3118">
        <v>15</v>
      </c>
    </row>
    <row r="114" spans="1:6" ht="13.5">
      <c r="A114" s="3118">
        <v>42</v>
      </c>
      <c r="B114" s="3772"/>
      <c r="C114" s="3118" t="s">
        <v>2733</v>
      </c>
      <c r="D114" s="3092" t="s">
        <v>2734</v>
      </c>
      <c r="E114" s="3118">
        <v>0.1</v>
      </c>
      <c r="F114" s="3118">
        <v>15</v>
      </c>
    </row>
    <row r="115" spans="1:6" ht="24">
      <c r="A115" s="3118">
        <v>43</v>
      </c>
      <c r="B115" s="3772"/>
      <c r="C115" s="3118" t="s">
        <v>2735</v>
      </c>
      <c r="D115" s="3092" t="s">
        <v>2736</v>
      </c>
      <c r="E115" s="3118">
        <v>0.1</v>
      </c>
      <c r="F115" s="3118">
        <v>15</v>
      </c>
    </row>
    <row r="116" spans="1:6" ht="13.5">
      <c r="A116" s="3118">
        <v>44</v>
      </c>
      <c r="B116" s="3767" t="s">
        <v>2737</v>
      </c>
      <c r="C116" s="3118" t="s">
        <v>2738</v>
      </c>
      <c r="D116" s="3092" t="s">
        <v>2739</v>
      </c>
      <c r="E116" s="3118">
        <v>0.1</v>
      </c>
      <c r="F116" s="3118">
        <v>15</v>
      </c>
    </row>
    <row r="117" spans="1:6" ht="24">
      <c r="A117" s="3118">
        <v>45</v>
      </c>
      <c r="B117" s="3771"/>
      <c r="C117" s="3092" t="s">
        <v>2740</v>
      </c>
      <c r="D117" s="3092" t="s">
        <v>2741</v>
      </c>
      <c r="E117" s="3118">
        <v>0.1</v>
      </c>
      <c r="F117" s="3118">
        <v>15</v>
      </c>
    </row>
    <row r="118" spans="1:6" ht="24">
      <c r="A118" s="3118">
        <v>46</v>
      </c>
      <c r="B118" s="3767" t="s">
        <v>2742</v>
      </c>
      <c r="C118" s="3118" t="s">
        <v>2743</v>
      </c>
      <c r="D118" s="3092" t="s">
        <v>2744</v>
      </c>
      <c r="E118" s="3118">
        <v>0.1</v>
      </c>
      <c r="F118" s="3118">
        <v>15</v>
      </c>
    </row>
    <row r="119" spans="1:6" ht="24">
      <c r="A119" s="3118">
        <v>47</v>
      </c>
      <c r="B119" s="3771"/>
      <c r="C119" s="3118" t="s">
        <v>2745</v>
      </c>
      <c r="D119" s="3092" t="s">
        <v>2746</v>
      </c>
      <c r="E119" s="3118">
        <v>0.1</v>
      </c>
      <c r="F119" s="3118">
        <v>15</v>
      </c>
    </row>
    <row r="120" spans="1:6" ht="13.5">
      <c r="A120" s="3118">
        <v>48</v>
      </c>
      <c r="B120" s="3767" t="s">
        <v>2747</v>
      </c>
      <c r="C120" s="3118" t="s">
        <v>2748</v>
      </c>
      <c r="D120" s="3092" t="s">
        <v>2749</v>
      </c>
      <c r="E120" s="3118">
        <v>0.1</v>
      </c>
      <c r="F120" s="3118">
        <v>15</v>
      </c>
    </row>
    <row r="121" spans="1:6" ht="13.5">
      <c r="A121" s="3118">
        <v>49</v>
      </c>
      <c r="B121" s="3771"/>
      <c r="C121" s="3118" t="s">
        <v>2750</v>
      </c>
      <c r="D121" s="3092" t="s">
        <v>2751</v>
      </c>
      <c r="E121" s="3118">
        <v>0.1</v>
      </c>
      <c r="F121" s="3118">
        <v>15</v>
      </c>
    </row>
    <row r="122" spans="1:6" ht="24">
      <c r="A122" s="3118">
        <v>50</v>
      </c>
      <c r="B122" s="3772" t="s">
        <v>2752</v>
      </c>
      <c r="C122" s="3118" t="s">
        <v>2753</v>
      </c>
      <c r="D122" s="3092" t="s">
        <v>2754</v>
      </c>
      <c r="E122" s="3118">
        <v>0.1</v>
      </c>
      <c r="F122" s="3118">
        <v>15</v>
      </c>
    </row>
    <row r="123" spans="1:6" ht="24">
      <c r="A123" s="3118">
        <v>51</v>
      </c>
      <c r="B123" s="3772"/>
      <c r="C123" s="3118" t="s">
        <v>2755</v>
      </c>
      <c r="D123" s="3092" t="s">
        <v>2756</v>
      </c>
      <c r="E123" s="3118">
        <v>0.1</v>
      </c>
      <c r="F123" s="3118">
        <v>15</v>
      </c>
    </row>
    <row r="124" spans="1:6" ht="24">
      <c r="A124" s="3118">
        <v>52</v>
      </c>
      <c r="B124" s="3772" t="s">
        <v>2757</v>
      </c>
      <c r="C124" s="3118" t="s">
        <v>2758</v>
      </c>
      <c r="D124" s="3092" t="s">
        <v>2759</v>
      </c>
      <c r="E124" s="3118">
        <v>0.1</v>
      </c>
      <c r="F124" s="3118">
        <v>15</v>
      </c>
    </row>
    <row r="125" spans="1:6" ht="24">
      <c r="A125" s="3118">
        <v>53</v>
      </c>
      <c r="B125" s="3772"/>
      <c r="C125" s="3118" t="s">
        <v>2760</v>
      </c>
      <c r="D125" s="3092" t="s">
        <v>2761</v>
      </c>
      <c r="E125" s="3118">
        <v>0.1</v>
      </c>
      <c r="F125" s="3118">
        <v>15</v>
      </c>
    </row>
    <row r="126" spans="1:6" ht="13.5">
      <c r="A126" s="3118">
        <v>54</v>
      </c>
      <c r="B126" s="3118" t="s">
        <v>2762</v>
      </c>
      <c r="C126" s="3118" t="s">
        <v>2763</v>
      </c>
      <c r="D126" s="3092" t="s">
        <v>2764</v>
      </c>
      <c r="E126" s="3118">
        <v>0.1</v>
      </c>
      <c r="F126" s="3118">
        <v>15</v>
      </c>
    </row>
    <row r="127" spans="1:6" ht="13.5">
      <c r="A127" s="3118">
        <v>55</v>
      </c>
      <c r="B127" s="3772" t="s">
        <v>2765</v>
      </c>
      <c r="C127" s="3118" t="s">
        <v>2766</v>
      </c>
      <c r="D127" s="3092" t="s">
        <v>2767</v>
      </c>
      <c r="E127" s="3118">
        <v>0.1</v>
      </c>
      <c r="F127" s="3118">
        <v>15</v>
      </c>
    </row>
    <row r="128" spans="1:6" ht="13.5">
      <c r="A128" s="3118">
        <v>56</v>
      </c>
      <c r="B128" s="3772"/>
      <c r="C128" s="3118" t="s">
        <v>2768</v>
      </c>
      <c r="D128" s="3092" t="s">
        <v>2769</v>
      </c>
      <c r="E128" s="3118">
        <v>0.1</v>
      </c>
      <c r="F128" s="3118">
        <v>15</v>
      </c>
    </row>
    <row r="129" spans="1:6" ht="24">
      <c r="A129" s="3118">
        <v>57</v>
      </c>
      <c r="B129" s="3772"/>
      <c r="C129" s="3118" t="s">
        <v>2770</v>
      </c>
      <c r="D129" s="3092" t="s">
        <v>2771</v>
      </c>
      <c r="E129" s="3118">
        <v>0.1</v>
      </c>
      <c r="F129" s="3118">
        <v>15</v>
      </c>
    </row>
    <row r="130" spans="1:6" ht="24">
      <c r="A130" s="3118">
        <v>58</v>
      </c>
      <c r="B130" s="3772" t="s">
        <v>2772</v>
      </c>
      <c r="C130" s="3118" t="s">
        <v>2773</v>
      </c>
      <c r="D130" s="3092" t="s">
        <v>2774</v>
      </c>
      <c r="E130" s="3118">
        <v>0.1</v>
      </c>
      <c r="F130" s="3118">
        <v>15</v>
      </c>
    </row>
    <row r="131" spans="1:6" ht="13.5">
      <c r="A131" s="3118">
        <v>59</v>
      </c>
      <c r="B131" s="3772"/>
      <c r="C131" s="3118" t="s">
        <v>2775</v>
      </c>
      <c r="D131" s="3092" t="s">
        <v>2776</v>
      </c>
      <c r="E131" s="3118">
        <v>0.1</v>
      </c>
      <c r="F131" s="3118">
        <v>15</v>
      </c>
    </row>
    <row r="132" spans="1:6" ht="13.5">
      <c r="A132" s="3118">
        <v>60</v>
      </c>
      <c r="B132" s="3767" t="s">
        <v>2777</v>
      </c>
      <c r="C132" s="3118" t="s">
        <v>2778</v>
      </c>
      <c r="D132" s="3092" t="s">
        <v>2779</v>
      </c>
      <c r="E132" s="3118">
        <v>0.1</v>
      </c>
      <c r="F132" s="3118">
        <v>15</v>
      </c>
    </row>
    <row r="133" spans="1:6" ht="13.5">
      <c r="A133" s="3118">
        <v>61</v>
      </c>
      <c r="B133" s="3771"/>
      <c r="C133" s="3118" t="s">
        <v>2780</v>
      </c>
      <c r="D133" s="3092" t="s">
        <v>2781</v>
      </c>
      <c r="E133" s="3118">
        <v>0.1</v>
      </c>
      <c r="F133" s="3118">
        <v>15</v>
      </c>
    </row>
    <row r="134" spans="1:6" ht="24">
      <c r="A134" s="3118">
        <v>62</v>
      </c>
      <c r="B134" s="3118" t="s">
        <v>2782</v>
      </c>
      <c r="C134" s="3118" t="s">
        <v>2783</v>
      </c>
      <c r="D134" s="3092" t="s">
        <v>2784</v>
      </c>
      <c r="E134" s="3118">
        <v>0.1</v>
      </c>
      <c r="F134" s="3118">
        <v>15</v>
      </c>
    </row>
    <row r="135" spans="1:6" ht="13.5">
      <c r="A135" s="3118">
        <v>63</v>
      </c>
      <c r="B135" s="3772" t="s">
        <v>2785</v>
      </c>
      <c r="C135" s="3118" t="s">
        <v>2786</v>
      </c>
      <c r="D135" s="3092" t="s">
        <v>2787</v>
      </c>
      <c r="E135" s="3118">
        <v>0.1</v>
      </c>
      <c r="F135" s="3118">
        <v>15</v>
      </c>
    </row>
    <row r="136" spans="1:6" ht="13.5">
      <c r="A136" s="3118">
        <v>64</v>
      </c>
      <c r="B136" s="3772"/>
      <c r="C136" s="3118" t="s">
        <v>2788</v>
      </c>
      <c r="D136" s="3092" t="s">
        <v>2789</v>
      </c>
      <c r="E136" s="3118">
        <v>0.1</v>
      </c>
      <c r="F136" s="3118">
        <v>15</v>
      </c>
    </row>
    <row r="137" spans="1:6" ht="13.5">
      <c r="A137" s="3118">
        <v>65</v>
      </c>
      <c r="B137" s="3118" t="s">
        <v>2790</v>
      </c>
      <c r="C137" s="3118" t="s">
        <v>2791</v>
      </c>
      <c r="D137" s="3092" t="s">
        <v>2792</v>
      </c>
      <c r="E137" s="3118">
        <v>0.1</v>
      </c>
      <c r="F137" s="3118">
        <v>15</v>
      </c>
    </row>
    <row r="138" spans="1:6" ht="13.5">
      <c r="A138" s="3118"/>
      <c r="B138" s="3118"/>
      <c r="C138" s="3118"/>
      <c r="D138" s="3118"/>
      <c r="E138" s="3118" t="s">
        <v>2793</v>
      </c>
      <c r="F138" s="3118"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2794</v>
      </c>
      <c r="B1" s="3127"/>
      <c r="C1" s="3127"/>
      <c r="D1" s="3127"/>
      <c r="E1" s="3127"/>
      <c r="F1" s="3127"/>
      <c r="G1" s="3127"/>
      <c r="H1" s="3127"/>
      <c r="I1" s="3127"/>
      <c r="J1" s="3127"/>
      <c r="K1" s="3127"/>
      <c r="L1" s="3127"/>
      <c r="M1" s="3127"/>
      <c r="N1" s="749"/>
    </row>
    <row r="2" spans="1:20">
      <c r="A2" s="3128" t="s">
        <v>2795</v>
      </c>
      <c r="B2" s="3129" t="s">
        <v>2591</v>
      </c>
      <c r="C2" s="3129" t="s">
        <v>2592</v>
      </c>
      <c r="D2" s="3129" t="s">
        <v>2593</v>
      </c>
      <c r="E2" s="3129" t="s">
        <v>2594</v>
      </c>
      <c r="F2" s="3129" t="s">
        <v>2595</v>
      </c>
      <c r="G2" s="3129" t="s">
        <v>2596</v>
      </c>
      <c r="H2" s="3130" t="s">
        <v>2597</v>
      </c>
      <c r="I2" s="3130" t="s">
        <v>2598</v>
      </c>
      <c r="J2" s="3131" t="s">
        <v>2599</v>
      </c>
      <c r="K2" s="3131" t="s">
        <v>2600</v>
      </c>
      <c r="L2" s="3131" t="s">
        <v>2601</v>
      </c>
      <c r="M2" s="3132" t="s">
        <v>2602</v>
      </c>
      <c r="Q2" s="3142" t="s">
        <v>2800</v>
      </c>
      <c r="R2" s="3142" t="s">
        <v>2801</v>
      </c>
      <c r="S2" s="3142" t="s">
        <v>2802</v>
      </c>
      <c r="T2" s="3142" t="s">
        <v>2803</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2796</v>
      </c>
      <c r="B93" s="3127"/>
      <c r="C93" s="3127"/>
      <c r="D93" s="3127"/>
      <c r="E93" s="3127"/>
      <c r="F93" s="3127"/>
      <c r="G93" s="3127"/>
      <c r="H93" s="3127"/>
      <c r="I93" s="3127"/>
      <c r="J93" s="3127"/>
      <c r="K93" s="3127"/>
      <c r="L93" s="3127"/>
      <c r="M93" s="3127"/>
    </row>
    <row r="94" spans="1:20">
      <c r="A94" s="3128" t="s">
        <v>2795</v>
      </c>
      <c r="B94" s="3129" t="s">
        <v>2591</v>
      </c>
      <c r="C94" s="3129" t="s">
        <v>2592</v>
      </c>
      <c r="D94" s="3129" t="s">
        <v>2593</v>
      </c>
      <c r="E94" s="3129" t="s">
        <v>2594</v>
      </c>
      <c r="F94" s="3129" t="s">
        <v>2595</v>
      </c>
      <c r="G94" s="3129" t="s">
        <v>2596</v>
      </c>
      <c r="H94" s="3130" t="s">
        <v>2597</v>
      </c>
      <c r="I94" s="3130" t="s">
        <v>2598</v>
      </c>
      <c r="J94" s="3131" t="s">
        <v>2599</v>
      </c>
      <c r="K94" s="3131" t="s">
        <v>2600</v>
      </c>
      <c r="L94" s="3131" t="s">
        <v>2601</v>
      </c>
      <c r="M94" s="3132" t="s">
        <v>2602</v>
      </c>
      <c r="N94" s="750">
        <f>SUMPRODUCT((A95:A184=ROUNDDOWN(基准地价修正!G3,1))*(B94:M94=基准地价修正!G2)*(B95:M184))</f>
        <v>1.0483</v>
      </c>
      <c r="Q94" s="3142" t="s">
        <v>2800</v>
      </c>
      <c r="R94" s="3142" t="s">
        <v>2801</v>
      </c>
      <c r="S94" s="3142" t="s">
        <v>2802</v>
      </c>
      <c r="T94" s="3142" t="s">
        <v>2803</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2797</v>
      </c>
      <c r="B185" s="3127"/>
      <c r="C185" s="3127"/>
      <c r="D185" s="3127"/>
      <c r="E185" s="3127"/>
      <c r="F185" s="3127"/>
      <c r="G185" s="3127"/>
      <c r="H185" s="3127"/>
      <c r="I185" s="3127"/>
      <c r="J185" s="3127"/>
      <c r="K185" s="3127"/>
      <c r="L185" s="3127"/>
      <c r="M185" s="3127"/>
    </row>
    <row r="186" spans="1:20">
      <c r="A186" s="3128" t="s">
        <v>2795</v>
      </c>
      <c r="B186" s="3129" t="s">
        <v>2591</v>
      </c>
      <c r="C186" s="3129" t="s">
        <v>2592</v>
      </c>
      <c r="D186" s="3129" t="s">
        <v>2593</v>
      </c>
      <c r="E186" s="3129" t="s">
        <v>2594</v>
      </c>
      <c r="F186" s="3129" t="s">
        <v>2595</v>
      </c>
      <c r="G186" s="3129" t="s">
        <v>2596</v>
      </c>
      <c r="H186" s="3130" t="s">
        <v>2597</v>
      </c>
      <c r="I186" s="3130" t="s">
        <v>2598</v>
      </c>
      <c r="J186" s="3131" t="s">
        <v>2599</v>
      </c>
      <c r="K186" s="3131" t="s">
        <v>2600</v>
      </c>
      <c r="L186" s="3131" t="s">
        <v>2601</v>
      </c>
      <c r="M186" s="3132" t="s">
        <v>2602</v>
      </c>
      <c r="Q186" s="3142" t="s">
        <v>2800</v>
      </c>
      <c r="R186" s="3142" t="s">
        <v>2801</v>
      </c>
      <c r="S186" s="3142" t="s">
        <v>2802</v>
      </c>
      <c r="T186" s="3142" t="s">
        <v>2803</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2798</v>
      </c>
      <c r="B277" s="3127"/>
      <c r="C277" s="3127"/>
      <c r="D277" s="3127"/>
      <c r="E277" s="3127"/>
      <c r="F277" s="3127"/>
      <c r="G277" s="3127"/>
      <c r="H277" s="3127"/>
      <c r="I277" s="3127"/>
      <c r="J277" s="3127"/>
      <c r="K277" s="3127"/>
      <c r="L277" s="3127"/>
      <c r="M277" s="3127"/>
    </row>
    <row r="278" spans="1:21">
      <c r="A278" s="3128" t="s">
        <v>2795</v>
      </c>
      <c r="B278" s="3129" t="s">
        <v>2591</v>
      </c>
      <c r="C278" s="3129" t="s">
        <v>2592</v>
      </c>
      <c r="D278" s="3129" t="s">
        <v>2593</v>
      </c>
      <c r="E278" s="3129" t="s">
        <v>2594</v>
      </c>
      <c r="F278" s="3129" t="s">
        <v>2595</v>
      </c>
      <c r="G278" s="3129" t="s">
        <v>2596</v>
      </c>
      <c r="H278" s="3130" t="s">
        <v>2597</v>
      </c>
      <c r="I278" s="3130" t="s">
        <v>2598</v>
      </c>
      <c r="J278" s="3131" t="s">
        <v>2599</v>
      </c>
      <c r="K278" s="3131" t="s">
        <v>2600</v>
      </c>
      <c r="L278" s="3131" t="s">
        <v>2601</v>
      </c>
      <c r="M278" s="3132" t="s">
        <v>2602</v>
      </c>
      <c r="Q278" s="3142" t="s">
        <v>2800</v>
      </c>
      <c r="R278" s="3142" t="s">
        <v>2801</v>
      </c>
      <c r="S278" s="3142" t="s">
        <v>2804</v>
      </c>
      <c r="T278" s="3142" t="s">
        <v>2805</v>
      </c>
      <c r="U278" s="3142" t="s">
        <v>2803</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2799</v>
      </c>
      <c r="B369" s="3140"/>
      <c r="C369" s="3140"/>
      <c r="D369" s="3140"/>
      <c r="E369" s="3140"/>
      <c r="F369" s="3140"/>
      <c r="G369" s="3140"/>
      <c r="H369" s="3140"/>
      <c r="I369" s="3140"/>
      <c r="J369" s="3140"/>
      <c r="K369" s="3140"/>
      <c r="L369" s="3140"/>
      <c r="M369" s="3140"/>
    </row>
    <row r="370" spans="1:20">
      <c r="A370" s="3128" t="s">
        <v>2795</v>
      </c>
      <c r="B370" s="3129" t="s">
        <v>2591</v>
      </c>
      <c r="C370" s="3129" t="s">
        <v>2592</v>
      </c>
      <c r="D370" s="3129" t="s">
        <v>2593</v>
      </c>
      <c r="E370" s="3129" t="s">
        <v>2594</v>
      </c>
      <c r="F370" s="3129" t="s">
        <v>2595</v>
      </c>
      <c r="G370" s="3129" t="s">
        <v>2596</v>
      </c>
      <c r="H370" s="3130" t="s">
        <v>2597</v>
      </c>
      <c r="I370" s="3130" t="s">
        <v>2598</v>
      </c>
      <c r="J370" s="3131" t="s">
        <v>2599</v>
      </c>
      <c r="K370" s="3131" t="s">
        <v>2600</v>
      </c>
      <c r="L370" s="3131" t="s">
        <v>2601</v>
      </c>
      <c r="M370" s="3132" t="s">
        <v>2602</v>
      </c>
      <c r="N370" s="750">
        <f>SUMPRODUCT((A371:A460=ROUNDDOWN(基准地价修正!G3,1))*(B370:M370=基准地价修正!G2)*(B371:M460))</f>
        <v>0.9929</v>
      </c>
      <c r="Q370" s="3142" t="s">
        <v>2800</v>
      </c>
      <c r="R370" s="3142" t="s">
        <v>2801</v>
      </c>
      <c r="S370" s="3142" t="s">
        <v>2802</v>
      </c>
      <c r="T370" s="3142" t="s">
        <v>2803</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3"/>
      <c r="B4" s="3458" t="s">
        <v>917</v>
      </c>
      <c r="C4" s="3458"/>
      <c r="D4" s="3458"/>
      <c r="E4" s="1493"/>
    </row>
    <row r="5" spans="1:5" ht="16.5" thickTop="1">
      <c r="A5" s="1491"/>
      <c r="B5" s="3456" t="s">
        <v>909</v>
      </c>
      <c r="C5" s="1494" t="s">
        <v>910</v>
      </c>
      <c r="D5" s="850">
        <f ca="1">结果表!H101</f>
        <v>31055</v>
      </c>
      <c r="E5" s="1491"/>
    </row>
    <row r="6" spans="1:5" ht="15.75">
      <c r="A6" s="1491"/>
      <c r="B6" s="3456"/>
      <c r="C6" s="1494" t="s">
        <v>911</v>
      </c>
      <c r="D6" s="850" t="str">
        <f ca="1">NUMBERSTRING(INT(D5*10000),2)&amp;"元整"</f>
        <v>叁亿壹仟零伍拾伍万元整</v>
      </c>
      <c r="E6" s="1491"/>
    </row>
    <row r="7" spans="1:5" ht="15.75">
      <c r="A7" s="1491"/>
      <c r="B7" s="3461"/>
      <c r="C7" s="1495" t="s">
        <v>912</v>
      </c>
      <c r="D7" s="851">
        <f ca="1">结果表!H102</f>
        <v>31520</v>
      </c>
      <c r="E7" s="1491"/>
    </row>
    <row r="8" spans="1:5" ht="15.75">
      <c r="A8" s="1491"/>
      <c r="B8" s="3462" t="str">
        <f>结果表!E103</f>
        <v>2.估价师知悉的法定优先受偿款</v>
      </c>
      <c r="C8" s="1496" t="s">
        <v>913</v>
      </c>
      <c r="D8" s="851">
        <f>结果表!H103</f>
        <v>0</v>
      </c>
      <c r="E8" s="1491"/>
    </row>
    <row r="9" spans="1:5" ht="15.75">
      <c r="A9" s="1491"/>
      <c r="B9" s="346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5" t="str">
        <f>结果表!E107</f>
        <v>3.房地产抵押价值</v>
      </c>
      <c r="C13" s="1499" t="s">
        <v>910</v>
      </c>
      <c r="D13" s="853">
        <f ca="1">结果表!H107</f>
        <v>31055</v>
      </c>
      <c r="E13" s="1491"/>
    </row>
    <row r="14" spans="1:5" ht="15.75">
      <c r="A14" s="1491"/>
      <c r="B14" s="3456"/>
      <c r="C14" s="1494" t="s">
        <v>911</v>
      </c>
      <c r="D14" s="850" t="str">
        <f ca="1">NUMBERSTRING(INT(D13*10000),2)&amp;"元整"</f>
        <v>叁亿壹仟零伍拾伍万元整</v>
      </c>
      <c r="E14" s="1491"/>
    </row>
    <row r="15" spans="1:5" ht="15">
      <c r="A15" s="1491"/>
      <c r="B15" s="3461"/>
      <c r="C15" s="1495" t="s">
        <v>921</v>
      </c>
      <c r="D15" s="859">
        <f ca="1">结果表!H108</f>
        <v>31520</v>
      </c>
      <c r="E15" s="1491"/>
    </row>
    <row r="16" spans="1:5" ht="15">
      <c r="A16" s="1491"/>
      <c r="B16" s="3462" t="str">
        <f>结果表!E109</f>
        <v>——</v>
      </c>
      <c r="C16" s="1499" t="s">
        <v>922</v>
      </c>
      <c r="D16" s="1500" t="str">
        <f>结果表!H109</f>
        <v>——</v>
      </c>
      <c r="E16" s="1491"/>
    </row>
    <row r="17" spans="1:5" ht="15.75">
      <c r="A17" s="1491"/>
      <c r="B17" s="3463"/>
      <c r="C17" s="1494" t="s">
        <v>923</v>
      </c>
      <c r="D17" s="850" t="e">
        <f>NUMBERSTRING(INT(D16*10000),2)&amp;"元整"</f>
        <v>#VALUE!</v>
      </c>
      <c r="E17" s="1491"/>
    </row>
    <row r="18" spans="1:5" ht="15">
      <c r="A18" s="1491"/>
      <c r="B18" s="3464"/>
      <c r="C18" s="1495" t="s">
        <v>912</v>
      </c>
      <c r="D18" s="859" t="str">
        <f>结果表!H110</f>
        <v>——</v>
      </c>
      <c r="E18" s="1491"/>
    </row>
    <row r="19" spans="1:5" ht="15.75">
      <c r="A19" s="1491"/>
      <c r="B19" s="3455" t="str">
        <f>结果表!E111</f>
        <v>4.抵押净值</v>
      </c>
      <c r="C19" s="1499" t="s">
        <v>910</v>
      </c>
      <c r="D19" s="851">
        <f ca="1">结果表!H111</f>
        <v>26954</v>
      </c>
      <c r="E19" s="1491"/>
    </row>
    <row r="20" spans="1:5" ht="15.75">
      <c r="A20" s="1491"/>
      <c r="B20" s="3456"/>
      <c r="C20" s="1494" t="s">
        <v>923</v>
      </c>
      <c r="D20" s="850" t="str">
        <f ca="1">NUMBERSTRING(INT(D19*10000),2)&amp;"元整"</f>
        <v>贰亿陆仟玖佰伍拾肆万元整</v>
      </c>
      <c r="E20" s="1491"/>
    </row>
    <row r="21" spans="1:5" ht="15.75" thickBot="1">
      <c r="A21" s="1491"/>
      <c r="B21" s="3457"/>
      <c r="C21" s="1501" t="s">
        <v>921</v>
      </c>
      <c r="D21" s="860">
        <f ca="1">结果表!H112</f>
        <v>27358</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34696</v>
      </c>
      <c r="C2" s="2" t="s">
        <v>106</v>
      </c>
      <c r="D2" s="199"/>
      <c r="E2" s="199"/>
      <c r="F2" s="199"/>
      <c r="G2" s="199"/>
    </row>
    <row r="3" spans="1:7" s="200" customFormat="1" ht="18" customHeight="1" thickBot="1">
      <c r="A3" s="203" t="s">
        <v>58</v>
      </c>
      <c r="B3" s="204">
        <f ca="1">ROUND(B2*10000/'数据-汇总表'!E3,0)</f>
        <v>35215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197</v>
      </c>
      <c r="D10" s="845">
        <f>'数据-汇总表'!E6</f>
        <v>9852.5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197</v>
      </c>
      <c r="D19" s="849">
        <f>'数据-汇总表'!E3</f>
        <v>9852.5</v>
      </c>
      <c r="E19" s="211">
        <f>'数据-取费表'!B31</f>
        <v>200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1780</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17</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4245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4245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29557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5345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4926</v>
      </c>
      <c r="D34" s="217"/>
      <c r="E34" s="220"/>
      <c r="F34" s="257">
        <f>IF('数据-取费表'!B24=0,1,'数据-取费表'!N16)</f>
        <v>1</v>
      </c>
      <c r="G34" s="219" t="s">
        <v>89</v>
      </c>
    </row>
    <row r="35" spans="1:7" ht="13.5" customHeight="1">
      <c r="A35" s="780" t="s">
        <v>351</v>
      </c>
      <c r="B35" s="215" t="s">
        <v>33</v>
      </c>
      <c r="C35" s="220">
        <f>ROUND(C34*F35,0)</f>
        <v>148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197</v>
      </c>
      <c r="D37" s="217">
        <f>'数据-汇总表'!E3</f>
        <v>9852.5</v>
      </c>
      <c r="E37" s="249">
        <f>'数据-取费表'!B35</f>
        <v>200</v>
      </c>
      <c r="F37" s="259"/>
      <c r="G37" s="261" t="s">
        <v>92</v>
      </c>
    </row>
    <row r="38" spans="1:7" ht="13.5" customHeight="1">
      <c r="A38" s="780" t="s">
        <v>354</v>
      </c>
      <c r="B38" s="215" t="s">
        <v>36</v>
      </c>
      <c r="C38" s="220">
        <f>ROUND(C34*F38,0)</f>
        <v>74</v>
      </c>
      <c r="D38" s="220"/>
      <c r="E38" s="220"/>
      <c r="F38" s="259">
        <f>'数据-取费表'!B36</f>
        <v>1.4999999999999999E-2</v>
      </c>
      <c r="G38" s="219" t="s">
        <v>90</v>
      </c>
    </row>
    <row r="39" spans="1:7" s="214" customFormat="1" ht="13.5" customHeight="1">
      <c r="A39" s="777" t="s">
        <v>338</v>
      </c>
      <c r="B39" s="210" t="s">
        <v>77</v>
      </c>
      <c r="C39" s="232">
        <f>ROUND(C33*F20,0)</f>
        <v>107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226</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222</v>
      </c>
      <c r="D42" s="238"/>
      <c r="E42" s="238"/>
      <c r="F42" s="239"/>
      <c r="G42" s="3637" t="s">
        <v>94</v>
      </c>
    </row>
    <row r="43" spans="1:7" ht="13.5" customHeight="1">
      <c r="A43" s="780" t="s">
        <v>347</v>
      </c>
      <c r="B43" s="215" t="s">
        <v>426</v>
      </c>
      <c r="C43" s="238">
        <f ca="1">ROUND(IF('数据-取费表'!B22&lt;=1,C39*F22*'数据-取费表'!B21/2,C39*(POWER((1+F22),'数据-取费表'!B21/2)-1)),0)</f>
        <v>4</v>
      </c>
      <c r="D43" s="238"/>
      <c r="E43" s="238"/>
      <c r="F43" s="239"/>
      <c r="G43" s="3638"/>
    </row>
    <row r="44" spans="1:7" ht="13.5" customHeight="1">
      <c r="A44" s="780" t="s">
        <v>348</v>
      </c>
      <c r="B44" s="215" t="s">
        <v>428</v>
      </c>
      <c r="C44" s="238">
        <f ca="1">ROUND(IF('数据-取费表'!B22&lt;=1,C40*F22*'数据-取费表'!B21/2,C40*(POWER((1+F22),'数据-取费表'!B21/2)-1)),4)</f>
        <v>8.0000000000000004E-4</v>
      </c>
      <c r="D44" s="238"/>
      <c r="E44" s="238"/>
      <c r="F44" s="239"/>
      <c r="G44" s="3639"/>
    </row>
    <row r="45" spans="1:7" s="214" customFormat="1" ht="13.5" customHeight="1">
      <c r="A45" s="777" t="s">
        <v>341</v>
      </c>
      <c r="B45" s="244" t="s">
        <v>85</v>
      </c>
      <c r="C45" s="245">
        <f>C46</f>
        <v>1090</v>
      </c>
      <c r="D45" s="235">
        <f>C47</f>
        <v>4.0000000000000001E-3</v>
      </c>
      <c r="E45" s="236" t="s">
        <v>102</v>
      </c>
      <c r="F45" s="246"/>
      <c r="G45" s="247" t="s">
        <v>434</v>
      </c>
    </row>
    <row r="46" spans="1:7" s="214" customFormat="1" ht="13.5" customHeight="1">
      <c r="A46" s="780" t="s">
        <v>349</v>
      </c>
      <c r="B46" s="248" t="s">
        <v>427</v>
      </c>
      <c r="C46" s="249">
        <f>ROUND((C33+C39)*F27,0)</f>
        <v>1090</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7342</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5139</v>
      </c>
      <c r="D51" s="232"/>
      <c r="E51" s="232"/>
      <c r="F51" s="264"/>
      <c r="G51" s="234" t="s">
        <v>37</v>
      </c>
    </row>
    <row r="52" spans="1:7" s="208" customFormat="1" ht="16.5" thickBot="1">
      <c r="A52" s="265" t="s">
        <v>38</v>
      </c>
      <c r="B52" s="266"/>
      <c r="C52" s="267">
        <f ca="1">C31+C51</f>
        <v>34696</v>
      </c>
      <c r="D52" s="266"/>
      <c r="E52" s="266"/>
      <c r="F52" s="266"/>
      <c r="G52" s="268"/>
    </row>
    <row r="55" spans="1:7" ht="15">
      <c r="B55" s="270" t="s">
        <v>39</v>
      </c>
      <c r="C55" s="271"/>
    </row>
    <row r="56" spans="1:7">
      <c r="B56" s="273" t="s">
        <v>40</v>
      </c>
      <c r="C56" s="274">
        <f ca="1">ROUND(C51/C52,3)</f>
        <v>0.14799999999999999</v>
      </c>
    </row>
    <row r="57" spans="1:7">
      <c r="B57" s="273" t="s">
        <v>41</v>
      </c>
      <c r="C57" s="275">
        <f ca="1">1-C56</f>
        <v>0.85199999999999998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5" t="s">
        <v>2839</v>
      </c>
      <c r="B1" s="3775"/>
      <c r="C1" s="3775"/>
      <c r="D1" s="3775"/>
      <c r="E1" s="3775"/>
      <c r="F1" s="3775"/>
      <c r="G1" s="3776"/>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773" t="s">
        <v>2866</v>
      </c>
      <c r="B3" s="3230"/>
      <c r="C3" s="3231" t="s">
        <v>2807</v>
      </c>
      <c r="D3" s="3231" t="s">
        <v>2867</v>
      </c>
      <c r="E3" s="3231" t="s">
        <v>2809</v>
      </c>
      <c r="F3" s="3231" t="s">
        <v>2868</v>
      </c>
      <c r="G3" s="3231" t="s">
        <v>2627</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774"/>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7" t="s">
        <v>3181</v>
      </c>
      <c r="B1" s="3777"/>
    </row>
    <row r="2" spans="1:7" ht="14.25" thickBot="1">
      <c r="A2" s="3255"/>
      <c r="B2" s="3255"/>
    </row>
    <row r="3" spans="1:7" ht="14.25" thickBot="1">
      <c r="A3" s="3255"/>
      <c r="B3" s="3255"/>
      <c r="C3" s="3256" t="s">
        <v>2807</v>
      </c>
      <c r="D3" s="3256" t="s">
        <v>2867</v>
      </c>
      <c r="E3" s="3256" t="s">
        <v>2809</v>
      </c>
      <c r="F3" s="3256" t="s">
        <v>2868</v>
      </c>
      <c r="G3" s="3256" t="s">
        <v>2627</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8" t="s">
        <v>3232</v>
      </c>
      <c r="B1" s="3778"/>
      <c r="C1" s="3778"/>
      <c r="D1" s="3778"/>
      <c r="E1" s="3778"/>
      <c r="F1" s="3779"/>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45013</v>
      </c>
      <c r="B1" s="3210" t="s">
        <v>2838</v>
      </c>
      <c r="C1" s="3211"/>
      <c r="D1" s="3211"/>
      <c r="E1" s="3211"/>
      <c r="F1" s="3211"/>
      <c r="G1" s="3211"/>
      <c r="H1" s="3211"/>
      <c r="I1" s="3211"/>
      <c r="J1" s="3165"/>
      <c r="K1" s="3211" t="s">
        <v>454</v>
      </c>
      <c r="L1" s="3211"/>
      <c r="M1" s="3211"/>
      <c r="N1" s="3211"/>
      <c r="O1" s="3211"/>
      <c r="P1" s="3211"/>
      <c r="Q1" s="3165"/>
      <c r="R1" s="3780" t="s">
        <v>456</v>
      </c>
      <c r="S1" s="3781"/>
      <c r="T1" s="3781"/>
      <c r="U1" s="3781"/>
      <c r="V1" s="3781"/>
      <c r="W1" s="3781"/>
      <c r="X1" s="3165"/>
      <c r="Y1" s="3780" t="s">
        <v>457</v>
      </c>
      <c r="Z1" s="3781"/>
      <c r="AA1" s="3781"/>
      <c r="AB1" s="3781"/>
      <c r="AC1" s="3781"/>
      <c r="AD1" s="3781"/>
    </row>
    <row r="2" spans="1:30" s="3143" customFormat="1" ht="14.25" thickBot="1">
      <c r="B2" s="3144"/>
      <c r="C2" s="3145"/>
      <c r="D2" s="3146" t="s">
        <v>2806</v>
      </c>
      <c r="E2" s="3147" t="s">
        <v>2807</v>
      </c>
      <c r="F2" s="3147" t="s">
        <v>2808</v>
      </c>
      <c r="G2" s="3147" t="s">
        <v>2809</v>
      </c>
      <c r="H2" s="3147" t="s">
        <v>2810</v>
      </c>
      <c r="I2" s="3147" t="s">
        <v>2627</v>
      </c>
      <c r="J2" s="3148"/>
      <c r="K2" s="3146" t="s">
        <v>2806</v>
      </c>
      <c r="L2" s="3147" t="s">
        <v>2807</v>
      </c>
      <c r="M2" s="3147" t="s">
        <v>2808</v>
      </c>
      <c r="N2" s="3147" t="s">
        <v>2809</v>
      </c>
      <c r="O2" s="3147" t="s">
        <v>2811</v>
      </c>
      <c r="P2" s="3147" t="s">
        <v>2627</v>
      </c>
      <c r="Q2" s="3148"/>
      <c r="R2" s="3146" t="s">
        <v>2806</v>
      </c>
      <c r="S2" s="3147" t="s">
        <v>2807</v>
      </c>
      <c r="T2" s="3147" t="s">
        <v>2808</v>
      </c>
      <c r="U2" s="3147" t="s">
        <v>2812</v>
      </c>
      <c r="V2" s="3147" t="s">
        <v>2813</v>
      </c>
      <c r="W2" s="3147" t="s">
        <v>2627</v>
      </c>
      <c r="X2" s="3148"/>
      <c r="Y2" s="3146" t="s">
        <v>2806</v>
      </c>
      <c r="Z2" s="3147" t="s">
        <v>2807</v>
      </c>
      <c r="AA2" s="3147" t="s">
        <v>2808</v>
      </c>
      <c r="AB2" s="3147" t="s">
        <v>2814</v>
      </c>
      <c r="AC2" s="3147" t="s">
        <v>2813</v>
      </c>
      <c r="AD2" s="3147" t="s">
        <v>2627</v>
      </c>
    </row>
    <row r="3" spans="1:30" s="3161" customFormat="1" ht="12.75">
      <c r="A3" s="3149" t="s">
        <v>2815</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3370</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3371</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3369</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2816</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2817</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3364</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3355</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2818</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2819</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2820</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2821</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2822</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3367</v>
      </c>
    </row>
    <row r="19" spans="1:30" s="3009" customFormat="1">
      <c r="I19" s="3208" t="s">
        <v>2823</v>
      </c>
    </row>
    <row r="20" spans="1:30" s="3009" customFormat="1"/>
    <row r="21" spans="1:30" s="3209" customFormat="1" ht="12.75">
      <c r="B21" s="3210" t="s">
        <v>2824</v>
      </c>
      <c r="C21" s="3211"/>
      <c r="D21" s="3211"/>
      <c r="E21" s="3211"/>
      <c r="F21" s="3211"/>
      <c r="G21" s="3211"/>
      <c r="H21" s="3211"/>
      <c r="I21" s="3211"/>
      <c r="J21" s="3165"/>
      <c r="K21" s="3211" t="s">
        <v>2825</v>
      </c>
      <c r="L21" s="3211"/>
      <c r="M21" s="3211"/>
      <c r="N21" s="3211"/>
      <c r="O21" s="3211"/>
      <c r="P21" s="3211"/>
      <c r="Q21" s="3165"/>
      <c r="R21" s="3780" t="s">
        <v>2826</v>
      </c>
      <c r="S21" s="3781"/>
      <c r="T21" s="3781"/>
      <c r="U21" s="3781"/>
      <c r="V21" s="3781"/>
      <c r="W21" s="3781"/>
      <c r="X21" s="3165"/>
      <c r="Y21" s="3780" t="s">
        <v>2827</v>
      </c>
      <c r="Z21" s="3781"/>
      <c r="AA21" s="3781"/>
      <c r="AB21" s="3781"/>
      <c r="AC21" s="3781"/>
      <c r="AD21" s="3781"/>
    </row>
    <row r="22" spans="1:30" s="3143" customFormat="1" ht="14.25" thickBot="1">
      <c r="B22" s="3144"/>
      <c r="C22" s="3145"/>
      <c r="D22" s="3146" t="s">
        <v>2828</v>
      </c>
      <c r="E22" s="3147" t="s">
        <v>2829</v>
      </c>
      <c r="F22" s="3147" t="s">
        <v>2830</v>
      </c>
      <c r="G22" s="3147" t="s">
        <v>2831</v>
      </c>
      <c r="H22" s="3147"/>
      <c r="I22" s="3147" t="s">
        <v>2832</v>
      </c>
      <c r="J22" s="3148"/>
      <c r="K22" s="3146" t="s">
        <v>2828</v>
      </c>
      <c r="L22" s="3147" t="s">
        <v>2829</v>
      </c>
      <c r="M22" s="3147" t="s">
        <v>2830</v>
      </c>
      <c r="N22" s="3147" t="s">
        <v>2831</v>
      </c>
      <c r="O22" s="3147"/>
      <c r="P22" s="3147" t="s">
        <v>2832</v>
      </c>
      <c r="Q22" s="3148"/>
      <c r="R22" s="3146" t="s">
        <v>2828</v>
      </c>
      <c r="S22" s="3147" t="s">
        <v>2829</v>
      </c>
      <c r="T22" s="3147" t="s">
        <v>2830</v>
      </c>
      <c r="U22" s="3147" t="s">
        <v>2831</v>
      </c>
      <c r="V22" s="3147"/>
      <c r="W22" s="3147" t="s">
        <v>2832</v>
      </c>
      <c r="X22" s="3148"/>
      <c r="Y22" s="3146" t="s">
        <v>2828</v>
      </c>
      <c r="Z22" s="3147" t="s">
        <v>2829</v>
      </c>
      <c r="AA22" s="3147" t="s">
        <v>2830</v>
      </c>
      <c r="AB22" s="3147" t="s">
        <v>2831</v>
      </c>
      <c r="AC22" s="3147"/>
      <c r="AD22" s="3147" t="s">
        <v>2832</v>
      </c>
    </row>
    <row r="23" spans="1:30" s="3161" customFormat="1" ht="12.75">
      <c r="A23" s="3149" t="s">
        <v>2833</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3370</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3371</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3369</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2816</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3365</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3366</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3355</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2834</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2835</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2836</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2837</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2822</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7" t="s">
        <v>452</v>
      </c>
      <c r="C1" s="3787"/>
      <c r="D1" s="3787"/>
      <c r="E1" s="3787"/>
      <c r="F1" s="3787"/>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2432</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45013</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D11"/>
  <sheetViews>
    <sheetView tabSelected="1" workbookViewId="0">
      <selection activeCell="G22" sqref="G22"/>
    </sheetView>
  </sheetViews>
  <sheetFormatPr defaultRowHeight="13.5"/>
  <cols>
    <col min="4" max="4" width="14.875" customWidth="1"/>
  </cols>
  <sheetData>
    <row r="2" spans="3:4">
      <c r="D2" s="3793" t="s">
        <v>3426</v>
      </c>
    </row>
    <row r="3" spans="3:4">
      <c r="C3">
        <v>2017</v>
      </c>
      <c r="D3">
        <v>6480</v>
      </c>
    </row>
    <row r="4" spans="3:4">
      <c r="C4">
        <v>2018</v>
      </c>
      <c r="D4">
        <v>6499</v>
      </c>
    </row>
    <row r="5" spans="3:4">
      <c r="C5">
        <v>2019</v>
      </c>
      <c r="D5">
        <v>6552</v>
      </c>
    </row>
    <row r="6" spans="3:4">
      <c r="C6">
        <v>2020</v>
      </c>
      <c r="D6">
        <v>1841</v>
      </c>
    </row>
    <row r="7" spans="3:4">
      <c r="C7">
        <v>2021</v>
      </c>
      <c r="D7">
        <v>4096</v>
      </c>
    </row>
    <row r="8" spans="3:4">
      <c r="C8">
        <v>2022</v>
      </c>
    </row>
    <row r="11" spans="3:4">
      <c r="D11" s="3793" t="s">
        <v>3425</v>
      </c>
    </row>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5" t="str">
        <f>IF(项目基本情况!B9="房地产市场价值","估价结果一览表","结果表-2")</f>
        <v>结果表-2</v>
      </c>
      <c r="B1" s="3465"/>
      <c r="C1" s="3465"/>
      <c r="D1" s="3465"/>
      <c r="E1" s="3465"/>
      <c r="F1" s="3465"/>
      <c r="G1" s="3465"/>
      <c r="H1" s="3465"/>
      <c r="I1" s="3465"/>
    </row>
    <row r="2" spans="1:9" ht="30" customHeight="1" thickTop="1">
      <c r="A2" s="3466" t="s">
        <v>928</v>
      </c>
      <c r="B2" s="3466" t="s">
        <v>929</v>
      </c>
      <c r="C2" s="3466" t="s">
        <v>930</v>
      </c>
      <c r="D2" s="3466" t="str">
        <f>结果表!D116</f>
        <v>出让国有建设用地使用权价值</v>
      </c>
      <c r="E2" s="3466"/>
      <c r="F2" s="3466" t="str">
        <f>结果表!F116</f>
        <v>在建建筑物价值</v>
      </c>
      <c r="G2" s="3466"/>
      <c r="H2" s="3466" t="str">
        <f>IF(项目基本情况!B9="房地产市场价值","房地产市场价值","房地产价值")</f>
        <v>房地产价值</v>
      </c>
      <c r="I2" s="3466"/>
    </row>
    <row r="3" spans="1:9" ht="15">
      <c r="A3" s="3467"/>
      <c r="B3" s="3467"/>
      <c r="C3" s="3467"/>
      <c r="D3" s="854" t="s">
        <v>925</v>
      </c>
      <c r="E3" s="854" t="s">
        <v>931</v>
      </c>
      <c r="F3" s="854" t="s">
        <v>925</v>
      </c>
      <c r="G3" s="854" t="s">
        <v>926</v>
      </c>
      <c r="H3" s="854" t="s">
        <v>925</v>
      </c>
      <c r="I3" s="854" t="s">
        <v>926</v>
      </c>
    </row>
    <row r="4" spans="1:9" ht="15">
      <c r="A4" s="1505" t="str">
        <f>项目基本情况!S2</f>
        <v>北京市房地产</v>
      </c>
      <c r="B4" s="854">
        <f>项目基本情况!C17</f>
        <v>9852.5</v>
      </c>
      <c r="C4" s="854">
        <f>项目基本情况!C18</f>
        <v>3500.6</v>
      </c>
      <c r="D4" s="854">
        <f ca="1">结果表!D118</f>
        <v>25496</v>
      </c>
      <c r="E4" s="854">
        <f ca="1">结果表!E118</f>
        <v>25878</v>
      </c>
      <c r="F4" s="854">
        <f ca="1">结果表!F118</f>
        <v>5559</v>
      </c>
      <c r="G4" s="854">
        <f ca="1">结果表!G118</f>
        <v>5642</v>
      </c>
      <c r="H4" s="854">
        <f ca="1">结果表!H118</f>
        <v>31055</v>
      </c>
      <c r="I4" s="854">
        <f ca="1">结果表!I118</f>
        <v>31520</v>
      </c>
    </row>
    <row r="5" spans="1:9" ht="30" customHeight="1">
      <c r="A5" s="3467" t="s">
        <v>927</v>
      </c>
      <c r="B5" s="3467"/>
      <c r="C5" s="3467"/>
      <c r="D5" s="3467" t="str">
        <f ca="1">结果表!D119</f>
        <v>贰亿伍仟肆佰玖拾陆万元整</v>
      </c>
      <c r="E5" s="3467"/>
      <c r="F5" s="3467" t="str">
        <f ca="1">结果表!F119</f>
        <v>伍仟伍佰伍拾玖万元整</v>
      </c>
      <c r="G5" s="3467"/>
      <c r="H5" s="3467" t="str">
        <f ca="1">结果表!H119</f>
        <v>叁亿壹仟零伍拾伍万元整</v>
      </c>
      <c r="I5" s="3467"/>
    </row>
    <row r="6" spans="1:9" ht="15.75">
      <c r="A6" s="3468" t="str">
        <f>结果表!A120</f>
        <v>估价师知悉的法定优先受偿款</v>
      </c>
      <c r="B6" s="3468"/>
      <c r="C6" s="3468"/>
      <c r="D6" s="3468">
        <f>结果表!D120</f>
        <v>0</v>
      </c>
      <c r="E6" s="3468"/>
      <c r="F6" s="3468"/>
      <c r="G6" s="3468"/>
      <c r="H6" s="3468"/>
      <c r="I6" s="3468"/>
    </row>
    <row r="7" spans="1:9" ht="15">
      <c r="A7" s="3467" t="s">
        <v>927</v>
      </c>
      <c r="B7" s="3467"/>
      <c r="C7" s="3467"/>
      <c r="D7" s="3469" t="str">
        <f>结果表!D121</f>
        <v>零元整</v>
      </c>
      <c r="E7" s="3470"/>
      <c r="F7" s="3470"/>
      <c r="G7" s="3470"/>
      <c r="H7" s="3470"/>
      <c r="I7" s="3471"/>
    </row>
    <row r="8" spans="1:9" ht="15.75">
      <c r="A8" s="3468" t="str">
        <f>结果表!A122</f>
        <v>房地产抵押价值</v>
      </c>
      <c r="B8" s="3468"/>
      <c r="C8" s="3468"/>
      <c r="D8" s="3468">
        <f ca="1">结果表!D122</f>
        <v>31055</v>
      </c>
      <c r="E8" s="3468"/>
      <c r="F8" s="3468"/>
      <c r="G8" s="3468"/>
      <c r="H8" s="3468"/>
      <c r="I8" s="3468"/>
    </row>
    <row r="9" spans="1:9" ht="15">
      <c r="A9" s="3467" t="s">
        <v>927</v>
      </c>
      <c r="B9" s="3467"/>
      <c r="C9" s="3467"/>
      <c r="D9" s="3467" t="str">
        <f ca="1">结果表!D123</f>
        <v>叁亿壹仟零伍拾伍万元整</v>
      </c>
      <c r="E9" s="3467"/>
      <c r="F9" s="3467"/>
      <c r="G9" s="3467"/>
      <c r="H9" s="3467"/>
      <c r="I9" s="3467"/>
    </row>
    <row r="10" spans="1:9" ht="15.75">
      <c r="A10" s="3468" t="str">
        <f>结果表!A124</f>
        <v/>
      </c>
      <c r="B10" s="3468"/>
      <c r="C10" s="3468"/>
      <c r="D10" s="3468" t="str">
        <f>结果表!D124</f>
        <v>——</v>
      </c>
      <c r="E10" s="3468"/>
      <c r="F10" s="3468"/>
      <c r="G10" s="3468"/>
      <c r="H10" s="3468"/>
      <c r="I10" s="3468"/>
    </row>
    <row r="11" spans="1:9" ht="15">
      <c r="A11" s="3467" t="s">
        <v>927</v>
      </c>
      <c r="B11" s="3467"/>
      <c r="C11" s="3467"/>
      <c r="D11" s="3467" t="e">
        <f>结果表!D125</f>
        <v>#VALUE!</v>
      </c>
      <c r="E11" s="3467"/>
      <c r="F11" s="3467"/>
      <c r="G11" s="3467"/>
      <c r="H11" s="3467"/>
      <c r="I11" s="3467"/>
    </row>
    <row r="12" spans="1:9" ht="15.75">
      <c r="A12" s="3468" t="str">
        <f>结果表!A126</f>
        <v>抵押净值</v>
      </c>
      <c r="B12" s="3468"/>
      <c r="C12" s="3468"/>
      <c r="D12" s="3468">
        <f ca="1">结果表!D126</f>
        <v>26954</v>
      </c>
      <c r="E12" s="3468"/>
      <c r="F12" s="3468"/>
      <c r="G12" s="3468"/>
      <c r="H12" s="3468"/>
      <c r="I12" s="3468"/>
    </row>
    <row r="13" spans="1:9" ht="15.75" thickBot="1">
      <c r="A13" s="3472" t="s">
        <v>927</v>
      </c>
      <c r="B13" s="3472"/>
      <c r="C13" s="3472"/>
      <c r="D13" s="3472" t="str">
        <f ca="1">结果表!D127</f>
        <v>贰亿陆仟玖佰伍拾肆万元整</v>
      </c>
      <c r="E13" s="3472"/>
      <c r="F13" s="3472"/>
      <c r="G13" s="3472"/>
      <c r="H13" s="3472"/>
      <c r="I13" s="3472"/>
    </row>
    <row r="14" spans="1:9" ht="15" thickTop="1">
      <c r="A14" s="3473" t="s">
        <v>932</v>
      </c>
      <c r="B14" s="3473"/>
      <c r="C14" s="3473"/>
      <c r="D14" s="3473"/>
      <c r="E14" s="3473"/>
      <c r="F14" s="3473"/>
      <c r="G14" s="3473"/>
      <c r="H14" s="3473"/>
      <c r="I14" s="347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4" t="s">
        <v>949</v>
      </c>
      <c r="B1" s="3474"/>
      <c r="C1" s="3474"/>
      <c r="D1" s="3474"/>
    </row>
    <row r="2" spans="1:4" ht="18">
      <c r="A2" s="3475" t="s">
        <v>933</v>
      </c>
      <c r="B2" s="3475"/>
      <c r="C2" s="3475"/>
      <c r="D2" s="347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5" t="s">
        <v>939</v>
      </c>
      <c r="B6" s="3475"/>
      <c r="C6" s="3475"/>
      <c r="D6" s="347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6" t="s">
        <v>942</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7" t="str">
        <f>IF(项目基本情况!B8="抵押","4.本次评估估价师所知悉的法定优先受偿款情况说明如下：","——")</f>
        <v>4.本次评估估价师所知悉的法定优先受偿款情况说明如下：</v>
      </c>
      <c r="B14" s="3478"/>
      <c r="C14" s="3478"/>
      <c r="D14" s="3478"/>
    </row>
    <row r="15" spans="1:4" ht="42" customHeight="1">
      <c r="A15" s="34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80" t="s">
        <v>943</v>
      </c>
      <c r="B16" s="3480"/>
      <c r="C16" s="3480"/>
      <c r="D16" s="3480"/>
    </row>
    <row r="17" spans="1:4" ht="144" customHeight="1">
      <c r="A17" s="3480" t="s">
        <v>944</v>
      </c>
      <c r="B17" s="3480"/>
      <c r="C17" s="3480"/>
      <c r="D17" s="3480"/>
    </row>
    <row r="18" spans="1:4" ht="15.75" customHeight="1">
      <c r="A18" s="3477" t="str">
        <f>IF(项目基本情况!B8="抵押",结果表!K120,"——")</f>
        <v>故，本次评估不存在估价师知悉的法定优先受偿款</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945</v>
      </c>
      <c r="B22" s="3482"/>
      <c r="C22" s="3482"/>
      <c r="D22" s="348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9">
        <v>42551</v>
      </c>
      <c r="D31" s="34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8" t="s">
        <v>956</v>
      </c>
      <c r="B15" s="3483" t="s">
        <v>109</v>
      </c>
      <c r="C15" s="3484"/>
    </row>
    <row r="16" spans="1:7" ht="13.5">
      <c r="A16" s="3489"/>
      <c r="B16" s="3483" t="s">
        <v>42</v>
      </c>
      <c r="C16" s="3484"/>
    </row>
    <row r="17" spans="1:3" ht="13.5">
      <c r="A17" s="3489"/>
      <c r="B17" s="3486" t="s">
        <v>957</v>
      </c>
      <c r="C17" s="1532" t="s">
        <v>956</v>
      </c>
    </row>
    <row r="18" spans="1:3" ht="13.5">
      <c r="A18" s="3489"/>
      <c r="B18" s="3486"/>
      <c r="C18" s="1532" t="s">
        <v>958</v>
      </c>
    </row>
    <row r="19" spans="1:3" ht="13.5">
      <c r="A19" s="3489"/>
      <c r="B19" s="3486"/>
      <c r="C19" s="1532" t="s">
        <v>959</v>
      </c>
    </row>
    <row r="20" spans="1:3" ht="13.5">
      <c r="A20" s="3490"/>
      <c r="B20" s="3485" t="s">
        <v>960</v>
      </c>
      <c r="C20" s="3484"/>
    </row>
    <row r="21" spans="1:3" ht="13.5">
      <c r="A21" s="1533" t="s">
        <v>961</v>
      </c>
      <c r="B21" s="1534"/>
      <c r="C21" s="1535"/>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2" t="s">
        <v>967</v>
      </c>
    </row>
    <row r="26" spans="1:3" ht="13.5">
      <c r="A26" s="3487"/>
      <c r="B26" s="3486"/>
      <c r="C26" s="1532" t="s">
        <v>968</v>
      </c>
    </row>
    <row r="27" spans="1:3" ht="13.5">
      <c r="A27" s="3487"/>
      <c r="B27" s="3486"/>
      <c r="C27" s="1532" t="s">
        <v>969</v>
      </c>
    </row>
    <row r="28" spans="1:3" ht="13.5">
      <c r="A28" s="3487"/>
      <c r="B28" s="3486"/>
      <c r="C28" s="1532" t="s">
        <v>970</v>
      </c>
    </row>
    <row r="29" spans="1:3" ht="13.5">
      <c r="A29" s="3487"/>
      <c r="B29" s="3486"/>
      <c r="C29" s="1532" t="s">
        <v>971</v>
      </c>
    </row>
    <row r="30" spans="1:3" ht="13.5">
      <c r="A30" s="3487"/>
      <c r="B30" s="3486"/>
      <c r="C30" s="1532" t="s">
        <v>972</v>
      </c>
    </row>
    <row r="31" spans="1:3" ht="13.5">
      <c r="A31" s="3487"/>
      <c r="B31" s="3486"/>
      <c r="C31" s="1532" t="s">
        <v>973</v>
      </c>
    </row>
    <row r="32" spans="1:3" ht="13.5">
      <c r="A32" s="3487"/>
      <c r="B32" s="3486"/>
      <c r="C32" s="1532" t="s">
        <v>974</v>
      </c>
    </row>
    <row r="33" spans="1:3" ht="13.5">
      <c r="A33" s="3487"/>
      <c r="B33" s="348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45013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2433</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1" t="s">
        <v>2160</v>
      </c>
      <c r="B17" s="3491"/>
      <c r="C17" s="3491"/>
      <c r="D17" s="3491"/>
      <c r="E17" s="3491"/>
      <c r="F17" s="3491"/>
      <c r="G17" s="3491"/>
      <c r="H17" s="3491"/>
    </row>
    <row r="18" spans="1:8" ht="24" customHeight="1">
      <c r="A18" s="3492" t="s">
        <v>2161</v>
      </c>
      <c r="B18" s="3492"/>
      <c r="C18" s="3492"/>
      <c r="D18" s="2343"/>
      <c r="E18" s="3493" t="s">
        <v>2162</v>
      </c>
      <c r="F18" s="3492"/>
      <c r="G18" s="349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2434</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年收益</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2023-03-28T14:27:44Z</dcterms:modified>
</cp:coreProperties>
</file>