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C36" i="69" s="1"/>
  <c r="AG6" i="1"/>
  <c r="P6" i="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D2" i="36"/>
  <c r="L47" i="67"/>
  <c r="F42" i="67"/>
  <c r="F38" i="67"/>
  <c r="M29" i="15"/>
  <c r="AO13" i="1"/>
  <c r="M28" i="15"/>
  <c r="E8" i="76"/>
  <c r="M8" i="67"/>
  <c r="D2" i="21"/>
  <c r="F26" i="67"/>
  <c r="F20" i="31"/>
  <c r="F37" i="67"/>
  <c r="F42" i="15"/>
  <c r="J15" i="15"/>
  <c r="E10" i="76"/>
  <c r="AO7" i="1"/>
  <c r="B8" i="76"/>
  <c r="M9" i="67"/>
  <c r="B13" i="76"/>
  <c r="F36" i="67"/>
  <c r="M23" i="67"/>
  <c r="D2" i="34"/>
  <c r="F8" i="67"/>
  <c r="F35" i="15"/>
  <c r="M27" i="15"/>
  <c r="F40" i="67"/>
  <c r="F41" i="15"/>
  <c r="AO12" i="1"/>
  <c r="F16" i="67"/>
  <c r="F13" i="15"/>
  <c r="E11" i="76"/>
  <c r="F37" i="15"/>
  <c r="M6" i="67"/>
  <c r="L48" i="15"/>
  <c r="B11" i="76"/>
  <c r="AO8" i="1"/>
  <c r="F38" i="15"/>
  <c r="F8" i="15"/>
  <c r="D2" i="35"/>
  <c r="L47" i="15"/>
  <c r="AO11" i="1"/>
  <c r="D2" i="37"/>
  <c r="D2" i="33"/>
  <c r="M24" i="15"/>
  <c r="M26" i="67"/>
  <c r="J15" i="67"/>
  <c r="B10" i="76"/>
  <c r="F9" i="67"/>
  <c r="M22" i="67"/>
  <c r="C76" i="15"/>
  <c r="F7" i="15"/>
  <c r="F6" i="15"/>
  <c r="F26" i="15"/>
  <c r="M28" i="67"/>
  <c r="M26" i="15"/>
  <c r="B7" i="76"/>
  <c r="F16" i="15"/>
  <c r="F9" i="15"/>
  <c r="M22" i="15"/>
  <c r="M9" i="15"/>
  <c r="C76" i="67"/>
  <c r="E9" i="76"/>
  <c r="AO9" i="1"/>
  <c r="B9" i="76"/>
  <c r="F43" i="15"/>
  <c r="M21" i="15"/>
  <c r="B12" i="76"/>
  <c r="AO10" i="1"/>
  <c r="F40" i="15"/>
  <c r="E2" i="69"/>
  <c r="M27" i="67"/>
  <c r="M24" i="67"/>
  <c r="M23" i="15"/>
  <c r="E12" i="76"/>
  <c r="M8" i="15"/>
  <c r="E7" i="76"/>
  <c r="E13" i="76"/>
  <c r="F36" i="15"/>
  <c r="E2" i="68"/>
  <c r="M6" i="15"/>
  <c r="S42" i="33" l="1"/>
  <c r="U42" i="33"/>
  <c r="W42" i="33"/>
  <c r="AC8" i="33"/>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13" i="67"/>
  <c r="M29" i="67"/>
  <c r="F7" i="67"/>
  <c r="F43" i="67"/>
  <c r="C16" i="15"/>
  <c r="C14" i="15"/>
  <c r="C17" i="15"/>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6" i="67"/>
  <c r="F3" i="73"/>
  <c r="F7" i="73"/>
  <c r="L48" i="67"/>
  <c r="D6" i="73"/>
  <c r="F4" i="73"/>
  <c r="F5" i="73"/>
  <c r="D4" i="73"/>
  <c r="F6" i="73"/>
  <c r="C14" i="67"/>
  <c r="F6" i="67"/>
  <c r="C17" i="67"/>
  <c r="D7" i="73"/>
  <c r="D3" i="73"/>
  <c r="D5" i="73"/>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G1" i="73"/>
  <c r="B40" i="1" l="1"/>
  <c r="F22" i="11" s="1"/>
  <c r="J18" i="67"/>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30" i="6" s="1"/>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F24" i="67"/>
  <c r="C24" i="67" s="1"/>
  <c r="C26" i="15"/>
  <c r="AE6" i="1"/>
  <c r="F25" i="12" l="1"/>
  <c r="C26" i="12" s="1"/>
  <c r="D25" i="12" s="1"/>
  <c r="F22" i="69"/>
  <c r="C26" i="69" s="1"/>
  <c r="D22" i="69" s="1"/>
  <c r="F24" i="15"/>
  <c r="C24" i="15" s="1"/>
  <c r="L36" i="43"/>
  <c r="N36" i="43" s="1"/>
  <c r="F22" i="68"/>
  <c r="F41" i="68" s="1"/>
  <c r="J24" i="67"/>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C43" i="37"/>
  <c r="C42" i="37"/>
  <c r="G53" i="34"/>
  <c r="H53" i="34" s="1"/>
  <c r="G54" i="34"/>
  <c r="H54" i="34" s="1"/>
  <c r="I40" i="36"/>
  <c r="J40" i="36" s="1"/>
  <c r="F69" i="39"/>
  <c r="G67" i="39"/>
  <c r="U7" i="33"/>
  <c r="AB7" i="33"/>
  <c r="T48" i="33" s="1"/>
  <c r="G48" i="33" s="1"/>
  <c r="C23" i="15"/>
  <c r="E46" i="37"/>
  <c r="F46" i="37" s="1"/>
  <c r="E47" i="37"/>
  <c r="F47" i="37" s="1"/>
  <c r="AC10" i="40"/>
  <c r="W10" i="40"/>
  <c r="C49" i="21"/>
  <c r="C48" i="21"/>
  <c r="C50" i="34"/>
  <c r="C49" i="34"/>
  <c r="C7" i="69"/>
  <c r="C53" i="67"/>
  <c r="C48" i="67" s="1"/>
  <c r="C10" i="67"/>
  <c r="C5" i="67" s="1"/>
  <c r="C38" i="67"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C23" i="67"/>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L37" i="43"/>
  <c r="E43" i="43"/>
  <c r="E33" i="43"/>
  <c r="G41" i="36"/>
  <c r="H41" i="36" s="1"/>
  <c r="G40" i="36"/>
  <c r="H40" i="36" s="1"/>
  <c r="W10" i="39"/>
  <c r="AC10" i="39"/>
  <c r="AB10" i="39"/>
  <c r="U10" i="39"/>
  <c r="E48" i="33"/>
  <c r="E52" i="33" s="1"/>
  <c r="F52" i="33" s="1"/>
  <c r="E36" i="36"/>
  <c r="R37" i="36"/>
  <c r="C39" i="35"/>
  <c r="M3" i="35" s="1"/>
  <c r="C38" i="35"/>
  <c r="F41" i="67"/>
  <c r="F41" i="69" l="1"/>
  <c r="C44" i="68"/>
  <c r="D41" i="68" s="1"/>
  <c r="C29" i="15"/>
  <c r="J14" i="15" s="1"/>
  <c r="J22" i="15" s="1"/>
  <c r="C26" i="68"/>
  <c r="D22" i="68" s="1"/>
  <c r="C24" i="69"/>
  <c r="M36" i="43"/>
  <c r="C44" i="69"/>
  <c r="D41" i="69" s="1"/>
  <c r="C29" i="67"/>
  <c r="C36" i="67" s="1"/>
  <c r="C43" i="69"/>
  <c r="F69" i="67"/>
  <c r="J29" i="67"/>
  <c r="O36" i="43"/>
  <c r="P36" i="43"/>
  <c r="Q36" i="43"/>
  <c r="C42" i="69"/>
  <c r="C41" i="11"/>
  <c r="C49" i="11" s="1"/>
  <c r="C51" i="11" s="1"/>
  <c r="C19" i="68"/>
  <c r="D37" i="68"/>
  <c r="C37" i="68" s="1"/>
  <c r="C33" i="68" s="1"/>
  <c r="I6" i="6"/>
  <c r="I5" i="6"/>
  <c r="R6" i="1"/>
  <c r="R27" i="6"/>
  <c r="B29" i="1"/>
  <c r="C8" i="69"/>
  <c r="C5" i="69" s="1"/>
  <c r="C23" i="69" s="1"/>
  <c r="C22" i="11"/>
  <c r="C31" i="11" s="1"/>
  <c r="C66" i="67"/>
  <c r="C60" i="67"/>
  <c r="C66" i="15"/>
  <c r="C60" i="15"/>
  <c r="C59" i="15" s="1"/>
  <c r="G69" i="39"/>
  <c r="H67" i="39"/>
  <c r="P37" i="43"/>
  <c r="M37" i="43"/>
  <c r="N37" i="43"/>
  <c r="Q37" i="43"/>
  <c r="O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M21" i="67"/>
  <c r="F35" i="67"/>
  <c r="B6" i="76"/>
  <c r="E6" i="76"/>
  <c r="J59" i="15" l="1"/>
  <c r="J60" i="15" s="1"/>
  <c r="L46" i="15" s="1"/>
  <c r="C36" i="15"/>
  <c r="Q49" i="15"/>
  <c r="C57" i="15"/>
  <c r="C64" i="15" s="1"/>
  <c r="C13" i="15"/>
  <c r="C56" i="15" s="1"/>
  <c r="C65" i="15" s="1"/>
  <c r="C13" i="67"/>
  <c r="C75" i="67" s="1"/>
  <c r="C57" i="67"/>
  <c r="C64" i="67" s="1"/>
  <c r="J59" i="67"/>
  <c r="J60" i="67" s="1"/>
  <c r="L46" i="67" s="1"/>
  <c r="J14" i="67"/>
  <c r="J22" i="67" s="1"/>
  <c r="C41" i="69"/>
  <c r="C49" i="69" s="1"/>
  <c r="C51" i="69" s="1"/>
  <c r="Q49"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24" i="68"/>
  <c r="C58" i="15"/>
  <c r="C67" i="15" s="1"/>
  <c r="C68" i="15" s="1"/>
  <c r="C71" i="15" s="1"/>
  <c r="C56" i="67"/>
  <c r="C65" i="67" s="1"/>
  <c r="E2" i="76"/>
  <c r="B2" i="76"/>
  <c r="C48" i="33"/>
  <c r="C49" i="33"/>
  <c r="H65" i="40"/>
  <c r="I63" i="40"/>
  <c r="B3" i="43"/>
  <c r="H69" i="39"/>
  <c r="I67" i="39"/>
  <c r="Q48" i="15" l="1"/>
  <c r="C37" i="15"/>
  <c r="C30" i="15" s="1"/>
  <c r="C39" i="15" s="1"/>
  <c r="J13" i="67"/>
  <c r="J23" i="67" s="1"/>
  <c r="J16" i="67" s="1"/>
  <c r="J25" i="67" s="1"/>
  <c r="C37" i="67"/>
  <c r="C30" i="67" s="1"/>
  <c r="C39" i="67" s="1"/>
  <c r="Q70" i="67"/>
  <c r="Q70" i="15"/>
  <c r="C75" i="15"/>
  <c r="Q48" i="67"/>
  <c r="C56" i="11"/>
  <c r="C57" i="11" s="1"/>
  <c r="C58" i="67"/>
  <c r="C67" i="67" s="1"/>
  <c r="C68" i="67" s="1"/>
  <c r="C71" i="67" s="1"/>
  <c r="C25" i="69"/>
  <c r="C22" i="69" s="1"/>
  <c r="C28" i="69"/>
  <c r="C27" i="69" s="1"/>
  <c r="C20" i="68"/>
  <c r="C22" i="12"/>
  <c r="C30" i="12" s="1"/>
  <c r="C28" i="12" s="1"/>
  <c r="C43" i="68"/>
  <c r="C41" i="68" s="1"/>
  <c r="C49" i="68" s="1"/>
  <c r="C51" i="68" s="1"/>
  <c r="B2" i="33"/>
  <c r="B3" i="33"/>
  <c r="I69" i="39"/>
  <c r="J67" i="39"/>
  <c r="I65" i="40"/>
  <c r="J63" i="40"/>
  <c r="B3" i="76"/>
  <c r="C19" i="9"/>
  <c r="C20" i="9"/>
  <c r="L51" i="67"/>
  <c r="L51" i="15"/>
  <c r="C80" i="15" l="1"/>
  <c r="C79" i="15" s="1"/>
  <c r="Q67" i="15"/>
  <c r="L57" i="15"/>
  <c r="L60" i="15" s="1"/>
  <c r="Q57" i="15" s="1"/>
  <c r="C40" i="15"/>
  <c r="Q69" i="15"/>
  <c r="Q67" i="67"/>
  <c r="Q68" i="15"/>
  <c r="C80" i="67"/>
  <c r="C79" i="67" s="1"/>
  <c r="C40" i="67"/>
  <c r="Q56" i="67" s="1"/>
  <c r="Q62" i="67" s="1"/>
  <c r="Q69" i="67"/>
  <c r="Q68" i="67" s="1"/>
  <c r="C31" i="69"/>
  <c r="C52" i="69" s="1"/>
  <c r="C27" i="12"/>
  <c r="C25" i="12" s="1"/>
  <c r="C32" i="12" s="1"/>
  <c r="B2" i="12" s="1"/>
  <c r="B3" i="12" s="1"/>
  <c r="C28" i="68"/>
  <c r="C27" i="68" s="1"/>
  <c r="C25" i="68"/>
  <c r="C22" i="68" s="1"/>
  <c r="Q65" i="67"/>
  <c r="Q75" i="67" s="1"/>
  <c r="C103" i="9"/>
  <c r="C21" i="9"/>
  <c r="C102" i="9"/>
  <c r="K67" i="39"/>
  <c r="J69" i="39"/>
  <c r="J65" i="40"/>
  <c r="K63" i="40"/>
  <c r="C83" i="67" l="1"/>
  <c r="C82" i="67" s="1"/>
  <c r="Q66" i="15"/>
  <c r="Q47" i="15"/>
  <c r="Q53" i="15" s="1"/>
  <c r="Q56" i="15"/>
  <c r="Q62" i="15" s="1"/>
  <c r="C43" i="15"/>
  <c r="C83" i="15"/>
  <c r="C82" i="15" s="1"/>
  <c r="C46" i="15"/>
  <c r="Q65" i="15"/>
  <c r="B2" i="15"/>
  <c r="B3" i="15" s="1"/>
  <c r="C45" i="67"/>
  <c r="C46" i="67" s="1"/>
  <c r="Q47" i="67"/>
  <c r="Q53" i="67" s="1"/>
  <c r="D2" i="67"/>
  <c r="B2" i="67" s="1"/>
  <c r="C43" i="67"/>
  <c r="C31" i="68"/>
  <c r="C52" i="68" s="1"/>
  <c r="B2" i="68" s="1"/>
  <c r="B3" i="68" s="1"/>
  <c r="B2" i="69"/>
  <c r="B3" i="69" s="1"/>
  <c r="C57" i="69"/>
  <c r="C56" i="69" s="1"/>
  <c r="K69" i="39"/>
  <c r="L67" i="39"/>
  <c r="K65" i="40"/>
  <c r="L63" i="40"/>
  <c r="D19" i="9"/>
  <c r="AO6" i="1"/>
  <c r="Q75" i="15" l="1"/>
  <c r="D21" i="9"/>
  <c r="D22" i="9"/>
  <c r="D102" i="9"/>
  <c r="G19" i="9"/>
  <c r="G21" i="9" s="1"/>
  <c r="B6" i="70"/>
  <c r="B2" i="70" s="1"/>
  <c r="B3" i="70" s="1"/>
  <c r="B3" i="67"/>
  <c r="C57" i="68"/>
  <c r="C56" i="68" s="1"/>
  <c r="L69" i="39"/>
  <c r="M67" i="39"/>
  <c r="L65" i="40"/>
  <c r="M63" i="40"/>
  <c r="D20" i="9"/>
  <c r="G20" i="9" l="1"/>
  <c r="C32" i="9" s="1"/>
  <c r="D35" i="9" s="1"/>
  <c r="D103" i="9"/>
  <c r="M69" i="39"/>
  <c r="N67" i="39"/>
  <c r="M65" i="40"/>
  <c r="N63" i="40"/>
  <c r="I118" i="9" l="1"/>
  <c r="I4" i="52" s="1"/>
  <c r="D34" i="9"/>
  <c r="G24" i="9"/>
  <c r="O67" i="39"/>
  <c r="O69" i="39" s="1"/>
  <c r="N69" i="39"/>
  <c r="O63" i="40"/>
  <c r="O65" i="40" s="1"/>
  <c r="N65" i="40"/>
  <c r="H102" i="9" l="1"/>
  <c r="D7" i="53" s="1"/>
  <c r="B21" i="72" s="1"/>
  <c r="H118" i="9"/>
  <c r="H101" i="9" s="1"/>
  <c r="C105" i="9"/>
  <c r="J7" i="40"/>
  <c r="F7" i="40"/>
  <c r="H7" i="40"/>
  <c r="F7" i="39"/>
  <c r="J7" i="39"/>
  <c r="H7" i="39"/>
  <c r="H4" i="52" l="1"/>
  <c r="H119" i="9"/>
  <c r="H5" i="52" s="1"/>
  <c r="D14" i="74"/>
  <c r="E14" i="74" s="1"/>
  <c r="C104" i="9"/>
  <c r="AA7" i="39"/>
  <c r="R47" i="39" s="1"/>
  <c r="S7" i="39"/>
  <c r="U7" i="40"/>
  <c r="AB7" i="40"/>
  <c r="T42" i="40" s="1"/>
  <c r="G42" i="40" s="1"/>
  <c r="U7" i="39"/>
  <c r="AB7" i="39"/>
  <c r="T47" i="39" s="1"/>
  <c r="G47" i="39" s="1"/>
  <c r="S7" i="40"/>
  <c r="AA7" i="40"/>
  <c r="R42" i="40" s="1"/>
  <c r="W7" i="39"/>
  <c r="AC7" i="39"/>
  <c r="V47" i="39" s="1"/>
  <c r="I47" i="39" s="1"/>
  <c r="W7" i="40"/>
  <c r="AC7" i="40"/>
  <c r="V42" i="40" s="1"/>
  <c r="I42" i="40" s="1"/>
  <c r="M48" i="9"/>
  <c r="D45" i="9"/>
  <c r="D5" i="53"/>
  <c r="H107" i="9"/>
  <c r="B5" i="74" l="1"/>
  <c r="D5" i="74" s="1"/>
  <c r="G14" i="74"/>
  <c r="B6" i="74" s="1"/>
  <c r="D6" i="74" s="1"/>
  <c r="F14" i="74"/>
  <c r="R43" i="40"/>
  <c r="E42" i="40"/>
  <c r="I47" i="40" s="1"/>
  <c r="J47" i="40" s="1"/>
  <c r="G47" i="40"/>
  <c r="H47" i="40" s="1"/>
  <c r="G46" i="40"/>
  <c r="H46" i="40" s="1"/>
  <c r="I51" i="39"/>
  <c r="J51" i="39" s="1"/>
  <c r="G52" i="39"/>
  <c r="H52" i="39" s="1"/>
  <c r="G51" i="39"/>
  <c r="H51" i="39" s="1"/>
  <c r="I46" i="40"/>
  <c r="J46" i="40" s="1"/>
  <c r="R48" i="39"/>
  <c r="E47" i="39"/>
  <c r="D13" i="53"/>
  <c r="D122" i="9"/>
  <c r="H108" i="9"/>
  <c r="D15" i="53" s="1"/>
  <c r="B31" i="72" s="1"/>
  <c r="M49" i="9"/>
  <c r="C72" i="9"/>
  <c r="C64" i="9"/>
  <c r="C63" i="9" s="1"/>
  <c r="C67" i="9" s="1"/>
  <c r="D53" i="9"/>
  <c r="C78" i="9"/>
  <c r="C73" i="9" s="1"/>
  <c r="D52" i="9"/>
  <c r="C93" i="9"/>
  <c r="C86" i="9" s="1"/>
  <c r="C85" i="9"/>
  <c r="D55" i="9"/>
  <c r="M53" i="9" s="1"/>
  <c r="D6" i="53"/>
  <c r="B22" i="72" s="1"/>
  <c r="B20" i="72"/>
  <c r="C5" i="74" l="1"/>
  <c r="C47" i="39"/>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<sst xmlns="http://schemas.openxmlformats.org/spreadsheetml/2006/main" count="7999" uniqueCount="2794">
  <si>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</si>
  <si>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</si>
  <si>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</si>
  <si>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</si>
  <si>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</si>
  <si>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</si>
  <si>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</si>
  <si>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</si>
  <si>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</si>
  <si>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</si>
  <si>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</si>
  <si>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</si>
  <si>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</si>
  <si>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</si>
  <si>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</si>
  <si>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</si>
  <si>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</si>
  <si>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</si>
  <si>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</si>
  <si>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</si>
  <si>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</si>
  <si>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</si>
  <si>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</si>
  <si>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</si>
  <si>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</si>
  <si>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</si>
  <si>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</si>
  <si>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</si>
  <si>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</si>
  <si>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</si>
  <si>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</si>
  <si>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</si>
  <si>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</si>
  <si>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</si>
  <si>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</si>
  <si>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</si>
  <si>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</si>
  <si>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</si>
  <si>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</si>
  <si>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</si>
  <si>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</si>
  <si>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</si>
  <si>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</si>
  <si>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</si>
  <si>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</si>
  <si>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</si>
  <si>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</si>
  <si>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</si>
  <si>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</si>
  <si>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</si>
  <si>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</si>
  <si>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</si>
  <si>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</si>
  <si>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</si>
  <si>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</si>
  <si>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</si>
  <si>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</si>
  <si>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</si>
  <si>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</si>
  <si>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</si>
  <si>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</si>
  <si>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</si>
  <si>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</si>
  <si>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</si>
  <si>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</si>
  <si>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</si>
  <si>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</si>
  <si>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</si>
  <si>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</si>
  <si>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</si>
  <si>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</si>
  <si>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</si>
  <si>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</si>
  <si>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</si>
  <si>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</si>
  <si>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</si>
  <si>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</si>
  <si>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</si>
  <si>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</si>
  <si>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</si>
  <si>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</si>
  <si>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</si>
  <si>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</si>
  <si>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</si>
  <si>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</si>
  <si>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</si>
  <si>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</si>
  <si>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</si>
  <si>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</si>
  <si>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</si>
  <si>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</si>
  <si>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</si>
  <si>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</si>
  <si>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</si>
  <si>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</si>
  <si>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</si>
  <si>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</si>
  <si>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</si>
  <si>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</si>
  <si>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</si>
  <si>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</si>
  <si>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</si>
  <si>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</si>
  <si>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</si>
  <si>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</si>
  <si>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</si>
  <si>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</si>
  <si>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</si>
  <si>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</si>
  <si>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</si>
  <si>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</si>
  <si>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</si>
  <si>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</si>
  <si>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</si>
  <si>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</si>
  <si>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</si>
  <si>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</si>
  <si>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</si>
  <si>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</si>
  <si>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</si>
  <si>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</si>
  <si>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</si>
  <si>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</si>
  <si>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</si>
  <si>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</si>
  <si>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</si>
  <si>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</si>
  <si>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</si>
  <si>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</si>
  <si>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</si>
  <si>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</si>
  <si>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</si>
  <si>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</si>
  <si>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</si>
  <si>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</si>
  <si>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</si>
  <si>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</si>
  <si>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</si>
  <si>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</si>
  <si>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</si>
  <si>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</si>
  <si>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</si>
  <si>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</si>
  <si>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</si>
  <si>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</si>
  <si>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</si>
  <si>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</si>
  <si>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</si>
  <si>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</si>
  <si>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</si>
  <si>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</si>
  <si>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</si>
  <si>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</si>
  <si>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</si>
  <si>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</si>
  <si>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</si>
  <si>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</si>
  <si>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</si>
  <si>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</si>
  <si>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</si>
  <si>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</si>
  <si>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</si>
  <si>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</si>
  <si>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</si>
  <si>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</si>
  <si>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</si>
  <si>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</si>
  <si>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</si>
  <si>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</si>
  <si>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</si>
  <si>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</si>
  <si>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</si>
  <si>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</si>
  <si>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</si>
  <si>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</si>
  <si>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</si>
  <si>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</si>
  <si>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</si>
  <si>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</si>
  <si>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</si>
  <si>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</si>
  <si>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</si>
  <si>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</si>
  <si>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</si>
  <si>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</si>
  <si>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</si>
  <si>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</si>
  <si>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</si>
  <si>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</si>
  <si>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</si>
  <si>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</si>
  <si>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</si>
  <si>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</si>
  <si>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</si>
  <si>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</si>
  <si>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</si>
  <si>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</si>
  <si>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</si>
  <si>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</si>
  <si>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</si>
  <si>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</si>
  <si>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</si>
  <si>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</si>
  <si>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</si>
  <si>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</si>
  <si>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</si>
  <si>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</si>
  <si>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</si>
  <si>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</si>
  <si>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</si>
  <si>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</si>
  <si>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</si>
  <si>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</si>
  <si>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</si>
  <si>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</si>
  <si>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</si>
  <si>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</si>
  <si>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</si>
  <si>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</si>
  <si>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</si>
  <si>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</si>
  <si>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</si>
  <si>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</si>
  <si>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</si>
  <si>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</si>
  <si>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</si>
  <si>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</si>
  <si>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</si>
  <si>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</si>
  <si>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</si>
  <si>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</si>
  <si>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</si>
  <si>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</si>
  <si>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</si>
  <si>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</si>
  <si>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</si>
  <si>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</si>
  <si>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</si>
  <si>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</si>
  <si>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</si>
  <si>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</si>
  <si>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</si>
  <si>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</si>
  <si>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</si>
  <si>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</si>
  <si>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</si>
  <si>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</si>
  <si>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</si>
  <si>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</si>
  <si>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</si>
  <si>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</si>
  <si>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</si>
  <si>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</si>
  <si>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</si>
  <si>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</si>
  <si>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</si>
  <si>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</si>
  <si>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</si>
  <si>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</si>
  <si>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</si>
  <si>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</si>
  <si>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</si>
  <si>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</si>
  <si>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</si>
  <si>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</si>
  <si>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</si>
  <si>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</si>
  <si>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</si>
  <si>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</si>
  <si>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</si>
  <si>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</si>
  <si>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</si>
  <si>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</si>
  <si>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</si>
  <si>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</si>
  <si>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</si>
  <si>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</si>
  <si>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</si>
  <si>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</si>
  <si>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</si>
  <si>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</si>
  <si>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</si>
  <si>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</si>
  <si>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</si>
  <si>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</si>
  <si>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</si>
  <si>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</si>
  <si>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</si>
  <si>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</si>
  <si>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</si>
  <si>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</si>
  <si>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</si>
  <si>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</si>
  <si>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</si>
  <si>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</si>
  <si>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</si>
  <si>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</si>
  <si>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</si>
  <si>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</si>
  <si>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</si>
  <si>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</si>
  <si>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</si>
  <si>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</si>
  <si>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</si>
  <si>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</si>
  <si>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</si>
  <si>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</si>
  <si>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</si>
  <si>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</si>
  <si>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</si>
  <si>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</si>
  <si>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</si>
  <si>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</si>
  <si>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</si>
  <si>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</si>
  <si>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</si>
  <si>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</si>
  <si>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</si>
  <si>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</si>
  <si>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</si>
  <si>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</si>
  <si>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</si>
  <si>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</si>
  <si>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</si>
  <si>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</si>
  <si>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</si>
  <si>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</si>
  <si>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</si>
  <si>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</si>
  <si>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</si>
  <si>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</si>
  <si>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</si>
  <si>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</si>
  <si>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</si>
  <si>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</si>
  <si>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</si>
  <si>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</si>
  <si>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</si>
  <si>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</si>
  <si>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</si>
  <si>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</si>
  <si>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</si>
  <si>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</si>
  <si>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</si>
  <si>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</si>
  <si>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</si>
  <si>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</si>
  <si>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</si>
  <si>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</si>
  <si>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</si>
  <si>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</si>
  <si>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</si>
  <si>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</si>
  <si>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</si>
  <si>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</si>
  <si>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</si>
  <si>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</si>
  <si>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</si>
  <si>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</si>
  <si>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</si>
  <si>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</si>
  <si>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</si>
  <si>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</si>
  <si>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</si>
  <si>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</si>
  <si>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</si>
  <si>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</si>
  <si>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</si>
  <si>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</si>
  <si>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</si>
  <si>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</si>
  <si>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</si>
  <si>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</si>
  <si>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</si>
  <si>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</si>
  <si>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</si>
  <si>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</si>
  <si>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</si>
  <si>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</si>
  <si>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</si>
  <si>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</si>
  <si>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</si>
  <si>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</si>
  <si>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</si>
  <si>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</si>
  <si>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</si>
  <si>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</si>
  <si>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</si>
  <si>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</si>
  <si>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</si>
  <si>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</si>
  <si>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</si>
  <si>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</si>
  <si>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</si>
  <si>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</si>
  <si>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</si>
  <si>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</si>
  <si>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</si>
  <si>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</si>
  <si>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</si>
  <si>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</si>
  <si>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</si>
  <si>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</si>
  <si>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</si>
  <si>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</si>
  <si>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</si>
  <si>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</si>
  <si>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</si>
  <si>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</si>
  <si>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</si>
  <si>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</si>
  <si>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</si>
  <si>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</si>
  <si>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</si>
  <si>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</si>
  <si>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</si>
  <si>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</si>
  <si>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</si>
  <si>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</si>
  <si>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</si>
  <si>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</si>
  <si>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</si>
  <si>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</si>
  <si>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</si>
  <si>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</si>
  <si>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</si>
  <si>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</si>
  <si>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</si>
  <si>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</si>
  <si>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</si>
  <si>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</si>
  <si>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</si>
  <si>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</si>
  <si>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</si>
  <si>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</si>
  <si>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</si>
  <si>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</si>
  <si>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</si>
  <si>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</si>
  <si>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</si>
  <si>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</si>
  <si>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</si>
  <si>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</si>
  <si>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</si>
  <si>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</si>
  <si>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</si>
  <si>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</si>
  <si>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</si>
  <si>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</si>
  <si>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</si>
  <si>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</si>
  <si>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</si>
  <si>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</si>
  <si>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</si>
  <si>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</si>
  <si>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</si>
  <si>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</si>
  <si>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</si>
  <si>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</si>
  <si>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</si>
  <si>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</si>
  <si>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</si>
  <si>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</si>
  <si>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</si>
  <si>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</si>
  <si>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</si>
  <si>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</si>
  <si>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</si>
  <si>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</si>
  <si>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</si>
  <si>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</si>
  <si>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</si>
  <si>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</si>
  <si>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</si>
  <si>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</si>
  <si>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</si>
  <si>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</si>
  <si>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</si>
  <si>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</si>
  <si>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</si>
  <si>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</si>
  <si>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</si>
  <si>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</si>
  <si>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</si>
  <si>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</si>
  <si>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</si>
  <si>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</si>
  <si>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</si>
  <si>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</si>
  <si>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</si>
  <si>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</si>
  <si>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</si>
  <si>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</si>
  <si>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</si>
  <si>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</si>
  <si>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</si>
  <si>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</si>
  <si>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</si>
  <si>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</si>
  <si>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</si>
  <si>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</si>
  <si>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</si>
  <si>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</si>
  <si>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</si>
  <si>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</si>
  <si>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</si>
  <si>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</si>
  <si>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</si>
  <si>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</si>
  <si>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</si>
  <si>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</si>
  <si>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</si>
  <si>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</si>
  <si>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</si>
  <si>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</si>
  <si>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</si>
  <si>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</si>
  <si>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</si>
  <si>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</si>
  <si>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</si>
  <si>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</si>
  <si>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</si>
  <si>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</si>
  <si>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</si>
  <si>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</si>
  <si>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</si>
  <si>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</si>
  <si>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</si>
  <si>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</si>
  <si>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</si>
  <si>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</si>
  <si>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</si>
  <si>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</si>
  <si>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</si>
  <si>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</si>
  <si>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</si>
  <si>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</si>
  <si>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</si>
  <si>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</si>
  <si>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</si>
  <si>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</si>
  <si>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</si>
  <si>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</si>
  <si>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</si>
  <si>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</si>
  <si>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</si>
  <si>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</si>
  <si>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</si>
  <si>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</si>
  <si>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</si>
  <si>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</si>
  <si>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</si>
  <si>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</si>
  <si>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</si>
  <si>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</si>
  <si>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</si>
  <si>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</si>
  <si>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</si>
  <si>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</si>
  <si>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</si>
  <si>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</si>
  <si>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</si>
  <si>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</si>
  <si>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</si>
  <si>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</si>
  <si>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</si>
  <si>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</si>
  <si>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</si>
  <si>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</si>
  <si>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</si>
  <si>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</si>
  <si>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</si>
  <si>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</si>
  <si>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</si>
  <si>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</si>
  <si>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</si>
  <si>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</si>
  <si>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</si>
  <si>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</si>
  <si>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</si>
  <si>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</si>
  <si>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</si>
  <si>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</si>
  <si>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</si>
  <si>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</si>
  <si>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</si>
  <si>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</si>
  <si>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</si>
  <si>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</si>
  <si>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</si>
  <si>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</si>
  <si>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</si>
  <si>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</si>
  <si>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</si>
  <si>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</si>
  <si>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</si>
  <si>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</si>
  <si>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</si>
  <si>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</si>
  <si>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</si>
  <si>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</si>
  <si>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</si>
  <si>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</si>
  <si>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</si>
  <si>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</si>
  <si>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</si>
  <si>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</si>
  <si>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</si>
  <si>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</si>
  <si>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</si>
  <si>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</si>
  <si>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</si>
  <si>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</si>
  <si>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</si>
  <si>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</si>
  <si>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</si>
  <si>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</si>
  <si>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</si>
  <si>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</si>
  <si>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</si>
  <si>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</si>
  <si>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</si>
  <si>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</si>
  <si>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</si>
  <si>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</si>
  <si>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</si>
  <si>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</si>
  <si>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</si>
  <si>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</si>
  <si>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</si>
  <si>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</si>
  <si>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</si>
  <si>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</si>
  <si>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</si>
  <si>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</si>
  <si>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</si>
  <si>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</si>
  <si>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</si>
  <si>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</si>
  <si>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</si>
  <si>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</si>
  <si>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</si>
  <si>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</si>
  <si>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</si>
  <si>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</si>
  <si>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</si>
  <si>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</si>
  <si>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</si>
  <si>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</si>
  <si>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</si>
  <si>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</si>
  <si>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</si>
  <si>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</si>
  <si>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</si>
  <si>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</si>
  <si>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</si>
  <si>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</si>
  <si>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</si>
  <si>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</si>
  <si>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</si>
  <si>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</si>
  <si>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</si>
  <si>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</si>
  <si>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</si>
  <si>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</si>
  <si>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</si>
  <si>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</si>
  <si>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</si>
  <si>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</si>
  <si>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</si>
  <si>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</si>
  <si>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</si>
  <si>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</si>
  <si>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</si>
  <si>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</si>
  <si>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</si>
  <si>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</si>
  <si>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</si>
  <si>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</si>
  <si>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</si>
  <si>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</si>
  <si>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</si>
  <si>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</si>
  <si>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</si>
  <si>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</si>
  <si>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</si>
  <si>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</si>
  <si>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</si>
  <si>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</si>
  <si>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</si>
  <si>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</si>
  <si>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</si>
  <si>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</si>
  <si>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</si>
  <si>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</si>
  <si>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</si>
  <si>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</si>
  <si>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</si>
  <si>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</si>
  <si>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</si>
  <si>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</si>
  <si>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</si>
  <si>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</si>
  <si>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</si>
  <si>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</si>
  <si>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</si>
  <si>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</si>
  <si>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</si>
  <si>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</si>
  <si>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</si>
  <si>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</si>
  <si>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</si>
  <si>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</si>
  <si>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</si>
  <si>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</si>
  <si>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</si>
  <si>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</si>
  <si>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</si>
  <si>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</si>
  <si>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</si>
  <si>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</si>
  <si>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</si>
  <si>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</si>
  <si>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</si>
  <si>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</si>
  <si>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</si>
  <si>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</si>
  <si>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</si>
  <si>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</si>
  <si>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</si>
  <si>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</si>
  <si>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</si>
  <si>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</si>
  <si>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</si>
  <si>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</si>
  <si>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</si>
  <si>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</si>
  <si>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</si>
  <si>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</si>
  <si>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</si>
  <si>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</si>
  <si>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</si>
  <si>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</si>
  <si>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</si>
  <si>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</si>
  <si>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</si>
  <si>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</si>
  <si>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</si>
  <si>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</si>
  <si>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</si>
  <si>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</si>
  <si>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</si>
  <si>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</si>
  <si>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</si>
  <si>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</si>
  <si>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</si>
  <si>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</si>
  <si>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</si>
  <si>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</si>
  <si>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</si>
  <si>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</si>
  <si>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</si>
  <si>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</si>
  <si>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</si>
  <si>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</si>
  <si>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</si>
  <si>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</si>
  <si>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</si>
  <si>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</si>
  <si>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</si>
  <si>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</si>
  <si>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</si>
  <si>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</si>
  <si>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</si>
  <si>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</si>
  <si>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</si>
  <si>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</si>
  <si>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</si>
  <si>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</si>
  <si>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</si>
  <si>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</si>
  <si>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</si>
  <si>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</si>
  <si>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</si>
  <si>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</si>
  <si>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</si>
  <si>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</si>
  <si>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</si>
  <si>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</si>
  <si>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</si>
  <si>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</si>
  <si>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</si>
  <si>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</si>
  <si>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</si>
  <si>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</si>
  <si>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</si>
  <si>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</si>
  <si>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</si>
  <si>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</si>
  <si>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</si>
  <si>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</si>
  <si>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</si>
  <si>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</si>
  <si>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</si>
  <si>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</si>
  <si>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</si>
  <si>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</si>
  <si>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</si>
  <si>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</si>
  <si>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</si>
  <si>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</si>
  <si>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</si>
  <si>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</si>
  <si>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</si>
  <si>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</si>
  <si>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</si>
  <si>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</si>
  <si>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</si>
  <si>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</si>
  <si>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</si>
  <si>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</si>
  <si>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</si>
  <si>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</si>
  <si>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</si>
  <si>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</si>
  <si>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</si>
  <si>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</si>
  <si>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</si>
  <si>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</si>
  <si>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</si>
  <si>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</si>
  <si>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</si>
  <si>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</si>
  <si>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</si>
  <si>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</si>
  <si>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</si>
  <si>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</si>
  <si>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</si>
  <si>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</si>
  <si>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</si>
  <si>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</si>
  <si>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</si>
  <si>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</si>
  <si>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</si>
  <si>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</si>
  <si>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</si>
  <si>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</si>
  <si>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</si>
  <si>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</si>
  <si>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</si>
  <si>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</si>
  <si>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</si>
  <si>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</si>
  <si>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</si>
  <si>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</si>
  <si>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</si>
  <si>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</si>
  <si>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</si>
  <si>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</si>
  <si>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</si>
  <si>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</si>
  <si>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</si>
  <si>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</si>
  <si>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</si>
  <si>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</si>
  <si>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</si>
  <si>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</si>
  <si>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</si>
  <si>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</si>
  <si>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</si>
  <si>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</si>
  <si>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</si>
  <si>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</si>
  <si>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</si>
  <si>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</si>
  <si>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</si>
  <si>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</si>
  <si>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</si>
  <si>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</si>
  <si>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</si>
  <si>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</si>
  <si>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</si>
  <si>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</si>
  <si>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</si>
  <si>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</si>
  <si>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</si>
  <si>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</si>
  <si>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</si>
  <si>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</si>
  <si>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</si>
  <si>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</si>
  <si>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</si>
  <si>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</si>
  <si>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</si>
  <si>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</si>
  <si>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</si>
  <si>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</si>
  <si>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</si>
  <si>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</si>
  <si>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</si>
  <si>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</si>
  <si>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</si>
  <si>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</si>
  <si>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</si>
  <si>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</si>
  <si>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</si>
  <si>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</si>
  <si>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</si>
  <si>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</si>
  <si>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</si>
  <si>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</si>
  <si>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</si>
  <si>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</si>
  <si>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</si>
  <si>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</si>
  <si>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</si>
  <si>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</si>
  <si>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</si>
  <si>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</si>
  <si>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</si>
  <si>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</si>
  <si>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</si>
  <si>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</si>
  <si>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</si>
  <si>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</si>
  <si>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</si>
  <si>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</si>
  <si>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</si>
  <si>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</si>
  <si>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</si>
  <si>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</si>
  <si>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</si>
  <si>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</si>
  <si>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</si>
  <si>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</si>
  <si>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</si>
  <si>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</si>
  <si>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</si>
  <si>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</si>
  <si>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</si>
  <si>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</si>
  <si>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</si>
  <si>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</si>
  <si>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</si>
  <si>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</si>
  <si>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</si>
  <si>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</si>
  <si>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</si>
  <si>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</si>
  <si>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</si>
  <si>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</si>
  <si>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</si>
  <si>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</si>
  <si>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</si>
  <si>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</si>
  <si>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</si>
  <si>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</si>
  <si>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</si>
  <si>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</si>
  <si>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</si>
  <si>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</si>
  <si>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</si>
  <si>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</si>
  <si>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</si>
  <si>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</si>
  <si>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</si>
  <si>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</si>
  <si>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</si>
  <si>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</si>
  <si>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</si>
  <si>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</si>
  <si>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</si>
  <si>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</si>
  <si>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</si>
  <si>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</si>
  <si>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</si>
  <si>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</si>
  <si>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</si>
  <si>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</si>
  <si>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</si>
  <si>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</si>
  <si>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</si>
  <si>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</si>
  <si>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</si>
  <si>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</si>
  <si>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</si>
  <si>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</si>
  <si>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</si>
  <si>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</si>
  <si>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</si>
  <si>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</si>
  <si>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</si>
  <si>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</si>
  <si>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</si>
  <si>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</si>
  <si>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</si>
  <si>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</si>
  <si>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</si>
  <si>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</si>
  <si>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</si>
  <si>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</si>
  <si>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</si>
  <si>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</si>
  <si>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</si>
  <si>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</si>
  <si>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</si>
  <si>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</si>
  <si>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</si>
  <si>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</si>
  <si>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</si>
  <si>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</si>
  <si>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</si>
  <si>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</si>
  <si>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</si>
  <si>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</si>
  <si>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</si>
  <si>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</si>
  <si>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</si>
  <si>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</si>
  <si>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</si>
  <si>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</si>
  <si>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</si>
  <si>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</si>
  <si>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</si>
  <si>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</si>
  <si>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</si>
  <si>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</si>
  <si>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</si>
  <si>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</si>
  <si>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</si>
  <si>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</si>
  <si>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</si>
  <si>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</si>
  <si>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</si>
  <si>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</si>
  <si>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</si>
  <si>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</si>
  <si>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</si>
  <si>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</si>
  <si>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</si>
  <si>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</si>
  <si>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</si>
  <si>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</si>
  <si>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</si>
  <si>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</si>
  <si>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</si>
  <si>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</si>
  <si>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</si>
  <si>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</si>
  <si>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</si>
  <si>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</si>
  <si>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</si>
  <si>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</si>
  <si>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</si>
  <si>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</si>
  <si>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</si>
  <si>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</si>
  <si>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</si>
  <si>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</si>
  <si>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</si>
  <si>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</si>
  <si>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</si>
  <si>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</si>
  <si>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</si>
  <si>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</si>
  <si>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</si>
  <si>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</si>
  <si>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</si>
  <si>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</si>
  <si>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</si>
  <si>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</si>
  <si>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</si>
  <si>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</si>
  <si>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</si>
  <si>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</si>
  <si>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</si>
  <si>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</si>
  <si>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</si>
  <si>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</si>
  <si>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</si>
  <si>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</si>
  <si>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</si>
  <si>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</si>
  <si>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</si>
  <si>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</si>
  <si>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</si>
  <si>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</si>
  <si>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</si>
  <si>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</si>
  <si>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</si>
  <si>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</si>
  <si>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</si>
  <si>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</si>
  <si>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</si>
  <si>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</si>
  <si>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</si>
  <si>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</si>
  <si>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</si>
  <si>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</si>
  <si>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</si>
  <si>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</si>
  <si>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</si>
  <si>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</si>
  <si>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</si>
  <si>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</si>
  <si>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</si>
  <si>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</si>
  <si>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</si>
  <si>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</si>
  <si>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</si>
  <si>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</si>
  <si>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</si>
  <si>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</si>
  <si>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</si>
  <si>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</si>
  <si>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</si>
  <si>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</si>
  <si>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</si>
  <si>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</si>
  <si>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</si>
  <si>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</si>
  <si>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</si>
  <si>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</si>
  <si>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</si>
  <si>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</si>
  <si>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</si>
  <si>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</si>
  <si>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</si>
  <si>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</si>
  <si>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</si>
  <si>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</si>
  <si>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</si>
  <si>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</si>
  <si>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</si>
  <si>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</si>
  <si>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</si>
  <si>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</si>
  <si>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</si>
  <si>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</si>
  <si>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</si>
  <si>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</si>
  <si>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</si>
  <si>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</si>
  <si>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</si>
  <si>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</si>
  <si>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</si>
  <si>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</si>
  <si>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</si>
  <si>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</si>
  <si>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</si>
  <si>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</si>
  <si>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</si>
  <si>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</si>
  <si>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</si>
  <si>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</si>
  <si>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</si>
  <si>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</si>
  <si>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</si>
  <si>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</si>
  <si>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</si>
  <si>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</si>
  <si>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</si>
  <si>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</si>
  <si>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</si>
  <si>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</si>
  <si>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</si>
  <si>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</si>
  <si>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</si>
  <si>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</si>
  <si>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</si>
  <si>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</si>
  <si>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</si>
  <si>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</si>
  <si>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</si>
  <si>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</si>
  <si>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</si>
  <si>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</si>
  <si>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</si>
  <si>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</si>
  <si>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</si>
  <si>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</si>
  <si>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</si>
  <si>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</si>
  <si>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</si>
  <si>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</si>
  <si>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</si>
  <si>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</si>
  <si>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</si>
  <si>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</si>
  <si>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</si>
  <si>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</si>
  <si>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</si>
  <si>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</si>
  <si>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</si>
  <si>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</si>
  <si>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</si>
  <si>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</si>
  <si>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</si>
  <si>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</si>
  <si>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</si>
  <si>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</si>
  <si>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</si>
  <si>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</si>
  <si>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</si>
  <si>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</si>
  <si>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</si>
  <si>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</si>
  <si>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</si>
  <si>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</si>
  <si>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</si>
  <si>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</si>
  <si>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</si>
  <si>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</si>
  <si>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</si>
  <si>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</si>
  <si>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</si>
  <si>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</si>
  <si>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</si>
  <si>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</si>
  <si>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</si>
  <si>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</si>
  <si>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</si>
  <si>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</si>
  <si>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</si>
  <si>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</si>
  <si>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</si>
  <si>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</si>
  <si>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</si>
  <si>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</si>
  <si>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</si>
  <si>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</si>
  <si>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</si>
  <si>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</si>
  <si>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</si>
  <si>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</si>
  <si>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</si>
  <si>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</si>
  <si>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</si>
  <si>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</si>
  <si>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</si>
  <si>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</si>
  <si>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</si>
  <si>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</si>
  <si>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</si>
  <si>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</si>
  <si>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</si>
  <si>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</si>
  <si>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</si>
  <si>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</si>
  <si>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</si>
  <si>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</si>
  <si>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</si>
  <si>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</si>
  <si>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</si>
  <si>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</si>
  <si>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</si>
  <si>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</si>
  <si>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</si>
  <si>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</si>
  <si>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</si>
  <si>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</si>
  <si>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</si>
  <si>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</si>
  <si>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</si>
  <si>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</si>
  <si>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</si>
  <si>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</si>
  <si>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</si>
  <si>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</si>
  <si>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</si>
  <si>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</si>
  <si>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</si>
  <si>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</si>
  <si>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</si>
  <si>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</si>
  <si>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</si>
  <si>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</si>
  <si>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</si>
  <si>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</si>
  <si>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</si>
  <si>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</si>
  <si>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</si>
  <si>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</si>
  <si>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</si>
  <si>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</si>
  <si>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</si>
  <si>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</si>
  <si>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</si>
  <si>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</si>
  <si>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</si>
  <si>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</si>
  <si>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</si>
  <si>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</si>
  <si>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</si>
  <si>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</si>
  <si>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</si>
  <si>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</si>
  <si>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</si>
  <si>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</si>
  <si>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</si>
  <si>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</si>
  <si>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</si>
  <si>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</si>
  <si>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</si>
  <si>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</si>
  <si>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</si>
  <si>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</si>
  <si>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</si>
  <si>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</si>
  <si>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</si>
  <si>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</si>
  <si>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</si>
  <si>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</si>
  <si>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</si>
  <si>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</si>
  <si>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</si>
  <si>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</si>
  <si>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</si>
  <si>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</si>
  <si>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</si>
  <si>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</si>
  <si>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</si>
  <si>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</si>
  <si>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</si>
  <si>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</si>
  <si>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</si>
  <si>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</si>
  <si>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</si>
  <si>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</si>
  <si>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</si>
  <si>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</si>
  <si>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</si>
  <si>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</si>
  <si>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</si>
  <si>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</si>
  <si>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</si>
  <si>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</si>
  <si>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</si>
  <si>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</si>
  <si>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</si>
  <si>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</si>
  <si>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</si>
  <si>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</si>
  <si>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</si>
  <si>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</si>
  <si>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</si>
  <si>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</si>
  <si>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</si>
  <si>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</si>
  <si>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</si>
  <si>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</si>
  <si>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</si>
  <si>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</si>
  <si>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</si>
  <si>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</si>
  <si>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</si>
  <si>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</si>
  <si>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</si>
  <si>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</si>
  <si>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</si>
  <si>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</si>
  <si>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</si>
  <si>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</si>
  <si>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</si>
  <si>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</si>
  <si>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</si>
  <si>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</si>
  <si>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</si>
  <si>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</si>
  <si>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</si>
  <si>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</si>
  <si>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</si>
  <si>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</si>
  <si>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</si>
  <si>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</si>
  <si>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</si>
  <si>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</si>
  <si>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</si>
  <si>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</si>
  <si>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</si>
  <si>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</si>
  <si>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</si>
  <si>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</si>
  <si>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</si>
  <si>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</si>
  <si>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</si>
  <si>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</si>
  <si>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</si>
  <si>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</si>
  <si>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</si>
  <si>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</si>
  <si>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</si>
  <si>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</si>
  <si>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</si>
  <si>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</si>
  <si>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</si>
  <si>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</si>
  <si>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</si>
  <si>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</si>
  <si>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</si>
  <si>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</si>
  <si>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</si>
  <si>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</si>
  <si>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</si>
  <si>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</si>
  <si>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</si>
  <si>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</si>
  <si>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</si>
  <si>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</si>
  <si>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</si>
  <si>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</si>
  <si>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</si>
  <si>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</si>
  <si>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</si>
  <si>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</si>
  <si>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</si>
  <si>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</si>
  <si>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</si>
  <si>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</si>
  <si>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</si>
  <si>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</si>
  <si>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</si>
  <si>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</si>
  <si>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</si>
  <si>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</si>
  <si>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</si>
  <si>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</si>
  <si>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</si>
  <si>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</si>
  <si>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</si>
  <si>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</si>
  <si>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</si>
  <si>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</si>
  <si>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</si>
  <si>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</si>
  <si>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</si>
  <si>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</si>
  <si>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</si>
  <si>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</si>
  <si>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</si>
  <si>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</si>
  <si>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</si>
  <si>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</si>
  <si>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</si>
  <si>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</si>
  <si>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</si>
  <si>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</si>
  <si>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</si>
  <si>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</si>
  <si>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</si>
  <si>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</si>
  <si>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</si>
  <si>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</si>
  <si>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</si>
  <si>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</si>
  <si>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</si>
  <si>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</si>
  <si>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</si>
  <si>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</si>
  <si>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</si>
  <si>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</si>
  <si>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</si>
  <si>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</si>
  <si>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</si>
  <si>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</si>
  <si>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</si>
  <si>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</si>
  <si>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</si>
  <si>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</si>
  <si>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</si>
  <si>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</si>
  <si>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</si>
  <si>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</si>
  <si>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</si>
  <si>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</si>
  <si>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</si>
  <si>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</si>
  <si>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</si>
  <si>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</si>
  <si>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</si>
  <si>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</si>
  <si>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</si>
  <si>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</si>
  <si>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</si>
  <si>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</si>
  <si>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</si>
  <si>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</si>
  <si>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</si>
  <si>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</si>
  <si>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</si>
  <si>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</si>
  <si>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</si>
  <si>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</si>
  <si>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</si>
  <si>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</si>
  <si>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</si>
  <si>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</si>
  <si>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</si>
  <si>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</si>
  <si>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</si>
  <si>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</si>
  <si>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</si>
  <si>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</si>
  <si>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</si>
  <si>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</si>
  <si>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</si>
  <si>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</si>
  <si>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</si>
  <si>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</si>
  <si>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</si>
  <si>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</si>
  <si>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</si>
  <si>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</si>
  <si>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</si>
  <si>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</si>
  <si>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</si>
  <si>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</si>
  <si>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</si>
  <si>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</si>
  <si>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</si>
  <si>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</si>
  <si>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</si>
  <si>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</si>
  <si>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</si>
  <si>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</si>
  <si>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</si>
  <si>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</si>
  <si>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</si>
  <si>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</si>
  <si>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</si>
  <si>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</si>
  <si>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</si>
  <si>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</si>
  <si>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</si>
  <si>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</si>
  <si>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</si>
  <si>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</si>
  <si>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</si>
  <si>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</si>
  <si>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</si>
  <si>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</si>
  <si>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</si>
  <si>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</si>
  <si>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</si>
  <si>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</si>
  <si>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</si>
  <si>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</si>
  <si>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</si>
  <si>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</si>
  <si>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</si>
  <si>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</si>
  <si>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</si>
  <si>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</si>
  <si>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</si>
  <si>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</si>
  <si>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</si>
  <si>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</si>
  <si>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</si>
  <si>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</si>
  <si>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</si>
  <si>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</si>
  <si>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</si>
  <si>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</si>
  <si>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</si>
  <si>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</si>
  <si>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</si>
  <si>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</si>
  <si>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</si>
  <si>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</si>
  <si>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</si>
  <si>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</si>
  <si>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</si>
  <si>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</si>
  <si>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</si>
  <si>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</si>
  <si>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</si>
  <si>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</si>
  <si>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</si>
  <si>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</si>
  <si>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</si>
  <si>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</si>
  <si>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</si>
  <si>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</si>
  <si>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</si>
  <si>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</si>
  <si>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</si>
  <si>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</si>
  <si>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</si>
  <si>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</si>
  <si>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</si>
  <si>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</si>
  <si>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</si>
  <si>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</si>
  <si>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</si>
  <si>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</si>
  <si>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</si>
  <si>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</si>
  <si>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</si>
  <si>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</si>
  <si>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</si>
  <si>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</si>
  <si>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</si>
  <si>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</si>
  <si>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</si>
  <si>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</si>
  <si>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</si>
  <si>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</si>
  <si>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</si>
  <si>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</si>
  <si>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</si>
  <si>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</si>
  <si>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</si>
  <si>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</si>
  <si>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</si>
  <si>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</si>
  <si>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</si>
  <si>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</si>
  <si>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</si>
  <si>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</si>
  <si>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</si>
  <si>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</si>
  <si>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</si>
  <si>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</si>
  <si>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</si>
  <si>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</si>
  <si>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</si>
  <si>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</si>
  <si>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</si>
  <si>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</si>
  <si>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</si>
  <si>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</si>
  <si>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</si>
  <si>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</si>
  <si>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</si>
  <si>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</si>
  <si>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</si>
  <si>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</si>
  <si>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</si>
  <si>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</si>
  <si>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</si>
  <si>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</si>
  <si>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</si>
  <si>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</si>
  <si>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</si>
  <si>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</si>
  <si>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</si>
  <si>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</si>
  <si>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</si>
  <si>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</si>
  <si>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</si>
  <si>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</si>
  <si>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</si>
  <si>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</si>
  <si>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</si>
  <si>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</si>
  <si>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</si>
  <si>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</si>
  <si>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</si>
  <si>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</si>
  <si>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</si>
  <si>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</si>
  <si>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</si>
  <si>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</si>
  <si>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</si>
  <si>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</si>
  <si>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</si>
  <si>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</si>
  <si>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</si>
  <si>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</si>
  <si>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</si>
  <si>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</si>
  <si>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</si>
  <si>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</si>
  <si>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</si>
  <si>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</si>
  <si>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</si>
  <si>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</si>
  <si>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</si>
  <si>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</si>
  <si>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</si>
  <si>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</si>
  <si>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</si>
  <si>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</si>
  <si>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</si>
  <si>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</si>
  <si>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</si>
  <si>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</si>
  <si>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</si>
  <si>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</si>
  <si>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</si>
  <si>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</si>
  <si>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</si>
  <si>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</si>
  <si>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</si>
  <si>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</si>
  <si>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</si>
  <si>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</si>
  <si>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</si>
  <si>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</si>
  <si>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</si>
  <si>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</si>
  <si>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</si>
  <si>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</si>
  <si>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</si>
  <si>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</si>
  <si>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</si>
  <si>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</si>
  <si>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</si>
  <si>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</si>
  <si>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</si>
  <si>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</si>
  <si>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</si>
  <si>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</si>
  <si>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</si>
  <si>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</si>
  <si>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</si>
  <si>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</si>
  <si>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</si>
  <si>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</si>
  <si>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</si>
  <si>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</si>
  <si>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</si>
  <si>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</si>
  <si>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</si>
  <si>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</si>
  <si>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</si>
  <si>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</si>
  <si>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</si>
  <si>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</si>
  <si>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</si>
  <si>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</si>
  <si>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</si>
  <si>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</si>
  <si>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</si>
  <si>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</si>
  <si>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</si>
  <si>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</si>
  <si>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</si>
  <si>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</si>
  <si>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</si>
  <si>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</si>
  <si>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</si>
  <si>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</si>
  <si>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</si>
  <si>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</si>
  <si>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</si>
  <si>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</si>
  <si>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</si>
  <si>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</si>
  <si>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</si>
  <si>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</si>
  <si>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</si>
  <si>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</si>
  <si>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</si>
  <si>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</si>
  <si>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</si>
  <si>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</si>
  <si>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</si>
  <si>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</si>
  <si>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</si>
  <si>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</si>
  <si>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</si>
  <si>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</si>
  <si>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</si>
  <si>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</si>
  <si>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</si>
  <si>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</si>
  <si>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</si>
  <si>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</si>
  <si>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</si>
  <si>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</si>
  <si>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</si>
  <si>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</si>
  <si>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</si>
  <si>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</si>
  <si>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</si>
  <si>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</si>
  <si>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</si>
  <si>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</si>
  <si>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</si>
  <si>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</si>
  <si>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</si>
  <si>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</si>
  <si>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</si>
  <si>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</si>
  <si>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</si>
  <si>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</si>
  <si>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</si>
  <si>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</si>
  <si>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</si>
  <si>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</si>
  <si>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</si>
  <si>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</si>
  <si>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</si>
  <si>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</si>
  <si>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</si>
  <si>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</si>
  <si>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</si>
  <si>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</si>
  <si>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</si>
  <si>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</si>
  <si>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</si>
  <si>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</si>
  <si>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</si>
  <si>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</si>
  <si>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</si>
  <si>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</si>
  <si>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</si>
  <si>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</si>
  <si>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</si>
  <si>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</si>
  <si>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</si>
  <si>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</si>
  <si>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</si>
  <si>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</si>
  <si>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</si>
  <si>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</si>
  <si>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</si>
  <si>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</si>
  <si>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</si>
  <si>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</si>
  <si>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</si>
  <si>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</si>
  <si>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</si>
  <si>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</si>
  <si>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</si>
  <si>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</si>
  <si>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</si>
  <si>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</si>
  <si>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</si>
  <si>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</si>
  <si>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</si>
  <si>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</si>
  <si>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</si>
  <si>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</si>
  <si>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</si>
  <si>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</si>
  <si>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</si>
  <si>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</si>
  <si>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</si>
  <si>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</si>
  <si>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</si>
  <si>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</si>
  <si>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</si>
  <si>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</si>
  <si>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</si>
  <si>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</si>
  <si>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</si>
  <si>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</si>
  <si>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</si>
  <si>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</si>
  <si>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</si>
  <si>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</si>
  <si>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</si>
  <si>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</si>
  <si>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</si>
  <si>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</si>
  <si>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</si>
  <si>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</si>
  <si>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</si>
  <si>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</si>
  <si>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</si>
  <si>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</si>
  <si>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</si>
  <si>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</si>
  <si>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</si>
  <si>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</si>
  <si>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</si>
  <si>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</si>
  <si>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</si>
  <si>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</si>
  <si>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</si>
  <si>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</si>
  <si>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</si>
  <si>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</si>
  <si>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</si>
  <si>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</si>
  <si>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</si>
  <si>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</si>
  <si>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</si>
  <si>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</si>
  <si>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</si>
  <si>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</si>
  <si>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</si>
  <si>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</si>
  <si>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</si>
  <si>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</si>
  <si>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</si>
  <si>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</si>
  <si>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</si>
  <si>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</si>
  <si>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</si>
  <si>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</si>
  <si>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</si>
  <si>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</si>
  <si>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</si>
  <si>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</si>
  <si>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</si>
  <si>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</si>
  <si>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</si>
  <si>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</si>
  <si>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</si>
  <si>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</si>
  <si>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</si>
  <si>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</si>
  <si>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</si>
  <si>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</si>
  <si>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</si>
  <si>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</si>
  <si>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</si>
  <si>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</si>
  <si>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</si>
  <si>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</si>
  <si>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</si>
  <si>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</si>
  <si>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</si>
  <si>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</si>
  <si>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</si>
  <si>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</si>
  <si>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</si>
  <si>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</si>
  <si>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</si>
  <si>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</si>
  <si>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</si>
  <si>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</si>
  <si>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</si>
  <si>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</si>
  <si>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</si>
  <si>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</si>
  <si>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</si>
  <si>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</si>
  <si>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</si>
  <si>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</si>
  <si>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</si>
  <si>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</si>
  <si>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</si>
  <si>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</si>
  <si>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</si>
  <si>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</si>
  <si>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</si>
  <si>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</si>
  <si>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</si>
  <si>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</si>
  <si>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</si>
  <si>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</si>
  <si>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</si>
  <si>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</si>
  <si>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</si>
  <si>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</si>
  <si>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</si>
  <si>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</si>
  <si>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</si>
  <si>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</si>
  <si>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</si>
  <si>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</si>
  <si>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</si>
  <si>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</si>
  <si>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</si>
  <si>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</si>
  <si>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</si>
  <si>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</si>
  <si>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</si>
  <si>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</si>
  <si>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</si>
  <si>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</si>
  <si>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</si>
  <si>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</si>
  <si>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</si>
  <si>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</si>
  <si>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</si>
  <si>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</si>
  <si>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</si>
  <si>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</si>
  <si>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</si>
  <si>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</si>
  <si>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</si>
  <si>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</si>
  <si>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</si>
  <si>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</si>
  <si>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</si>
  <si>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</si>
  <si>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</si>
  <si>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</si>
  <si>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</si>
  <si>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</si>
  <si>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</si>
  <si>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</si>
  <si>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</si>
  <si>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</si>
  <si>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</si>
  <si>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</si>
  <si>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</si>
  <si>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</si>
  <si>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</si>
  <si>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</si>
  <si>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</si>
  <si>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</si>
  <si>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</si>
  <si>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</si>
  <si>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</si>
  <si>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</si>
  <si>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</si>
  <si>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</si>
  <si>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</si>
  <si>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</si>
  <si>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</si>
  <si>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</si>
  <si>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</si>
  <si>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</si>
  <si>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</si>
  <si>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</si>
  <si>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</si>
  <si>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</si>
  <si>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</si>
  <si>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</si>
  <si>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</si>
  <si>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</si>
  <si>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</si>
  <si>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</si>
  <si>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</si>
  <si>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</si>
  <si>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</si>
  <si>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</si>
  <si>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</si>
  <si>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</si>
  <si>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</si>
  <si>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</si>
  <si>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</si>
  <si>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</si>
  <si>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</si>
  <si>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</si>
  <si>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</si>
  <si>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</si>
  <si>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</si>
  <si>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</si>
  <si>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</si>
  <si>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</si>
  <si>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</si>
  <si>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</si>
  <si>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</si>
  <si>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</si>
  <si>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</si>
  <si>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</si>
  <si>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</si>
  <si>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</si>
  <si>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</si>
  <si>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</si>
  <si>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</si>
  <si>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</si>
  <si>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</si>
  <si>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</si>
  <si>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</si>
  <si>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</si>
  <si>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</si>
  <si>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</si>
  <si>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</si>
  <si>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</si>
  <si>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</si>
  <si>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</si>
  <si>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</si>
  <si>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</si>
  <si>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</si>
  <si>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</si>
  <si>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</si>
  <si>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</si>
  <si>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</si>
  <si>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</si>
  <si>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</si>
  <si>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</si>
  <si>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</si>
  <si>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</si>
  <si>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</si>
  <si>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</si>
  <si>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</si>
  <si>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</si>
  <si>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</si>
  <si>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</si>
  <si>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</si>
  <si>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</si>
  <si>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</si>
  <si>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</si>
  <si>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</si>
  <si>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</si>
  <si>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</si>
  <si>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</si>
  <si>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</si>
  <si>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</si>
  <si>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</si>
  <si>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</si>
  <si>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</si>
  <si>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</si>
  <si>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</si>
  <si>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</si>
  <si>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</si>
  <si>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</si>
  <si>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</si>
  <si>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</si>
  <si>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</si>
  <si>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</si>
  <si>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</si>
  <si>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</si>
  <si>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</si>
  <si>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</si>
  <si>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</si>
  <si>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</si>
  <si>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</si>
  <si>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</si>
  <si>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</si>
  <si>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</si>
  <si>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</si>
  <si>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</si>
  <si>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</si>
  <si>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</si>
  <si>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</si>
  <si>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</si>
  <si>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</si>
  <si>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</si>
  <si>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</si>
  <si>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</si>
  <si>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</si>
  <si>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</si>
  <si>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</si>
  <si>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</si>
  <si>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</si>
  <si>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</si>
  <si>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</si>
  <si>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</si>
  <si>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</si>
  <si>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</si>
  <si>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</si>
  <si>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</si>
  <si>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</si>
  <si>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</si>
  <si>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</si>
  <si>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</si>
  <si>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</si>
  <si>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</si>
  <si>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</si>
  <si>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</si>
  <si>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</si>
  <si>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</si>
  <si>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</si>
  <si>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</si>
  <si>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</si>
  <si>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</si>
  <si>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</si>
  <si>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</si>
  <si>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</si>
  <si>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</si>
  <si>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</si>
  <si>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</si>
  <si>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</si>
  <si>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</si>
  <si>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</si>
  <si>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</si>
  <si>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</si>
  <si>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</si>
  <si>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</si>
  <si>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</si>
  <si>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</si>
  <si>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</si>
  <si>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</si>
  <si>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</si>
  <si>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</si>
  <si>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</si>
  <si>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</si>
  <si>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</si>
  <si>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</si>
  <si>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</si>
  <si>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</si>
  <si>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</si>
  <si>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</si>
  <si>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</si>
  <si>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</si>
  <si>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</si>
  <si>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</si>
  <si>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</si>
  <si>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</si>
  <si>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</si>
  <si>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</si>
  <si>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</si>
  <si>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</si>
  <si>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</si>
  <si>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</si>
  <si>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</si>
  <si>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</si>
  <si>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</si>
  <si>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</si>
  <si>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</si>
  <si>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</si>
  <si>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</si>
  <si>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</si>
  <si>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</si>
  <si>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</si>
  <si>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</si>
  <si>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</si>
  <si>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</si>
  <si>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</si>
  <si>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</si>
  <si>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</si>
  <si>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</si>
  <si>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</si>
  <si>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</si>
  <si>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</si>
  <si>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</si>
  <si>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</si>
  <si>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</si>
  <si>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</si>
  <si>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</si>
  <si>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</si>
  <si>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</si>
  <si>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</si>
  <si>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</si>
  <si>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</si>
  <si>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</si>
  <si>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</si>
  <si>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</si>
  <si>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</si>
  <si>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</si>
  <si>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</si>
  <si>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</si>
  <si>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</si>
  <si>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</si>
  <si>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</si>
  <si>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</si>
  <si>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</si>
  <si>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</si>
  <si>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</si>
  <si>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</si>
  <si>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</si>
  <si>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</si>
  <si>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</si>
  <si>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</si>
  <si>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</si>
  <si>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</si>
  <si>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</si>
  <si>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</si>
  <si>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</si>
  <si>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</si>
  <si>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</si>
  <si>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</si>
  <si>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</si>
  <si>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</si>
  <si>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</si>
  <si>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</si>
  <si>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</si>
  <si>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</si>
  <si>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</si>
  <si>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</si>
  <si>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</si>
  <si>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</si>
  <si>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</si>
  <si>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</si>
  <si>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</si>
  <si>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</si>
  <si>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</si>
  <si>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</si>
  <si>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</si>
  <si>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</si>
  <si>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</si>
  <si>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</si>
  <si>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</si>
  <si>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</si>
  <si>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</si>
  <si>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</si>
  <si>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</si>
  <si>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</si>
  <si>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</si>
  <si>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</si>
  <si>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</si>
  <si>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</si>
  <si>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</si>
  <si>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</si>
  <si>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</si>
  <si>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</si>
  <si>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</si>
  <si>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</si>
  <si>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</si>
  <si>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</si>
  <si>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</si>
  <si>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</si>
  <si>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</si>
  <si>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</si>
  <si>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</si>
  <si>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</si>
  <si>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</si>
  <si>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</si>
  <si>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</si>
  <si>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</si>
  <si>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</si>
  <si>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</si>
  <si>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</si>
  <si>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</si>
  <si>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</si>
  <si>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</si>
  <si>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</si>
  <si>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</si>
  <si>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</si>
  <si>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</si>
  <si>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</si>
  <si>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</si>
  <si>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</si>
  <si>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</si>
  <si>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</si>
  <si>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</si>
  <si>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</si>
  <si>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</si>
  <si>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</si>
  <si>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</si>
  <si>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</si>
  <si>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</si>
  <si>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</si>
  <si>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</si>
  <si>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</si>
  <si>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</si>
  <si>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</si>
  <si>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</si>
  <si>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</si>
  <si>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</si>
  <si>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</si>
  <si>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</si>
  <si>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</si>
  <si>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</si>
  <si>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</si>
  <si>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</si>
  <si>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</si>
  <si>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</si>
  <si>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</si>
  <si>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</si>
  <si>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</si>
  <si>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</si>
  <si>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</si>
  <si>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</si>
  <si>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</si>
  <si>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</si>
  <si>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</si>
  <si>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</si>
  <si>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</si>
  <si>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</si>
  <si>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</si>
  <si>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</si>
  <si>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</si>
  <si>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</si>
  <si>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</si>
  <si>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</si>
  <si>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</si>
  <si>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</si>
  <si>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</si>
  <si>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</si>
  <si>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</si>
  <si>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</si>
  <si>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</si>
  <si>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</si>
  <si>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</si>
  <si>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</si>
  <si>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</si>
  <si>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</si>
  <si>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</si>
  <si>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</si>
  <si>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</si>
  <si>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</si>
  <si>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</si>
  <si>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</si>
  <si>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</si>
  <si>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</si>
  <si>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</si>
  <si>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</si>
  <si>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</si>
  <si>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</si>
  <si>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</si>
  <si>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</si>
  <si>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</si>
  <si>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</si>
  <si>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</si>
  <si>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</si>
  <si>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</si>
  <si>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</si>
  <si>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</si>
  <si>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</si>
  <si>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</si>
  <si>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</si>
  <si>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</si>
  <si>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</si>
  <si>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</si>
  <si>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</si>
  <si>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</si>
  <si>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</si>
  <si>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</si>
  <si>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</si>
  <si>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</si>
  <si>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</si>
  <si>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</si>
  <si>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</si>
  <si>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</si>
  <si>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</si>
  <si>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</si>
  <si>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</si>
  <si>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</si>
  <si>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</si>
  <si>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</si>
  <si>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</si>
  <si>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</si>
  <si>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</si>
  <si>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</si>
  <si>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</si>
  <si>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</si>
  <si>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</si>
  <si>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</si>
  <si>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</si>
  <si>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</si>
  <si>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</si>
  <si>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</si>
  <si>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</si>
  <si>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</si>
  <si>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</si>
  <si>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</si>
  <si>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</si>
  <si>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</si>
  <si>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</si>
  <si>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</si>
  <si>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</si>
  <si>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</si>
  <si>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</si>
  <si>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</si>
  <si>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</si>
  <si>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</si>
  <si>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</si>
  <si>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</si>
  <si>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</si>
  <si>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</si>
  <si>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</si>
  <si>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</si>
  <si>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</si>
  <si>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</si>
  <si>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</si>
  <si>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</si>
  <si>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</si>
  <si>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</si>
  <si>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</si>
  <si>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</si>
  <si>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</si>
  <si>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</si>
  <si>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</si>
  <si>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</si>
  <si>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</si>
  <si>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</si>
  <si>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</si>
  <si>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</si>
  <si>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</si>
  <si>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</si>
  <si>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</si>
  <si>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</si>
  <si>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</si>
  <si>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</si>
  <si>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</si>
  <si>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</si>
  <si>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</si>
  <si>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</si>
  <si>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</si>
  <si>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</si>
  <si>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</si>
  <si>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</si>
  <si>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</si>
  <si>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</si>
  <si>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</si>
  <si>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</si>
  <si>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</si>
  <si>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</si>
  <si>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</si>
  <si>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</si>
  <si>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</si>
  <si>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</si>
  <si>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</si>
  <si>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</si>
  <si>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</si>
  <si>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</si>
  <si>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</si>
  <si>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</si>
  <si>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</si>
  <si>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</si>
  <si>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</si>
  <si>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</si>
  <si>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</si>
  <si>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</si>
  <si>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</si>
  <si>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</si>
  <si>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</si>
  <si>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</si>
  <si>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</si>
  <si>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</si>
  <si>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</si>
  <si>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</si>
  <si>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</si>
  <si>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</si>
  <si>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</si>
  <si>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</si>
  <si>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</si>
  <si>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</si>
  <si>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</si>
  <si>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</si>
  <si>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</si>
  <si>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</si>
  <si>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</si>
  <si>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</si>
  <si>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</si>
  <si>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</si>
  <si>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</si>
  <si>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</si>
  <si>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</si>
  <si>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</si>
  <si>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</si>
  <si>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</si>
  <si>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</si>
  <si>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</si>
  <si>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</si>
  <si>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</si>
  <si>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</si>
  <si>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</si>
  <si>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</si>
  <si>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</si>
  <si>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</si>
  <si>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</si>
  <si>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</si>
  <si>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</si>
  <si>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</si>
  <si>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</si>
  <si>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</si>
  <si>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</si>
  <si>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</si>
  <si>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</si>
  <si>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</si>
  <si>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</si>
  <si>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</si>
  <si>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</si>
  <si>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</si>
  <si>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</si>
  <si>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</si>
  <si>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</si>
  <si>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</si>
  <si>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</si>
  <si>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</si>
  <si>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</si>
  <si>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</si>
  <si>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</si>
  <si>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</si>
  <si>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</si>
  <si>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</si>
  <si>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</si>
  <si>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</si>
  <si>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</si>
  <si>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</si>
  <si>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</si>
  <si>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</si>
  <si>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</si>
  <si>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</si>
  <si>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</si>
  <si>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</si>
  <si>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</si>
  <si>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</si>
  <si>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</si>
  <si>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</si>
  <si>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</si>
  <si>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</si>
  <si>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</si>
  <si>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</si>
  <si>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</si>
  <si>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</si>
  <si>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</si>
  <si>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</si>
  <si>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</si>
  <si>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</si>
  <si>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</si>
  <si>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</si>
  <si>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</si>
  <si>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</si>
  <si>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</si>
  <si>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</si>
  <si>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</si>
  <si>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</si>
  <si>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</si>
  <si>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</si>
  <si>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</si>
  <si>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</si>
  <si>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</si>
  <si>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</si>
  <si>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</si>
  <si>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</si>
  <si>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</si>
  <si>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</si>
  <si>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</si>
  <si>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</si>
  <si>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</si>
  <si>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</si>
  <si>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</si>
  <si>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</si>
  <si>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</si>
  <si>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</si>
  <si>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</si>
  <si>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</si>
  <si>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</si>
  <si>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</si>
  <si>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</si>
  <si>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</si>
  <si>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</si>
  <si>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</si>
  <si>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</si>
  <si>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</si>
  <si>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</si>
  <si>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</si>
  <si>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</si>
  <si>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</si>
  <si>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</si>
  <si>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</si>
  <si>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</si>
  <si>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</si>
  <si>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</si>
  <si>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</si>
  <si>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</si>
  <si>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</si>
  <si>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</si>
  <si>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</si>
  <si>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</si>
  <si>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</si>
  <si>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</si>
  <si>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</si>
  <si>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</si>
  <si>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</si>
  <si>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</si>
  <si>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</si>
  <si>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</si>
  <si>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</si>
  <si>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</si>
  <si>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</si>
  <si>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</si>
  <si>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</si>
  <si>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</si>
  <si>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</si>
  <si>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</si>
  <si>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</si>
  <si>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</si>
  <si>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</si>
  <si>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</si>
  <si>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</si>
  <si>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</si>
  <si>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</si>
  <si>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</si>
  <si>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</si>
  <si>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</si>
  <si>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</si>
  <si>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</si>
  <si>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</si>
  <si>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</si>
  <si>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</si>
  <si>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</si>
  <si>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</si>
  <si>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</si>
  <si>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</si>
  <si>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</si>
  <si>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</si>
  <si>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</si>
  <si>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</si>
  <si>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</si>
  <si>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</si>
  <si>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</si>
  <si>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</si>
  <si>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</si>
  <si>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</si>
  <si>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</si>
  <si>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</si>
  <si>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</si>
  <si>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</si>
  <si>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</si>
  <si>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</si>
  <si>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</si>
  <si>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</si>
  <si>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</si>
  <si>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</si>
  <si>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</si>
  <si>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</si>
  <si>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</si>
  <si>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</si>
  <si>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</si>
  <si>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</si>
  <si>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</si>
  <si>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</si>
  <si>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</si>
  <si>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</si>
  <si>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</si>
  <si>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</si>
  <si>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</si>
  <si>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</si>
  <si>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</si>
  <si>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</si>
  <si>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</si>
  <si>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</si>
  <si>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</si>
  <si>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</si>
  <si>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</si>
  <si>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</si>
  <si>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</si>
  <si>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</si>
  <si>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</si>
  <si>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</si>
  <si>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</si>
  <si>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</si>
  <si>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</si>
  <si>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</si>
  <si>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</si>
  <si>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</si>
  <si>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</si>
  <si>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</si>
  <si>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</si>
  <si>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</si>
  <si>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</si>
  <si>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</si>
  <si>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</si>
  <si>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</si>
  <si>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</si>
  <si>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</si>
  <si>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</si>
  <si>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</si>
  <si>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</si>
  <si>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</si>
  <si>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</si>
  <si>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</si>
  <si>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</si>
  <si>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</si>
  <si>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</si>
  <si>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</si>
  <si>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</si>
  <si>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</si>
  <si>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</si>
  <si>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</si>
  <si>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</si>
  <si>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</si>
  <si>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</si>
  <si>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</si>
  <si>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</si>
  <si>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</si>
  <si>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</si>
  <si>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</si>
  <si>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</si>
  <si>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</si>
  <si>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</si>
  <si>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</si>
  <si>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</si>
  <si>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</si>
  <si>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</si>
  <si>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</si>
  <si>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</si>
  <si>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</si>
  <si>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</si>
  <si>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</si>
  <si>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</si>
  <si>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</si>
  <si>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</si>
  <si>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</si>
  <si>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</si>
  <si>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</si>
  <si>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</si>
  <si>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</si>
  <si>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</si>
  <si>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</si>
  <si>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</si>
  <si>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</si>
  <si>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</si>
  <si>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</si>
  <si>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</si>
  <si>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</si>
  <si>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</si>
  <si>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</si>
  <si>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</si>
  <si>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</si>
  <si>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</si>
  <si>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</si>
  <si>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</si>
  <si>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</si>
  <si>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</si>
  <si>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</si>
  <si>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</si>
  <si>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</si>
  <si>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</si>
  <si>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</si>
  <si>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</si>
  <si>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</si>
  <si>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</si>
  <si>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</si>
  <si>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phoneticPr fontId="231" type="noConversion"/>
  </si>
  <si>
    <t>超高层高</t>
  </si>
  <si>
    <t>超高层高</t>
    <phoneticPr fontId="231" type="noConversion"/>
  </si>
  <si>
    <t>标准层高</t>
    <phoneticPr fontId="231" type="noConversion"/>
  </si>
  <si>
    <t>普装</t>
  </si>
  <si>
    <t>普装</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</si>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</sst>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64" fillId="3" borderId="86"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twoCellAnchor editAs="oneCell">
    <xdr:from>
      <xdr:col>11</xdr:col>
      <xdr:colOff>581271</xdr:colOff>
      <xdr:row>0</xdr:row>
      <xdr:rowOff>66675</xdr:rowOff>
    </xdr:from>
    <xdr:to>
      <xdr:col>24</xdr:col>
      <xdr:colOff>370172</xdr:colOff>
      <xdr:row>23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8125071" y="66675"/>
          <a:ext cx="8704301"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估价对象为北京市房地产，为所有。根据《国有土地使用证》[]，估价对象（分摊）出让国有建设用地使用权面积为0平方米，建筑面积为98.8平方米。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估价对象为北京市房地产,属开发建设的商业项目，该项目尚在开发建设中。根据《国有土地使用证》[]，估价对象（分摊）出让国有建设用地使用权面积为0平方米，规划建筑面积为98.8平方米。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287</v>
      </c>
    </row>
    <row r="21" spans="1:2" s="3447" customFormat="1">
      <c r="A21" s="3455" t="s">
        <v>21</v>
      </c>
      <c r="B21" s="3456">
        <f ca="1">'预评函-2'!D7</f>
        <v>29059</v>
      </c>
    </row>
    <row r="22" spans="1:2" s="3447" customFormat="1">
      <c r="A22" s="3455" t="s">
        <v>22</v>
      </c>
      <c r="B22" s="3456" t="str">
        <f ca="1">'预评函-2'!D6</f>
        <v>贰佰捌拾柒万元整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287</v>
      </c>
    </row>
    <row r="31" spans="1:2" s="3447" customFormat="1">
      <c r="A31" s="3455" t="s">
        <v>31</v>
      </c>
      <c r="B31" s="3456">
        <f ca="1">'预评函-2'!D15</f>
        <v>29059</v>
      </c>
    </row>
    <row r="32" spans="1:2" s="3447" customFormat="1">
      <c r="A32" s="3455" t="s">
        <v>32</v>
      </c>
      <c r="B32" s="3456" t="str">
        <f ca="1">'预评函-2'!D14</f>
        <v>贰佰捌拾柒万元整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98.8</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5"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38" t="s">
        <v>368</v>
      </c>
      <c r="C54" s="3325" t="s">
        <v>369</v>
      </c>
    </row>
    <row r="55" spans="1:4">
      <c r="A55" s="3505"/>
      <c r="B55" s="3338" t="s">
        <v>370</v>
      </c>
      <c r="C55" s="3325" t="s">
        <v>371</v>
      </c>
    </row>
    <row r="56" spans="1:4">
      <c r="A56" s="3505"/>
      <c r="B56" s="3338" t="s">
        <v>372</v>
      </c>
      <c r="C56" s="3325" t="s">
        <v>373</v>
      </c>
    </row>
    <row r="57" spans="1:4">
      <c r="A57" s="3505"/>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6" sqref="G3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6" t="s">
        <v>378</v>
      </c>
      <c r="J2" s="3506"/>
      <c r="K2" s="3506"/>
      <c r="L2" s="3506"/>
      <c r="M2" s="3506"/>
      <c r="N2" s="3506"/>
      <c r="O2" s="3506"/>
      <c r="P2" s="3506"/>
      <c r="Q2" s="3506"/>
      <c r="R2" s="3506"/>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8" sqref="J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35" t="s">
        <v>483</v>
      </c>
      <c r="E8" s="3157" t="s">
        <v>368</v>
      </c>
      <c r="F8" s="3158"/>
      <c r="G8" s="3139"/>
      <c r="H8" s="3139"/>
      <c r="I8" s="3139"/>
      <c r="J8" s="2736"/>
      <c r="K8" s="3237"/>
      <c r="L8" s="3234"/>
      <c r="M8" s="3234"/>
      <c r="N8" s="2736"/>
      <c r="O8" s="3235"/>
      <c r="P8" s="2736"/>
      <c r="Q8" s="2736"/>
      <c r="R8" s="2736"/>
    </row>
    <row r="9" spans="1:30">
      <c r="A9" s="3159" t="s">
        <v>484</v>
      </c>
      <c r="B9" s="3160" t="s">
        <v>368</v>
      </c>
      <c r="C9" s="3161"/>
      <c r="D9" s="3536"/>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23"/>
      <c r="C16" s="3524"/>
      <c r="D16" s="3525"/>
      <c r="E16" s="3184" t="s">
        <v>502</v>
      </c>
      <c r="F16" s="3526"/>
      <c r="G16" s="3527"/>
      <c r="H16" s="3527"/>
      <c r="I16" s="3528"/>
      <c r="J16" s="2736"/>
      <c r="K16" s="3246"/>
      <c r="L16" s="3245"/>
      <c r="M16" s="3245"/>
      <c r="N16" s="2737"/>
      <c r="O16" s="3245"/>
      <c r="P16" s="2737"/>
      <c r="Q16" s="2736"/>
      <c r="R16" s="2736"/>
    </row>
    <row r="17" spans="1:28">
      <c r="A17" s="2008" t="s">
        <v>503</v>
      </c>
      <c r="B17" s="1997" t="s">
        <v>504</v>
      </c>
      <c r="C17" s="1039">
        <f>'数据-汇总表'!E3</f>
        <v>98.8</v>
      </c>
      <c r="D17" s="2051" t="s">
        <v>505</v>
      </c>
      <c r="E17" s="3529" t="s">
        <v>506</v>
      </c>
      <c r="F17" s="3530"/>
      <c r="G17" s="3530"/>
      <c r="H17" s="3530"/>
      <c r="I17" s="3531"/>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32" t="s">
        <v>509</v>
      </c>
      <c r="F18" s="3533"/>
      <c r="G18" s="3533"/>
      <c r="H18" s="3533"/>
      <c r="I18" s="3534"/>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09" t="s">
        <v>514</v>
      </c>
      <c r="C20" s="3510"/>
      <c r="D20" s="3511" t="s">
        <v>515</v>
      </c>
      <c r="E20" s="3512"/>
      <c r="F20" s="3193" t="s">
        <v>516</v>
      </c>
      <c r="G20" s="2856"/>
      <c r="H20" s="2856"/>
      <c r="I20" s="2856"/>
      <c r="J20" s="2736"/>
      <c r="K20" s="3507"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07"/>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07"/>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16"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16"/>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16"/>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17"/>
      <c r="B30" s="1997" t="s">
        <v>535</v>
      </c>
      <c r="C30" s="3513"/>
      <c r="D30" s="3514"/>
      <c r="E30" s="2856"/>
      <c r="F30" s="2856"/>
      <c r="G30" s="2856"/>
      <c r="H30" s="2856"/>
      <c r="I30" s="2856"/>
      <c r="J30" s="2736"/>
      <c r="K30" s="3236"/>
      <c r="L30" s="3234"/>
      <c r="M30" s="3234"/>
      <c r="N30" s="2736"/>
      <c r="O30" s="3235"/>
      <c r="P30" s="2736"/>
      <c r="Q30" s="2736"/>
      <c r="R30" s="2736"/>
      <c r="S30" s="2736"/>
      <c r="T30" s="2736"/>
      <c r="U30" s="2736"/>
      <c r="V30" s="2736"/>
    </row>
    <row r="31" spans="1:28">
      <c r="A31" s="3518"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19"/>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19"/>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08" t="s">
        <v>546</v>
      </c>
      <c r="T34" s="2038" t="str">
        <f>NUMBERSTRING(7-K34,1)&amp;"通"</f>
        <v>七通</v>
      </c>
      <c r="U34" s="2736"/>
      <c r="V34" s="2736"/>
    </row>
    <row r="35" spans="1:30">
      <c r="A35" s="3220"/>
      <c r="B35" s="3515" t="s">
        <v>547</v>
      </c>
      <c r="C35" s="3515"/>
      <c r="D35" s="3515"/>
      <c r="E35" s="3515"/>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08"/>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98.8</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98.8</v>
      </c>
      <c r="H5" s="3049">
        <f t="shared" ref="H5:AT5" si="0">SUM(H13:H656)</f>
        <v>98.8</v>
      </c>
      <c r="I5" s="3049">
        <f t="shared" si="0"/>
        <v>98.8</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98.8</v>
      </c>
      <c r="BA5" s="3109">
        <f t="shared" si="1"/>
        <v>98.8</v>
      </c>
      <c r="BB5" s="3109">
        <f t="shared" si="1"/>
        <v>98.8</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524</v>
      </c>
      <c r="D13" s="3064" t="s">
        <v>606</v>
      </c>
      <c r="E13" s="3049">
        <f>IF($C$3="是",ROUND($A$3*G13/$B$3,2),ROUND($A$3*(G13-AT13)/$B$3,2))</f>
        <v>0</v>
      </c>
      <c r="F13" s="3065"/>
      <c r="G13" s="3066">
        <f>H13+AC13+AT13</f>
        <v>98.8</v>
      </c>
      <c r="H13" s="3052">
        <f>SUMIF(I$12:AB$12,"总值",I13:AB13)</f>
        <v>98.8</v>
      </c>
      <c r="I13" s="3080">
        <v>98.8</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524</v>
      </c>
      <c r="AY13" s="2519">
        <f>ROUND($AY$6*AZ13/$AZ$5,2)</f>
        <v>0</v>
      </c>
      <c r="AZ13" s="3049">
        <f>BA13+BL13</f>
        <v>98.8</v>
      </c>
      <c r="BA13" s="3049">
        <f>SUM(BB13:BK13)</f>
        <v>98.8</v>
      </c>
      <c r="BB13" s="3049">
        <f>IF($D13="是",I13-J13,0)</f>
        <v>98.8</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6" t="s">
        <v>608</v>
      </c>
      <c r="B2" s="3546"/>
      <c r="C2" s="3546"/>
      <c r="D2" s="2285" t="s">
        <v>609</v>
      </c>
      <c r="E2" s="2951" t="s">
        <v>610</v>
      </c>
      <c r="F2" s="2952"/>
      <c r="G2" s="2953"/>
      <c r="H2" s="2954"/>
      <c r="I2" s="2604" t="s">
        <v>611</v>
      </c>
      <c r="J2" s="2952"/>
      <c r="K2" s="2952"/>
      <c r="L2" s="2952"/>
      <c r="M2" s="2952"/>
      <c r="N2" s="1443"/>
      <c r="O2" s="2952"/>
      <c r="P2" s="2952"/>
    </row>
    <row r="3" spans="1:16" ht="15">
      <c r="A3" s="3547" t="s">
        <v>612</v>
      </c>
      <c r="B3" s="3547"/>
      <c r="C3" s="3547"/>
      <c r="D3" s="2955">
        <f>'数据-基础表'!AY6</f>
        <v>0</v>
      </c>
      <c r="E3" s="2955">
        <f>'数据-基础表'!AZ5</f>
        <v>98.8</v>
      </c>
      <c r="F3" s="2952"/>
      <c r="G3" s="2956"/>
      <c r="H3" s="2407" t="s">
        <v>613</v>
      </c>
      <c r="I3" s="3015" t="e">
        <f>ROUND('数据-基础表'!B3/'数据-基础表'!A3,2)</f>
        <v>#DIV/0!</v>
      </c>
      <c r="J3" s="2952"/>
      <c r="K3" s="2952"/>
      <c r="L3" s="2952"/>
      <c r="M3" s="2952"/>
      <c r="N3" s="1443"/>
      <c r="O3" s="2952"/>
      <c r="P3" s="2952"/>
    </row>
    <row r="4" spans="1:16" ht="15">
      <c r="A4" s="3548"/>
      <c r="B4" s="3549"/>
      <c r="C4" s="3550"/>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51" t="s">
        <v>617</v>
      </c>
      <c r="C5" s="3551"/>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51" t="s">
        <v>618</v>
      </c>
      <c r="C6" s="3551"/>
      <c r="D6" s="2961">
        <f>ROUND($D$3*E6/$E$3,2)</f>
        <v>0</v>
      </c>
      <c r="E6" s="2962">
        <f>E3-E5</f>
        <v>98.8</v>
      </c>
      <c r="F6" s="2952"/>
      <c r="G6" s="2964" t="s">
        <v>619</v>
      </c>
      <c r="H6" s="2965" t="s">
        <v>615</v>
      </c>
      <c r="I6" s="3016" t="e">
        <f>ROUND(F31/D31,2)</f>
        <v>#DIV/0!</v>
      </c>
      <c r="J6" s="2952"/>
      <c r="K6" s="2952"/>
      <c r="L6" s="2952"/>
      <c r="M6" s="2952"/>
      <c r="N6" s="2952"/>
      <c r="O6" s="2952"/>
      <c r="P6" s="2952"/>
    </row>
    <row r="7" spans="1:16" ht="15">
      <c r="A7" s="3537"/>
      <c r="B7" s="3538"/>
      <c r="C7" s="3539"/>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98.8</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98.8</v>
      </c>
      <c r="F16" s="2952"/>
      <c r="G16" s="2971"/>
      <c r="H16" s="2976" t="s">
        <v>633</v>
      </c>
      <c r="I16" s="3018"/>
      <c r="J16" s="2455"/>
      <c r="K16" s="3540" t="s">
        <v>633</v>
      </c>
      <c r="L16" s="3541"/>
      <c r="M16" s="3541"/>
      <c r="N16" s="3541"/>
      <c r="O16" s="3541"/>
      <c r="P16" s="3542"/>
    </row>
    <row r="17" spans="1:19" ht="15">
      <c r="A17" s="2911" t="s">
        <v>634</v>
      </c>
      <c r="B17" s="2977" t="s">
        <v>635</v>
      </c>
      <c r="C17" s="2910" t="s">
        <v>636</v>
      </c>
      <c r="D17" s="2978" t="s">
        <v>609</v>
      </c>
      <c r="E17" s="2979" t="s">
        <v>610</v>
      </c>
      <c r="F17" s="2980"/>
      <c r="G17" s="2981"/>
      <c r="H17" s="2982" t="s">
        <v>637</v>
      </c>
      <c r="I17" s="3019" t="s">
        <v>638</v>
      </c>
      <c r="J17" s="2455"/>
      <c r="K17" s="3543" t="s">
        <v>639</v>
      </c>
      <c r="L17" s="3544"/>
      <c r="M17" s="3545"/>
      <c r="N17" s="3543" t="s">
        <v>640</v>
      </c>
      <c r="O17" s="3544"/>
      <c r="P17" s="3545"/>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98.8</v>
      </c>
      <c r="F19" s="2992">
        <f>'数据-基础表'!I13</f>
        <v>98.8</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98.8</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98.8</v>
      </c>
      <c r="F27" s="2999">
        <f>IF(SUM(F19:F26)=E8,SUM(F19:F26),"地上面积有误")</f>
        <v>98.8</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98.8</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98.8</v>
      </c>
      <c r="F31" s="3010">
        <f>F27+F30</f>
        <v>98.8</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D30" activePane="bottomRight" state="frozen"/>
      <selection pane="topRight"/>
      <selection pane="bottomLeft"/>
      <selection pane="bottomRight" activeCell="O22" sqref="O22"/>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98.8</v>
      </c>
      <c r="L6" s="2871">
        <v>4500</v>
      </c>
      <c r="M6" s="2868">
        <f t="shared" ref="M6:M14" si="0">ROUND(K6*L6/10000,0)</f>
        <v>44</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463">
        <v>3.5</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159.84729999999999</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98.8</v>
      </c>
      <c r="L16" s="2878">
        <f>ROUND(M16*10000/SUM(K6:K14),0)</f>
        <v>4453</v>
      </c>
      <c r="M16" s="2878">
        <f>SUM(M6:M14)</f>
        <v>44</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19760</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464">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2" t="s">
        <v>765</v>
      </c>
      <c r="B1" s="3553"/>
      <c r="C1" s="3553"/>
      <c r="D1" s="3553"/>
      <c r="E1" s="3553"/>
      <c r="F1" s="3553"/>
      <c r="G1" s="3553"/>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98.8</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287</v>
      </c>
      <c r="C5" s="2662">
        <f ca="1">IF(B5=D14,结果表!H102,ROUND(B5*10000/$B$1,0))</f>
        <v>29059</v>
      </c>
      <c r="D5" s="2662" t="e">
        <f ca="1">ROUND(B5*10000/$B$2,0)</f>
        <v>#DIV/0!</v>
      </c>
      <c r="E5" s="2663"/>
      <c r="F5" s="2664"/>
      <c r="G5" s="2664"/>
      <c r="H5" s="2665"/>
      <c r="I5" s="2665"/>
      <c r="J5" s="2665"/>
      <c r="K5" s="2665"/>
    </row>
    <row r="6" spans="1:11" ht="16.5">
      <c r="A6" s="2662" t="s">
        <v>799</v>
      </c>
      <c r="B6" s="2662">
        <f ca="1">SUM(G14:G23)</f>
        <v>287</v>
      </c>
      <c r="C6" s="2662">
        <f ca="1">IF(B6=G14,结果表!H108,ROUND(B6*10000/$B$1,0))</f>
        <v>29059</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98.8</v>
      </c>
      <c r="C14" s="2674"/>
      <c r="D14" s="2674">
        <f ca="1">结果表!H118</f>
        <v>287</v>
      </c>
      <c r="E14" s="2674">
        <f ca="1">ROUND(D14*10000/B14,0)</f>
        <v>29049</v>
      </c>
      <c r="F14" s="2674" t="e">
        <f ca="1">ROUND(D14*10000/C14,0)</f>
        <v>#DIV/0!</v>
      </c>
      <c r="G14" s="2674">
        <f ca="1">D14</f>
        <v>287</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8" sqref="H28"/>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628" t="str">
        <f>项目基本情况!S2</f>
        <v>北京市房地产</v>
      </c>
      <c r="B2" s="3629"/>
      <c r="C2" s="3629"/>
      <c r="D2" s="3629"/>
      <c r="E2" s="3629"/>
      <c r="F2" s="3629"/>
      <c r="G2" s="3629"/>
      <c r="H2" s="3629"/>
      <c r="I2" s="3630"/>
    </row>
    <row r="3" spans="1:12" ht="12.75">
      <c r="A3" s="3631" t="s">
        <v>823</v>
      </c>
      <c r="B3" s="3632"/>
      <c r="C3" s="3632"/>
      <c r="D3" s="3632"/>
      <c r="E3" s="3632"/>
      <c r="F3" s="3632"/>
      <c r="G3" s="3632"/>
      <c r="H3" s="3632"/>
      <c r="I3" s="3632"/>
    </row>
    <row r="4" spans="1:12" ht="14.25">
      <c r="A4" s="2387" t="s">
        <v>824</v>
      </c>
      <c r="B4" s="2388" t="s">
        <v>825</v>
      </c>
      <c r="C4" s="2389" t="s">
        <v>826</v>
      </c>
      <c r="D4" s="2389" t="s">
        <v>285</v>
      </c>
      <c r="E4" s="3633" t="s">
        <v>827</v>
      </c>
      <c r="F4" s="3634"/>
      <c r="G4" s="3634"/>
      <c r="H4" s="3634"/>
      <c r="I4" s="3635"/>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555" t="s">
        <v>828</v>
      </c>
      <c r="B5" s="3563">
        <v>25</v>
      </c>
      <c r="C5" s="3645"/>
      <c r="D5" s="3566"/>
      <c r="E5" s="2037" t="s">
        <v>829</v>
      </c>
      <c r="F5" s="2394"/>
      <c r="G5" s="2394"/>
      <c r="H5" s="2394"/>
      <c r="I5" s="2251"/>
    </row>
    <row r="6" spans="1:12" ht="12.75">
      <c r="A6" s="3555"/>
      <c r="B6" s="3563"/>
      <c r="C6" s="3646"/>
      <c r="D6" s="3566"/>
      <c r="E6" s="2037" t="s">
        <v>830</v>
      </c>
      <c r="F6" s="2394"/>
      <c r="G6" s="2394"/>
      <c r="H6" s="2394"/>
      <c r="I6" s="2251"/>
    </row>
    <row r="7" spans="1:12" ht="12.75">
      <c r="A7" s="3555"/>
      <c r="B7" s="3563"/>
      <c r="C7" s="3647"/>
      <c r="D7" s="3566"/>
      <c r="E7" s="2037" t="s">
        <v>831</v>
      </c>
      <c r="F7" s="2394"/>
      <c r="G7" s="2394"/>
      <c r="H7" s="2394"/>
      <c r="I7" s="2251"/>
    </row>
    <row r="8" spans="1:12" ht="12.75">
      <c r="A8" s="3555" t="s">
        <v>832</v>
      </c>
      <c r="B8" s="3563">
        <v>15</v>
      </c>
      <c r="C8" s="3645"/>
      <c r="D8" s="3566"/>
      <c r="E8" s="2037" t="s">
        <v>833</v>
      </c>
      <c r="F8" s="2394"/>
      <c r="G8" s="2394"/>
      <c r="H8" s="2394"/>
      <c r="I8" s="2251"/>
    </row>
    <row r="9" spans="1:12" ht="12.75">
      <c r="A9" s="3555"/>
      <c r="B9" s="3563"/>
      <c r="C9" s="3647"/>
      <c r="D9" s="3566"/>
      <c r="E9" s="2037" t="s">
        <v>834</v>
      </c>
      <c r="F9" s="2394"/>
      <c r="G9" s="2394"/>
      <c r="H9" s="2394"/>
      <c r="I9" s="2251"/>
    </row>
    <row r="10" spans="1:12" ht="12.75">
      <c r="A10" s="3555" t="s">
        <v>835</v>
      </c>
      <c r="B10" s="3563">
        <v>15</v>
      </c>
      <c r="C10" s="3645"/>
      <c r="D10" s="3566"/>
      <c r="E10" s="2037" t="s">
        <v>836</v>
      </c>
      <c r="F10" s="2394"/>
      <c r="G10" s="2394"/>
      <c r="H10" s="2394"/>
      <c r="I10" s="2251"/>
    </row>
    <row r="11" spans="1:12" ht="12.75">
      <c r="A11" s="3555"/>
      <c r="B11" s="3563"/>
      <c r="C11" s="3647"/>
      <c r="D11" s="3566"/>
      <c r="E11" s="2037" t="s">
        <v>837</v>
      </c>
      <c r="F11" s="2394"/>
      <c r="G11" s="2394"/>
      <c r="H11" s="2394"/>
      <c r="I11" s="2251"/>
    </row>
    <row r="12" spans="1:12" ht="12.75">
      <c r="A12" s="3555" t="s">
        <v>838</v>
      </c>
      <c r="B12" s="3563">
        <v>15</v>
      </c>
      <c r="C12" s="3645"/>
      <c r="D12" s="3566"/>
      <c r="E12" s="2037" t="s">
        <v>839</v>
      </c>
      <c r="F12" s="2394"/>
      <c r="G12" s="2394"/>
      <c r="H12" s="2394"/>
      <c r="I12" s="2251"/>
    </row>
    <row r="13" spans="1:12" ht="12.75">
      <c r="A13" s="3555"/>
      <c r="B13" s="3563"/>
      <c r="C13" s="3647"/>
      <c r="D13" s="3566"/>
      <c r="E13" s="2037" t="s">
        <v>840</v>
      </c>
      <c r="F13" s="2394"/>
      <c r="G13" s="2394"/>
      <c r="H13" s="2394"/>
      <c r="I13" s="2251"/>
    </row>
    <row r="14" spans="1:12" ht="12.75">
      <c r="A14" s="3555" t="s">
        <v>841</v>
      </c>
      <c r="B14" s="3563">
        <v>30</v>
      </c>
      <c r="C14" s="3645">
        <v>7</v>
      </c>
      <c r="D14" s="3566">
        <v>3</v>
      </c>
      <c r="E14" s="2037" t="s">
        <v>842</v>
      </c>
      <c r="F14" s="2394"/>
      <c r="G14" s="2394"/>
      <c r="H14" s="2394"/>
      <c r="I14" s="2251"/>
    </row>
    <row r="15" spans="1:12" ht="12.75">
      <c r="A15" s="3555"/>
      <c r="B15" s="3563"/>
      <c r="C15" s="3646"/>
      <c r="D15" s="3566"/>
      <c r="E15" s="2037" t="s">
        <v>843</v>
      </c>
      <c r="F15" s="2394"/>
      <c r="G15" s="2394"/>
      <c r="H15" s="2394"/>
      <c r="I15" s="2251"/>
    </row>
    <row r="16" spans="1:12" ht="12.75">
      <c r="A16" s="3555"/>
      <c r="B16" s="3563"/>
      <c r="C16" s="3647"/>
      <c r="D16" s="3566"/>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636" t="s">
        <v>849</v>
      </c>
      <c r="F18" s="3637"/>
      <c r="G18" s="3637"/>
      <c r="H18" s="3637"/>
      <c r="I18" s="3637"/>
      <c r="K18" s="1997" t="s">
        <v>504</v>
      </c>
      <c r="L18" s="1997">
        <f>IF(C1="",'数据-汇总表'!E3,SUMIF(项目类型,C1,'数据-汇总表'!E17:E26)+SUMIF(项目类型,C1,'数据-汇总表'!I17:I26))</f>
        <v>98.8</v>
      </c>
      <c r="M18" s="1997">
        <f>IF(C1="",'数据-汇总表'!E3,SUMIF(项目类型,C1,'数据-汇总表'!E17:E26))</f>
        <v>98.8</v>
      </c>
    </row>
    <row r="19" spans="1:36" ht="15">
      <c r="A19" s="2401" t="s">
        <v>850</v>
      </c>
      <c r="B19" s="2402" t="s">
        <v>851</v>
      </c>
      <c r="C19" s="2403">
        <f ca="1">SUMIF(INDIRECT("'"&amp;C4&amp;"'"&amp;"!A:A"),结果表!B19,INDIRECT("'"&amp;C4&amp;"'"&amp;"!B:B"))</f>
        <v>341.64049999999997</v>
      </c>
      <c r="D19" s="1465">
        <f ca="1">SUMIF(INDIRECT("'"&amp;D4&amp;"'"&amp;"!A:A"),结果表!B19,INDIRECT("'"&amp;D4&amp;"'"&amp;"!B:B"))</f>
        <v>159.84729999999999</v>
      </c>
      <c r="E19" s="2401" t="s">
        <v>852</v>
      </c>
      <c r="F19" s="2402" t="s">
        <v>851</v>
      </c>
      <c r="G19" s="2404">
        <f ca="1">ROUND(C19*$C$18+D19*$D$18,0)</f>
        <v>287</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34579</v>
      </c>
      <c r="D20" s="1734">
        <f ca="1">SUMIF(INDIRECT("'"&amp;D4&amp;"'"&amp;"!A:A"),结果表!B20,INDIRECT("'"&amp;D4&amp;"'"&amp;"!B:B"))</f>
        <v>16179</v>
      </c>
      <c r="E20" s="2406"/>
      <c r="F20" s="2407" t="s">
        <v>854</v>
      </c>
      <c r="G20" s="2408">
        <f ca="1">ROUND(C20*$C$18+D20*$D$18,0)</f>
        <v>29059</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1.1372929039151742</v>
      </c>
      <c r="E22" s="1025"/>
      <c r="F22" s="1025"/>
      <c r="G22" s="1025"/>
      <c r="H22" s="1025"/>
      <c r="I22" s="1025"/>
    </row>
    <row r="23" spans="1:36" ht="12.75">
      <c r="A23" s="2382"/>
      <c r="B23" s="2382"/>
      <c r="C23" s="2382"/>
      <c r="D23" s="2382"/>
      <c r="E23" s="1025"/>
      <c r="F23" s="1025"/>
      <c r="G23" s="1025"/>
      <c r="H23" s="1025"/>
      <c r="I23" s="1025"/>
    </row>
    <row r="24" spans="1:36" ht="14.25">
      <c r="A24" s="3556" t="s">
        <v>858</v>
      </c>
      <c r="B24" s="2402" t="s">
        <v>851</v>
      </c>
      <c r="C24" s="2404">
        <f>IF(B30=0,0,D30)</f>
        <v>0</v>
      </c>
      <c r="D24" s="2418"/>
      <c r="E24" s="1025"/>
      <c r="F24" s="1025"/>
      <c r="G24" s="1025" t="e">
        <f ca="1">G20/'数据-取费表'!U27</f>
        <v>#DIV/0!</v>
      </c>
      <c r="H24" s="1025"/>
      <c r="I24" s="1025"/>
    </row>
    <row r="25" spans="1:36" ht="14.25">
      <c r="A25" s="3557"/>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29059</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558" t="s">
        <v>875</v>
      </c>
      <c r="B36" s="2448" t="s">
        <v>876</v>
      </c>
      <c r="C36" s="2449"/>
      <c r="D36" s="2450"/>
      <c r="E36" s="2451"/>
      <c r="F36" s="2452"/>
      <c r="G36" s="1025"/>
      <c r="H36" s="1025"/>
      <c r="I36" s="1025"/>
    </row>
    <row r="37" spans="1:15" ht="15">
      <c r="A37" s="3559"/>
      <c r="B37" s="2453" t="s">
        <v>877</v>
      </c>
      <c r="C37" s="2454"/>
      <c r="D37" s="2455"/>
      <c r="E37" s="2455"/>
      <c r="F37" s="2452"/>
      <c r="G37" s="1025"/>
      <c r="H37" s="1025"/>
      <c r="I37" s="1025"/>
    </row>
    <row r="38" spans="1:15" ht="15">
      <c r="A38" s="3560"/>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638" t="s">
        <v>886</v>
      </c>
      <c r="B45" s="3639"/>
      <c r="C45" s="3640"/>
      <c r="D45" s="1996">
        <f ca="1">ROUND(H101*F45,0)</f>
        <v>287</v>
      </c>
      <c r="E45" s="2474" t="s">
        <v>887</v>
      </c>
      <c r="F45" s="2475">
        <v>1</v>
      </c>
      <c r="G45" s="2476" t="s">
        <v>888</v>
      </c>
      <c r="H45" s="1025"/>
      <c r="I45" s="1025"/>
      <c r="J45" s="3627" t="s">
        <v>889</v>
      </c>
      <c r="K45" s="3627"/>
      <c r="L45" s="3627"/>
      <c r="M45" s="3627"/>
      <c r="N45" s="3627"/>
      <c r="O45" s="3627"/>
    </row>
    <row r="46" spans="1:15" ht="14.25" customHeight="1">
      <c r="A46" s="3641" t="s">
        <v>890</v>
      </c>
      <c r="B46" s="3642"/>
      <c r="C46" s="3642"/>
      <c r="D46" s="3642"/>
      <c r="E46" s="3642"/>
      <c r="F46" s="3642"/>
      <c r="G46" s="3643"/>
      <c r="H46" s="2477"/>
      <c r="I46" s="1026"/>
      <c r="J46" s="636">
        <v>1</v>
      </c>
      <c r="K46" s="3617" t="s">
        <v>891</v>
      </c>
      <c r="L46" s="3617"/>
      <c r="M46" s="3644"/>
      <c r="N46" s="3644"/>
      <c r="O46" s="3644"/>
    </row>
    <row r="47" spans="1:15" ht="12" customHeight="1">
      <c r="A47" s="2478" t="s">
        <v>892</v>
      </c>
      <c r="B47" s="2479"/>
      <c r="C47" s="2480"/>
      <c r="D47" s="2047" t="s">
        <v>893</v>
      </c>
      <c r="E47" s="1997" t="s">
        <v>894</v>
      </c>
      <c r="F47" s="2481" t="s">
        <v>895</v>
      </c>
      <c r="G47" s="2482" t="s">
        <v>896</v>
      </c>
      <c r="H47" s="2483"/>
      <c r="I47" s="1026"/>
      <c r="J47" s="636">
        <v>2</v>
      </c>
      <c r="K47" s="3617" t="s">
        <v>897</v>
      </c>
      <c r="L47" s="3617"/>
      <c r="M47" s="3624">
        <f>'数据-取费表'!B2</f>
        <v>45852</v>
      </c>
      <c r="N47" s="3624"/>
      <c r="O47" s="3624"/>
    </row>
    <row r="48" spans="1:15" ht="25.5">
      <c r="A48" s="3625" t="s">
        <v>898</v>
      </c>
      <c r="B48" s="3619"/>
      <c r="C48" s="3619"/>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617" t="s">
        <v>900</v>
      </c>
      <c r="L48" s="3617"/>
      <c r="M48" s="3626">
        <f ca="1">H101</f>
        <v>287</v>
      </c>
      <c r="N48" s="3626"/>
      <c r="O48" s="3626"/>
    </row>
    <row r="49" spans="1:35" ht="25.5" customHeight="1">
      <c r="A49" s="2484" t="s">
        <v>901</v>
      </c>
      <c r="B49" s="3593" t="s">
        <v>902</v>
      </c>
      <c r="C49" s="3593"/>
      <c r="D49" s="2488">
        <v>0</v>
      </c>
      <c r="E49" s="2057" t="s">
        <v>903</v>
      </c>
      <c r="F49" s="2489" t="s">
        <v>124</v>
      </c>
      <c r="G49" s="3620"/>
      <c r="H49" s="2490" t="s">
        <v>904</v>
      </c>
      <c r="I49" s="2527"/>
      <c r="J49" s="636">
        <v>4</v>
      </c>
      <c r="K49" s="3617" t="str">
        <f>IF(项目基本情况!E8="房地产抵押价值","房地产抵押价值","抵押担保权已注销时的房地产抵押价值")</f>
        <v>房地产抵押价值</v>
      </c>
      <c r="L49" s="3617"/>
      <c r="M49" s="3626">
        <f ca="1">IF(项目基本情况!E8="房地产抵押价值",H107,H109)</f>
        <v>287</v>
      </c>
      <c r="N49" s="3626"/>
      <c r="O49" s="3626"/>
    </row>
    <row r="50" spans="1:35" ht="25.5" customHeight="1">
      <c r="A50" s="2491"/>
      <c r="B50" s="3593" t="s">
        <v>905</v>
      </c>
      <c r="C50" s="3593"/>
      <c r="D50" s="2492"/>
      <c r="E50" s="2072"/>
      <c r="F50" s="2489"/>
      <c r="G50" s="3621"/>
      <c r="H50" s="2493" t="s">
        <v>906</v>
      </c>
      <c r="I50" s="2527"/>
      <c r="J50" s="3627" t="s">
        <v>907</v>
      </c>
      <c r="K50" s="3627"/>
      <c r="L50" s="3627"/>
      <c r="M50" s="3627"/>
      <c r="N50" s="3627"/>
      <c r="O50" s="3627"/>
    </row>
    <row r="51" spans="1:35" ht="20.45" customHeight="1">
      <c r="A51" s="2494"/>
      <c r="B51" s="3593" t="s">
        <v>908</v>
      </c>
      <c r="C51" s="3593"/>
      <c r="D51" s="2047"/>
      <c r="E51" s="2061"/>
      <c r="F51" s="2489"/>
      <c r="G51" s="3622"/>
      <c r="H51" s="2493" t="s">
        <v>909</v>
      </c>
      <c r="I51" s="2527"/>
      <c r="J51" s="2526" t="s">
        <v>910</v>
      </c>
      <c r="K51" s="3617" t="s">
        <v>911</v>
      </c>
      <c r="L51" s="3617"/>
      <c r="M51" s="2526" t="s">
        <v>912</v>
      </c>
      <c r="N51" s="2526" t="s">
        <v>913</v>
      </c>
      <c r="O51" s="2526" t="s">
        <v>914</v>
      </c>
    </row>
    <row r="52" spans="1:35" ht="24" customHeight="1">
      <c r="A52" s="2495" t="s">
        <v>915</v>
      </c>
      <c r="B52" s="3593" t="s">
        <v>916</v>
      </c>
      <c r="C52" s="3593"/>
      <c r="D52" s="2047">
        <f ca="1">ROUND(D45*'数据-取费表'!B41/(1+'数据-取费表'!C42),0)</f>
        <v>15</v>
      </c>
      <c r="E52" s="2051" t="s">
        <v>917</v>
      </c>
      <c r="F52" s="2496">
        <f>'数据-取费表'!B41</f>
        <v>5.6000000000000001E-2</v>
      </c>
      <c r="G52" s="2497"/>
      <c r="H52" s="2166"/>
      <c r="I52" s="2528"/>
      <c r="J52" s="636">
        <v>1</v>
      </c>
      <c r="K52" s="3613" t="s">
        <v>918</v>
      </c>
      <c r="L52" s="3613"/>
      <c r="M52" s="2529" t="b">
        <f>D48</f>
        <v>0</v>
      </c>
      <c r="N52" s="636" t="str">
        <f>E48</f>
        <v>销售额×税（费）率</v>
      </c>
      <c r="O52" s="2530">
        <f>F48</f>
        <v>5.6000000000000001E-2</v>
      </c>
    </row>
    <row r="53" spans="1:35" ht="12" customHeight="1">
      <c r="A53" s="2495" t="s">
        <v>919</v>
      </c>
      <c r="B53" s="3592" t="s">
        <v>920</v>
      </c>
      <c r="C53" s="3609"/>
      <c r="D53" s="2047">
        <f ca="1">ROUND(D45*'数据-取费表'!B41/(1+'数据-取费表'!C42),0)</f>
        <v>15</v>
      </c>
      <c r="E53" s="2051" t="s">
        <v>917</v>
      </c>
      <c r="F53" s="2496">
        <f>'数据-取费表'!B41</f>
        <v>5.6000000000000001E-2</v>
      </c>
      <c r="G53" s="2497"/>
      <c r="H53" s="2166"/>
      <c r="I53" s="2528"/>
      <c r="J53" s="636">
        <v>2</v>
      </c>
      <c r="K53" s="3613" t="s">
        <v>921</v>
      </c>
      <c r="L53" s="3613"/>
      <c r="M53" s="2529">
        <f t="shared" ref="M53:O54" ca="1" si="0">D55</f>
        <v>0</v>
      </c>
      <c r="N53" s="636" t="str">
        <f t="shared" si="0"/>
        <v>销售额×税（费）率</v>
      </c>
      <c r="O53" s="2530" t="str">
        <f t="shared" si="0"/>
        <v>免征</v>
      </c>
    </row>
    <row r="54" spans="1:35" ht="12" customHeight="1">
      <c r="A54" s="2495" t="s">
        <v>922</v>
      </c>
      <c r="B54" s="3592" t="s">
        <v>923</v>
      </c>
      <c r="C54" s="3609"/>
      <c r="D54" s="2047">
        <f ca="1">C68</f>
        <v>15</v>
      </c>
      <c r="E54" s="2061" t="s">
        <v>924</v>
      </c>
      <c r="F54" s="2496">
        <f>'数据-取费表'!B41</f>
        <v>5.6000000000000001E-2</v>
      </c>
      <c r="G54" s="2497"/>
      <c r="H54" s="2498"/>
      <c r="I54" s="2528"/>
      <c r="J54" s="636">
        <v>3</v>
      </c>
      <c r="K54" s="3613" t="s">
        <v>925</v>
      </c>
      <c r="L54" s="3613"/>
      <c r="M54" s="2529">
        <f t="shared" ca="1" si="0"/>
        <v>162</v>
      </c>
      <c r="N54" s="636" t="str">
        <f t="shared" si="0"/>
        <v>增值额×税（费）率</v>
      </c>
      <c r="O54" s="2531" t="str">
        <f t="shared" si="0"/>
        <v>免征</v>
      </c>
    </row>
    <row r="55" spans="1:35" ht="24" customHeight="1">
      <c r="A55" s="3618" t="s">
        <v>926</v>
      </c>
      <c r="B55" s="3619"/>
      <c r="C55" s="3619"/>
      <c r="D55" s="2151">
        <f ca="1">IF(H55="个人住宅",0,ROUND(D45*I55,0))</f>
        <v>0</v>
      </c>
      <c r="E55" s="2051" t="s">
        <v>927</v>
      </c>
      <c r="F55" s="2496" t="str">
        <f>IF(H55="正常",I55,"免征")</f>
        <v>免征</v>
      </c>
      <c r="G55" s="2497"/>
      <c r="H55" s="2487"/>
      <c r="I55" s="2532">
        <f>'数据-取费表'!B49</f>
        <v>5.0000000000000001E-4</v>
      </c>
      <c r="J55" s="636">
        <f>IF(H59="非个人房产","",4)</f>
        <v>4</v>
      </c>
      <c r="K55" s="3613" t="str">
        <f>IF(H59="非个人房产","——","个人所得税")</f>
        <v>个人所得税</v>
      </c>
      <c r="L55" s="3613"/>
      <c r="M55" s="2533">
        <f ca="1">D59</f>
        <v>3</v>
      </c>
      <c r="N55" s="617" t="str">
        <f>E59</f>
        <v>差额计税</v>
      </c>
      <c r="O55" s="2534">
        <f>F59</f>
        <v>0.01</v>
      </c>
    </row>
    <row r="56" spans="1:35" ht="24.75">
      <c r="A56" s="3618" t="s">
        <v>928</v>
      </c>
      <c r="B56" s="3619"/>
      <c r="C56" s="3619"/>
      <c r="D56" s="2151">
        <f ca="1">IF(H56="个人住宅",D57,D58)</f>
        <v>162</v>
      </c>
      <c r="E56" s="2051" t="s">
        <v>929</v>
      </c>
      <c r="F56" s="2496" t="str">
        <f>IF(H56="正常",F58,"免征")</f>
        <v>免征</v>
      </c>
      <c r="G56" s="2499" t="s">
        <v>930</v>
      </c>
      <c r="H56" s="2500"/>
      <c r="I56" s="2509"/>
      <c r="J56" s="636" t="str">
        <f>IF(项目基本情况!K6="上海银行",IF(J55="",4,J55+1),"")</f>
        <v/>
      </c>
      <c r="K56" s="3607" t="str">
        <f>IF(项目基本情况!K6="上海银行","其他处置费用","")</f>
        <v/>
      </c>
      <c r="L56" s="3623"/>
      <c r="M56" s="2529" t="str">
        <f>IF(项目基本情况!K6="上海银行",M69,"")</f>
        <v/>
      </c>
      <c r="N56" s="3607" t="str">
        <f>IF(项目基本情况!K6="上海银行","包含处置中涉及的律师、诉讼、拍卖、评估等费用","")</f>
        <v/>
      </c>
      <c r="O56" s="3608"/>
    </row>
    <row r="57" spans="1:35" ht="12.75">
      <c r="A57" s="2495" t="s">
        <v>901</v>
      </c>
      <c r="B57" s="3592" t="s">
        <v>931</v>
      </c>
      <c r="C57" s="3609"/>
      <c r="D57" s="2488">
        <v>0</v>
      </c>
      <c r="E57" s="2057" t="s">
        <v>903</v>
      </c>
      <c r="F57" s="1997"/>
      <c r="G57" s="2497"/>
      <c r="H57" s="2501"/>
      <c r="I57" s="2509"/>
      <c r="J57" s="3613">
        <f>IF(AND(J55="",J56=""),4,IF(项目基本情况!K6="上海银行",结果表!J56+1,结果表!J55+1))</f>
        <v>5</v>
      </c>
      <c r="K57" s="3613" t="s">
        <v>932</v>
      </c>
      <c r="L57" s="2535" t="s">
        <v>933</v>
      </c>
      <c r="M57" s="2536"/>
      <c r="N57" s="2537">
        <f ca="1">SUMIF(M52:M56,"&lt;9e307")</f>
        <v>165</v>
      </c>
      <c r="O57" s="2538"/>
      <c r="P57" s="2539">
        <f ca="1">N57/M49</f>
        <v>0.57491289198606277</v>
      </c>
    </row>
    <row r="58" spans="1:35" ht="24.75">
      <c r="A58" s="2495" t="s">
        <v>915</v>
      </c>
      <c r="B58" s="3592" t="s">
        <v>934</v>
      </c>
      <c r="C58" s="3593"/>
      <c r="D58" s="2151">
        <f ca="1">IF(H58="转让取得",C81,C97)</f>
        <v>162</v>
      </c>
      <c r="E58" s="2051" t="s">
        <v>929</v>
      </c>
      <c r="F58" s="1997" t="s">
        <v>124</v>
      </c>
      <c r="G58" s="2497"/>
      <c r="H58" s="2500"/>
      <c r="I58" s="2509"/>
      <c r="J58" s="3613"/>
      <c r="K58" s="3613"/>
      <c r="L58" s="2535" t="s">
        <v>935</v>
      </c>
      <c r="M58" s="2540"/>
      <c r="N58" s="2541" t="str">
        <f ca="1">NUMBERSTRING(INT(N57*10000),2)&amp;"元整"</f>
        <v>壹佰陆拾伍万元整</v>
      </c>
      <c r="O58" s="2542"/>
    </row>
    <row r="59" spans="1:35" ht="24">
      <c r="A59" s="3610" t="s">
        <v>936</v>
      </c>
      <c r="B59" s="3611"/>
      <c r="C59" s="3611"/>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614">
        <f>J57+1</f>
        <v>6</v>
      </c>
      <c r="K59" s="3613" t="s">
        <v>938</v>
      </c>
      <c r="L59" s="636" t="s">
        <v>933</v>
      </c>
      <c r="M59" s="2544"/>
      <c r="N59" s="2545">
        <f ca="1">M49-N57</f>
        <v>122</v>
      </c>
      <c r="O59" s="2546"/>
    </row>
    <row r="60" spans="1:35" ht="12" customHeight="1">
      <c r="A60" s="2507"/>
      <c r="B60" s="2382"/>
      <c r="C60" s="2382"/>
      <c r="D60" s="2382"/>
      <c r="E60" s="2508"/>
      <c r="F60" s="2509"/>
      <c r="G60" s="2509"/>
      <c r="H60" s="2510"/>
      <c r="I60" s="1025"/>
      <c r="J60" s="3615"/>
      <c r="K60" s="3613"/>
      <c r="L60" s="2535" t="s">
        <v>935</v>
      </c>
      <c r="M60" s="2540"/>
      <c r="N60" s="2541" t="str">
        <f ca="1">NUMBERSTRING(INT(N59*10000),2)&amp;"元整"</f>
        <v>壹佰贰拾贰万元整</v>
      </c>
      <c r="O60" s="2542"/>
    </row>
    <row r="61" spans="1:35" ht="12.75">
      <c r="A61" s="3612" t="s">
        <v>939</v>
      </c>
      <c r="B61" s="3612"/>
      <c r="C61" s="3612"/>
      <c r="D61" s="3612"/>
      <c r="E61" s="3612"/>
      <c r="F61" s="2509"/>
      <c r="G61" s="2509"/>
      <c r="H61" s="2510"/>
      <c r="I61" s="1025"/>
      <c r="J61" s="636">
        <f>J59+1</f>
        <v>7</v>
      </c>
      <c r="K61" s="3613" t="s">
        <v>940</v>
      </c>
      <c r="L61" s="3613"/>
      <c r="M61" s="2547"/>
      <c r="N61" s="2548">
        <f ca="1">ROUND(N59*10000/'数据-汇总表'!E3,0)</f>
        <v>12348</v>
      </c>
      <c r="O61" s="2549"/>
    </row>
    <row r="62" spans="1:35" ht="12.75">
      <c r="A62" s="3590" t="s">
        <v>941</v>
      </c>
      <c r="B62" s="3591"/>
      <c r="C62" s="587"/>
      <c r="D62" s="587" t="s">
        <v>942</v>
      </c>
      <c r="E62" s="2511" t="s">
        <v>896</v>
      </c>
      <c r="F62" s="2509"/>
      <c r="G62" s="2509"/>
      <c r="H62" s="2510"/>
      <c r="I62" s="1025"/>
    </row>
    <row r="63" spans="1:35" ht="12.75">
      <c r="A63" s="2512" t="s">
        <v>943</v>
      </c>
      <c r="B63" s="646" t="s">
        <v>944</v>
      </c>
      <c r="C63" s="2513">
        <f ca="1">ROUND((C64+C65)/(1+'数据-取费表'!C42),0)</f>
        <v>273</v>
      </c>
      <c r="D63" s="646"/>
      <c r="E63" s="2514"/>
      <c r="F63" s="2509"/>
      <c r="G63" s="2509"/>
      <c r="H63" s="2510"/>
      <c r="I63" s="1025"/>
      <c r="J63" s="3616" t="s">
        <v>945</v>
      </c>
      <c r="K63" s="2550" t="s">
        <v>946</v>
      </c>
      <c r="L63" s="2550">
        <f ca="1">IF(M49&gt;10000,M49*0.5%,IF(AND(M49&gt;1000,M49&lt;=10000),M49*1%,IF(AND(M49&gt;100,M49&lt;=1000),M49*3%,IF(AND(M49&gt;10,M49&lt;=100),M49*5%,M49*8%))))</f>
        <v>8.61</v>
      </c>
      <c r="M63" s="1997">
        <f ca="1">ROUND(L63,1)</f>
        <v>8.6</v>
      </c>
      <c r="N63" s="2551"/>
      <c r="Z63" s="2379"/>
      <c r="AI63" s="2380"/>
    </row>
    <row r="64" spans="1:35" ht="14.25" customHeight="1">
      <c r="A64" s="2515" t="s">
        <v>947</v>
      </c>
      <c r="B64" s="573" t="s">
        <v>948</v>
      </c>
      <c r="C64" s="2516">
        <f ca="1">D45</f>
        <v>287</v>
      </c>
      <c r="D64" s="573" t="s">
        <v>124</v>
      </c>
      <c r="E64" s="2517"/>
      <c r="F64" s="2509"/>
      <c r="G64" s="2509"/>
      <c r="H64" s="2510"/>
      <c r="I64" s="1025"/>
      <c r="J64" s="3616"/>
      <c r="K64" s="2550" t="s">
        <v>949</v>
      </c>
      <c r="L64" s="2550">
        <f ca="1">IF(M49&gt;2000,M49*0.5%,IF(AND(M49&gt;1000,M49&lt;=2000),M49*0.6%,IF(AND(M49&gt;500,M49&lt;=1000),M49*0.7%,IF(AND(M49&gt;200,M49&lt;=500),M49*0.8%,IF(AND(M49&gt;100,M49&lt;=200),M49*0.9%,IF(AND(M49&gt;50,M49&lt;=100),M49*1%,IF(AND(M49&gt;20,M49&lt;=50),M49*1.5%,IF(AND(M49&gt;10,M49&lt;=20),M49*2%,IF(AND(M49&gt;1,M49&lt;=10),M49*2.5%)))))))))</f>
        <v>2.2960000000000003</v>
      </c>
      <c r="M64" s="1997">
        <f t="shared" ref="M64:M65" ca="1" si="1">ROUND(L64,1)</f>
        <v>2.2999999999999998</v>
      </c>
      <c r="N64" s="2166" t="s">
        <v>950</v>
      </c>
      <c r="Z64" s="2379"/>
      <c r="AI64" s="2380"/>
    </row>
    <row r="65" spans="1:35" ht="14.25" customHeight="1">
      <c r="A65" s="2515" t="s">
        <v>951</v>
      </c>
      <c r="B65" s="573" t="s">
        <v>952</v>
      </c>
      <c r="C65" s="2553"/>
      <c r="D65" s="573"/>
      <c r="E65" s="2517"/>
      <c r="F65" s="2509"/>
      <c r="G65" s="2509"/>
      <c r="H65" s="2510"/>
      <c r="I65" s="1025"/>
      <c r="J65" s="3616"/>
      <c r="K65" s="2550" t="s">
        <v>953</v>
      </c>
      <c r="L65" s="2550">
        <f ca="1">IF(M49&gt;1000,M49*0.1%,IF(AND(M49&gt;500,M49&lt;=1000),M49*0.5%,IF(AND(M49&gt;50,M49&lt;=500),M49*1%,IF(AND(M49&gt;1,M49&lt;=50),M49*1.5%))))</f>
        <v>2.87</v>
      </c>
      <c r="M65" s="1997">
        <f t="shared" ca="1" si="1"/>
        <v>2.9</v>
      </c>
      <c r="N65" s="2166" t="s">
        <v>950</v>
      </c>
      <c r="Z65" s="2379"/>
      <c r="AI65" s="2380"/>
    </row>
    <row r="66" spans="1:35" ht="14.25" customHeight="1">
      <c r="A66" s="2512" t="s">
        <v>954</v>
      </c>
      <c r="B66" s="2554" t="s">
        <v>955</v>
      </c>
      <c r="C66" s="2555"/>
      <c r="D66" s="2554" t="s">
        <v>124</v>
      </c>
      <c r="E66" s="2556" t="s">
        <v>956</v>
      </c>
      <c r="F66" s="2509"/>
      <c r="G66" s="2509"/>
      <c r="H66" s="2510"/>
      <c r="I66" s="1025"/>
      <c r="J66" s="3616"/>
      <c r="K66" s="2550" t="s">
        <v>957</v>
      </c>
      <c r="L66" s="2550">
        <f ca="1">M49*0.5%</f>
        <v>1.4350000000000001</v>
      </c>
      <c r="M66" s="1997">
        <f ca="1">IF(L66&gt;0.5,0.5,ROUND(L66,0))</f>
        <v>0.5</v>
      </c>
      <c r="N66" s="2166" t="s">
        <v>958</v>
      </c>
      <c r="Z66" s="2379"/>
      <c r="AI66" s="2380"/>
    </row>
    <row r="67" spans="1:35" ht="14.25" customHeight="1">
      <c r="A67" s="2512" t="s">
        <v>959</v>
      </c>
      <c r="B67" s="2554" t="s">
        <v>960</v>
      </c>
      <c r="C67" s="2557">
        <f ca="1">C63-C66</f>
        <v>273</v>
      </c>
      <c r="D67" s="573" t="s">
        <v>124</v>
      </c>
      <c r="E67" s="2517"/>
      <c r="F67" s="2509"/>
      <c r="G67" s="2509"/>
      <c r="H67" s="2510"/>
      <c r="I67" s="1025"/>
      <c r="J67" s="3616"/>
      <c r="K67" s="2550" t="s">
        <v>961</v>
      </c>
      <c r="L67" s="2550">
        <f ca="1">IF(M49&gt;=10000,(8.25+(M49-10000)*0.01%),IF(AND(M49&gt;=8000,M49&lt;10000),(7.85+(M49-8000)*0.02%),IF(AND(M49&gt;=5000,M49&lt;8000),(6.65+(M49-5000)*0.04%),IF(AND(M49&gt;=2000,M49&lt;5000),(4.25+(PM49-2000)*0.08%),IF(AND(M49&gt;=1000,M49&lt;2000),(2.75+(M49-1000)*0.15%),IF(AND(M49&gt;=100,M49&lt;1000),(0.5+(M49-100)*0.25%),IF(AND(M49&gt;0,M49&lt;100),M49*0.5%)))))))</f>
        <v>0.96750000000000003</v>
      </c>
      <c r="M67" s="1997">
        <f ca="1">ROUND(L67*0.9,1)</f>
        <v>0.9</v>
      </c>
      <c r="N67" s="2551"/>
      <c r="Z67" s="2379"/>
      <c r="AI67" s="2380"/>
    </row>
    <row r="68" spans="1:35" ht="14.25" customHeight="1">
      <c r="A68" s="2558" t="s">
        <v>962</v>
      </c>
      <c r="B68" s="2559" t="s">
        <v>963</v>
      </c>
      <c r="C68" s="2560">
        <f ca="1">IF(C67&lt;=0,0,ROUND(C67*D68,0))</f>
        <v>15</v>
      </c>
      <c r="D68" s="841">
        <f>'数据-取费表'!B41</f>
        <v>5.6000000000000001E-2</v>
      </c>
      <c r="E68" s="2561"/>
      <c r="F68" s="2509"/>
      <c r="G68" s="2509"/>
      <c r="H68" s="2510"/>
      <c r="I68" s="1025"/>
      <c r="J68" s="3616"/>
      <c r="K68" s="2550" t="s">
        <v>964</v>
      </c>
      <c r="L68" s="2550">
        <f ca="1">IF(M49&gt;10000,M49*0.5%,IF(AND(M49&gt;5000,M49&lt;=10000),M49*1%,IF(AND(M49&gt;1000,M49&lt;=5000),M49*2%,IF(AND(M49&gt;200,M49&lt;=1000),M49*3%,M49*5%))))</f>
        <v>8.61</v>
      </c>
      <c r="M68" s="1997">
        <f ca="1">ROUND(L68,1)</f>
        <v>8.6</v>
      </c>
      <c r="N68" s="2551"/>
      <c r="Z68" s="2379"/>
      <c r="AI68" s="2380"/>
    </row>
    <row r="69" spans="1:35" s="2377" customFormat="1" ht="16.5" customHeight="1">
      <c r="A69" s="2562"/>
      <c r="B69" s="2563"/>
      <c r="C69" s="2564"/>
      <c r="D69" s="758"/>
      <c r="E69" s="2565"/>
      <c r="F69" s="2508"/>
      <c r="G69" s="2508"/>
      <c r="H69" s="2468"/>
      <c r="I69" s="2382"/>
      <c r="J69" s="3616"/>
      <c r="K69" s="2550" t="s">
        <v>965</v>
      </c>
      <c r="L69" s="2550"/>
      <c r="M69" s="1997">
        <f ca="1">ROUND(SUM(M63:M68),0)</f>
        <v>24</v>
      </c>
      <c r="N69" s="2628">
        <f ca="1">M69/M49</f>
        <v>8.3623693379790948E-2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588" t="s">
        <v>966</v>
      </c>
      <c r="B70" s="3589"/>
      <c r="C70" s="3589"/>
      <c r="D70" s="3589"/>
      <c r="E70" s="3589"/>
      <c r="F70" s="3589"/>
      <c r="G70" s="3589"/>
      <c r="H70" s="3589"/>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0" t="s">
        <v>941</v>
      </c>
      <c r="B71" s="3591"/>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273</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92" t="s">
        <v>976</v>
      </c>
      <c r="F76" s="3593"/>
      <c r="G76" s="3593"/>
      <c r="H76" s="3594"/>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570" t="s">
        <v>981</v>
      </c>
      <c r="F78" s="3571"/>
      <c r="G78" s="3571"/>
      <c r="H78" s="3572"/>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271</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135.5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162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88" t="s">
        <v>986</v>
      </c>
      <c r="B83" s="3589"/>
      <c r="C83" s="3589"/>
      <c r="D83" s="3589"/>
      <c r="E83" s="3589"/>
      <c r="F83" s="3589"/>
      <c r="G83" s="3589"/>
      <c r="H83" s="3589"/>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0" t="s">
        <v>941</v>
      </c>
      <c r="B84" s="3591"/>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273</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02" t="s">
        <v>994</v>
      </c>
      <c r="H90" s="3603"/>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570" t="s">
        <v>998</v>
      </c>
      <c r="F91" s="3571"/>
      <c r="G91" s="3571"/>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570" t="s">
        <v>1001</v>
      </c>
      <c r="F92" s="3571"/>
      <c r="G92" s="3571"/>
      <c r="H92" s="3572"/>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570" t="s">
        <v>981</v>
      </c>
      <c r="F93" s="3571"/>
      <c r="G93" s="3571"/>
      <c r="H93" s="3572"/>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573" t="s">
        <v>1006</v>
      </c>
      <c r="F94" s="3574"/>
      <c r="G94" s="3574"/>
      <c r="H94" s="3575"/>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271</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135.5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162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8" t="s">
        <v>1008</v>
      </c>
      <c r="B100" s="3549"/>
      <c r="C100" s="3549"/>
      <c r="D100" s="3576"/>
      <c r="E100" s="3549" t="s">
        <v>1009</v>
      </c>
      <c r="F100" s="3549"/>
      <c r="G100" s="3549"/>
      <c r="H100" s="3576"/>
      <c r="I100" s="1025"/>
    </row>
    <row r="101" spans="1:35" ht="18.75" customHeight="1">
      <c r="A101" s="3577" t="s">
        <v>1010</v>
      </c>
      <c r="B101" s="3578"/>
      <c r="C101" s="2605" t="str">
        <f>C4</f>
        <v>比较法-商业</v>
      </c>
      <c r="D101" s="2606" t="str">
        <f>D4</f>
        <v>收益法 (元)</v>
      </c>
      <c r="E101" s="3595" t="s">
        <v>1011</v>
      </c>
      <c r="F101" s="3596"/>
      <c r="G101" s="2608" t="s">
        <v>1012</v>
      </c>
      <c r="H101" s="2609">
        <f ca="1">H118</f>
        <v>287</v>
      </c>
      <c r="I101" s="1025"/>
    </row>
    <row r="102" spans="1:35" ht="18.75" customHeight="1">
      <c r="A102" s="3561" t="s">
        <v>1013</v>
      </c>
      <c r="B102" s="2610" t="s">
        <v>1012</v>
      </c>
      <c r="C102" s="2605">
        <f ca="1">IF(D32="楼面单价",ROUND(C19,0),C19)</f>
        <v>342</v>
      </c>
      <c r="D102" s="2606">
        <f ca="1">IF(D32="楼面单价",ROUND(D19,0),D19)</f>
        <v>160</v>
      </c>
      <c r="E102" s="3595"/>
      <c r="F102" s="3596"/>
      <c r="G102" s="2608" t="s">
        <v>99</v>
      </c>
      <c r="H102" s="2497">
        <f ca="1">I118</f>
        <v>29059</v>
      </c>
      <c r="I102" s="1025"/>
    </row>
    <row r="103" spans="1:35" ht="42.75" customHeight="1">
      <c r="A103" s="3561"/>
      <c r="B103" s="2610" t="s">
        <v>99</v>
      </c>
      <c r="C103" s="2611">
        <f ca="1">C20</f>
        <v>34579</v>
      </c>
      <c r="D103" s="2612">
        <f ca="1">D20</f>
        <v>16179</v>
      </c>
      <c r="E103" s="3579" t="s">
        <v>1014</v>
      </c>
      <c r="F103" s="3580"/>
      <c r="G103" s="2613" t="s">
        <v>102</v>
      </c>
      <c r="H103" s="2609">
        <f>IF(D36="正常操作",H104+H105+H106,H105+H106)</f>
        <v>0</v>
      </c>
      <c r="I103" s="1025"/>
    </row>
    <row r="104" spans="1:35" ht="18.75" customHeight="1">
      <c r="A104" s="3561" t="s">
        <v>1015</v>
      </c>
      <c r="B104" s="2614" t="s">
        <v>1012</v>
      </c>
      <c r="C104" s="2615">
        <f ca="1">H118</f>
        <v>287</v>
      </c>
      <c r="D104" s="2616"/>
      <c r="E104" s="2453" t="s">
        <v>1016</v>
      </c>
      <c r="F104" s="2617"/>
      <c r="G104" s="2613" t="s">
        <v>102</v>
      </c>
      <c r="H104" s="2618">
        <f>IF(D36="同一抵押权人同一抵押物续贷",C36&amp;"（续贷，未扣减，详见特别提示）",C36)</f>
        <v>0</v>
      </c>
      <c r="I104" s="1025"/>
    </row>
    <row r="105" spans="1:35" ht="18.75" customHeight="1">
      <c r="A105" s="3562"/>
      <c r="B105" s="2619" t="s">
        <v>99</v>
      </c>
      <c r="C105" s="2620">
        <f ca="1">I118</f>
        <v>29059</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c r="E107" s="3597" t="str">
        <f>IF(项目基本情况!E8="已注销","——","3.房地产抵押价值")</f>
        <v>3.房地产抵押价值</v>
      </c>
      <c r="F107" s="3596"/>
      <c r="G107" s="2608" t="s">
        <v>1012</v>
      </c>
      <c r="H107" s="2609">
        <f ca="1">IF(E107="——","——",H101-H103)</f>
        <v>287</v>
      </c>
      <c r="I107" s="1025"/>
    </row>
    <row r="108" spans="1:35" ht="18.75" customHeight="1">
      <c r="A108" s="1025"/>
      <c r="B108" s="1025"/>
      <c r="C108" s="1025"/>
      <c r="D108" s="1025"/>
      <c r="E108" s="3597"/>
      <c r="F108" s="3596"/>
      <c r="G108" s="2608" t="s">
        <v>99</v>
      </c>
      <c r="H108" s="2497">
        <f ca="1">IF(H107=H101,H102,ROUND(H107*10000/'数据-汇总表'!E3,0))</f>
        <v>29059</v>
      </c>
      <c r="I108" s="1025"/>
    </row>
    <row r="109" spans="1:35" ht="18.75" customHeight="1">
      <c r="A109" s="1025"/>
      <c r="B109" s="1025"/>
      <c r="C109" s="1025"/>
      <c r="D109" s="1025"/>
      <c r="E109" s="3597" t="str">
        <f>IF(项目基本情况!E8="已注销及未注销","4.抵押担保权已注销时的房地产抵押价值",IF(项目基本情况!E8="已注销","3.抵押担保权已注销时的房地产抵押价值","——"))</f>
        <v>——</v>
      </c>
      <c r="F109" s="3596"/>
      <c r="G109" s="2608" t="s">
        <v>1012</v>
      </c>
      <c r="H109" s="2624" t="str">
        <f>IF(E109="——","——",H101-H105-H106)</f>
        <v>——</v>
      </c>
      <c r="I109" s="1025"/>
    </row>
    <row r="110" spans="1:35" ht="18.75" customHeight="1">
      <c r="A110" s="1025"/>
      <c r="B110" s="1025"/>
      <c r="C110" s="1025"/>
      <c r="D110" s="1025"/>
      <c r="E110" s="3597"/>
      <c r="F110" s="3596"/>
      <c r="G110" s="2608" t="s">
        <v>99</v>
      </c>
      <c r="H110" s="2497" t="str">
        <f>IF(H109="——","——",ROUND(H109*10000/'数据-汇总表'!E3,0))</f>
        <v>——</v>
      </c>
      <c r="I110" s="1025"/>
    </row>
    <row r="111" spans="1:35" ht="18.75" customHeight="1">
      <c r="A111" s="1025"/>
      <c r="B111" s="1025"/>
      <c r="C111" s="1025"/>
      <c r="D111" s="1025"/>
      <c r="E111" s="3598" t="str">
        <f>IF(项目基本情况!E9="抵押净值",IF(OR(项目基本情况!E8="已注销",项目基本情况!E8="房地产抵押价值"),"4.抵押净值","5.抵押净值"),"——")</f>
        <v>——</v>
      </c>
      <c r="F111" s="3599"/>
      <c r="G111" s="2608" t="s">
        <v>1012</v>
      </c>
      <c r="H111" s="2609" t="str">
        <f>IF(E111="——","——",N59)</f>
        <v>——</v>
      </c>
      <c r="I111" s="1025"/>
    </row>
    <row r="112" spans="1:35" ht="18.75" customHeight="1">
      <c r="A112" s="1025"/>
      <c r="B112" s="1025"/>
      <c r="C112" s="1025"/>
      <c r="D112" s="1025"/>
      <c r="E112" s="3600"/>
      <c r="F112" s="3601"/>
      <c r="G112" s="2625" t="s">
        <v>99</v>
      </c>
      <c r="H112" s="2626" t="str">
        <f>IF(E111="——","——",N61)</f>
        <v>——</v>
      </c>
      <c r="I112" s="1025"/>
    </row>
    <row r="113" spans="1:27" ht="18.75" customHeight="1">
      <c r="A113" s="1025"/>
      <c r="B113" s="1025"/>
      <c r="C113" s="1025"/>
      <c r="D113" s="1025"/>
      <c r="E113" s="3581" t="s">
        <v>1018</v>
      </c>
      <c r="F113" s="3581"/>
      <c r="G113" s="3581"/>
      <c r="H113" s="3581"/>
      <c r="I113" s="1025"/>
    </row>
    <row r="114" spans="1:27" ht="3.75" customHeight="1">
      <c r="A114" s="2382"/>
      <c r="B114" s="2382"/>
      <c r="C114" s="2382"/>
      <c r="D114" s="2382"/>
      <c r="E114" s="2507"/>
      <c r="F114" s="2507"/>
      <c r="G114" s="2507"/>
      <c r="H114" s="2507"/>
      <c r="I114" s="2382"/>
    </row>
    <row r="115" spans="1:27" ht="18.75" customHeight="1">
      <c r="A115" s="3582" t="s">
        <v>1020</v>
      </c>
      <c r="B115" s="3583"/>
      <c r="C115" s="3583"/>
      <c r="D115" s="3583"/>
      <c r="E115" s="3583"/>
      <c r="F115" s="3583"/>
      <c r="G115" s="3583"/>
      <c r="H115" s="3583"/>
      <c r="I115" s="3584"/>
    </row>
    <row r="116" spans="1:27" ht="27" customHeight="1">
      <c r="A116" s="3555" t="s">
        <v>1021</v>
      </c>
      <c r="B116" s="3564" t="s">
        <v>1022</v>
      </c>
      <c r="C116" s="3564" t="s">
        <v>1023</v>
      </c>
      <c r="D116" s="3585" t="s">
        <v>1024</v>
      </c>
      <c r="E116" s="3586"/>
      <c r="F116" s="3587" t="s">
        <v>1025</v>
      </c>
      <c r="G116" s="3587"/>
      <c r="H116" s="3555" t="s">
        <v>1026</v>
      </c>
      <c r="I116" s="3555"/>
    </row>
    <row r="117" spans="1:27" ht="18.75" customHeight="1">
      <c r="A117" s="3555"/>
      <c r="B117" s="3565"/>
      <c r="C117" s="3565"/>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98.8</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287</v>
      </c>
      <c r="I118" s="2392">
        <f ca="1">ROUND(IF(D32="楼面单价",C32,H118*10000/B118),0)</f>
        <v>29059</v>
      </c>
    </row>
    <row r="119" spans="1:27" ht="18.75" customHeight="1">
      <c r="A119" s="3555" t="s">
        <v>1028</v>
      </c>
      <c r="B119" s="3555"/>
      <c r="C119" s="3555"/>
      <c r="D119" s="3567" t="str">
        <f>NUMBERSTRING(INT(D118*10000),2)&amp;"元整"</f>
        <v>零元整</v>
      </c>
      <c r="E119" s="3569"/>
      <c r="F119" s="3567" t="str">
        <f>NUMBERSTRING(INT(F118*10000),2)&amp;"元整"</f>
        <v>零元整</v>
      </c>
      <c r="G119" s="3569"/>
      <c r="H119" s="3567" t="str">
        <f ca="1">NUMBERSTRING(INT(H118*10000),2)&amp;"元整"</f>
        <v>贰佰捌拾柒万元整</v>
      </c>
      <c r="I119" s="3569"/>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567" t="s">
        <v>1028</v>
      </c>
      <c r="B121" s="3568"/>
      <c r="C121" s="3569"/>
      <c r="D121" s="3567" t="str">
        <f>IF(D120=0,"零元整",NUMBERSTRING(INT(D120*10000),2)&amp;"元整")</f>
        <v>零元整</v>
      </c>
      <c r="E121" s="3568"/>
      <c r="F121" s="3568"/>
      <c r="G121" s="3568"/>
      <c r="H121" s="3568"/>
      <c r="I121" s="3569"/>
      <c r="AA121" s="983"/>
    </row>
    <row r="122" spans="1:27" ht="18.75" customHeight="1">
      <c r="A122" s="3599" t="str">
        <f>IF(项目基本情况!B9="房地产市场价值","",MID(E107,3,LEN(E107)-2))</f>
        <v>房地产抵押价值</v>
      </c>
      <c r="B122" s="3599"/>
      <c r="C122" s="3599"/>
      <c r="D122" s="3604">
        <f ca="1">H107</f>
        <v>287</v>
      </c>
      <c r="E122" s="3605"/>
      <c r="F122" s="3605"/>
      <c r="G122" s="3605"/>
      <c r="H122" s="3605"/>
      <c r="I122" s="3606"/>
      <c r="AA122" s="983"/>
    </row>
    <row r="123" spans="1:27" ht="18.75" customHeight="1">
      <c r="A123" s="3555" t="s">
        <v>1028</v>
      </c>
      <c r="B123" s="3555"/>
      <c r="C123" s="3555"/>
      <c r="D123" s="3567" t="str">
        <f ca="1">NUMBERSTRING(INT(D122*10000),2)&amp;"元整"</f>
        <v>贰佰捌拾柒万元整</v>
      </c>
      <c r="E123" s="3568"/>
      <c r="F123" s="3568"/>
      <c r="G123" s="3568"/>
      <c r="H123" s="3568"/>
      <c r="I123" s="3569"/>
      <c r="AA123" s="983"/>
    </row>
    <row r="124" spans="1:27" ht="18.75" customHeight="1">
      <c r="A124" s="3599" t="str">
        <f>IF(项目基本情况!B9="房地产市场价值","",MID(E109,3,LEN(E109)-2))</f>
        <v/>
      </c>
      <c r="B124" s="3599"/>
      <c r="C124" s="3599"/>
      <c r="D124" s="3604" t="str">
        <f>H109</f>
        <v>——</v>
      </c>
      <c r="E124" s="3605"/>
      <c r="F124" s="3605"/>
      <c r="G124" s="3605"/>
      <c r="H124" s="3605"/>
      <c r="I124" s="3606"/>
      <c r="AA124" s="983"/>
    </row>
    <row r="125" spans="1:27" ht="18.75" customHeight="1">
      <c r="A125" s="3555" t="s">
        <v>1028</v>
      </c>
      <c r="B125" s="3555"/>
      <c r="C125" s="3555"/>
      <c r="D125" s="3567" t="e">
        <f>NUMBERSTRING(INT(D124*10000),2)&amp;"元整"</f>
        <v>#VALUE!</v>
      </c>
      <c r="E125" s="3568"/>
      <c r="F125" s="3568"/>
      <c r="G125" s="3568"/>
      <c r="H125" s="3568"/>
      <c r="I125" s="3569"/>
      <c r="AA125" s="983"/>
    </row>
    <row r="126" spans="1:27" ht="18.75" customHeight="1">
      <c r="A126" s="3599" t="str">
        <f>IF(项目基本情况!B9="房地产市场价值","",MID(E111,3,LEN(E111)-2))</f>
        <v/>
      </c>
      <c r="B126" s="3599"/>
      <c r="C126" s="3599"/>
      <c r="D126" s="3604" t="str">
        <f>H111</f>
        <v>——</v>
      </c>
      <c r="E126" s="3605"/>
      <c r="F126" s="3605"/>
      <c r="G126" s="3605"/>
      <c r="H126" s="3605"/>
      <c r="I126" s="3606"/>
      <c r="AA126" s="983"/>
    </row>
    <row r="127" spans="1:27" ht="18.75" customHeight="1">
      <c r="A127" s="3555" t="s">
        <v>1028</v>
      </c>
      <c r="B127" s="3555"/>
      <c r="C127" s="3555"/>
      <c r="D127" s="3567" t="e">
        <f>NUMBERSTRING(INT(D126*10000),2)&amp;"元整"</f>
        <v>#VALUE!</v>
      </c>
      <c r="E127" s="3568"/>
      <c r="F127" s="3568"/>
      <c r="G127" s="3568"/>
      <c r="H127" s="3568"/>
      <c r="I127" s="3569"/>
      <c r="AA127" s="983"/>
    </row>
    <row r="128" spans="1:27" ht="21.75" customHeight="1">
      <c r="A128" s="3554" t="s">
        <v>113</v>
      </c>
      <c r="B128" s="3554"/>
      <c r="C128" s="3554"/>
      <c r="D128" s="3554"/>
      <c r="E128" s="3554"/>
      <c r="F128" s="3554"/>
      <c r="G128" s="3554"/>
      <c r="H128" s="3554"/>
      <c r="I128" s="3554"/>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26737</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2706174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19760</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19760</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98.8</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98.8</v>
      </c>
      <c r="E19" s="396">
        <f>'数据-取费表'!B31</f>
        <v>200</v>
      </c>
      <c r="F19" s="421"/>
      <c r="G19" s="958"/>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1203</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18</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3053</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26681</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49</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44</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98.8</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1</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1</v>
      </c>
      <c r="D42" s="432"/>
      <c r="E42" s="432"/>
      <c r="F42" s="433"/>
      <c r="G42" s="3648" t="s">
        <v>1116</v>
      </c>
    </row>
    <row r="43" spans="1:7" ht="13.5" customHeight="1">
      <c r="A43" s="430" t="s">
        <v>1048</v>
      </c>
      <c r="B43" s="400" t="s">
        <v>1086</v>
      </c>
      <c r="C43" s="432">
        <f ca="1">ROUND(IF('数据-取费表'!B22&lt;=1,C39*F22*'数据-取费表'!B21/2,C39*(POWER((1+F22),'数据-取费表'!B21/2)-1)),0)</f>
        <v>0</v>
      </c>
      <c r="D43" s="432"/>
      <c r="E43" s="432"/>
      <c r="F43" s="433"/>
      <c r="G43" s="3649"/>
    </row>
    <row r="44" spans="1:7" ht="13.5" customHeight="1">
      <c r="A44" s="430" t="s">
        <v>1050</v>
      </c>
      <c r="B44" s="400" t="s">
        <v>1088</v>
      </c>
      <c r="C44" s="432">
        <f ca="1">ROUND(IF('数据-取费表'!B22&lt;=1,C40*F22*'数据-取费表'!B21/2,C40*(POWER((1+F22),'数据-取费表'!B21/2)-1)),4)</f>
        <v>5.9999999999999995E-4</v>
      </c>
      <c r="D44" s="432"/>
      <c r="E44" s="432"/>
      <c r="F44" s="433"/>
      <c r="G44" s="3650"/>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64</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56</v>
      </c>
      <c r="D51" s="422"/>
      <c r="E51" s="422"/>
      <c r="F51" s="457"/>
      <c r="G51" s="427" t="s">
        <v>1128</v>
      </c>
    </row>
    <row r="52" spans="1:7" s="375" customFormat="1" ht="15.75">
      <c r="A52" s="458" t="s">
        <v>1129</v>
      </c>
      <c r="B52" s="459"/>
      <c r="C52" s="460">
        <f ca="1">C31+C51</f>
        <v>26737</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5" t="str">
        <f>项目基本情况!B1</f>
        <v>北京市房地产抵押价值预评估</v>
      </c>
      <c r="C37" s="3465"/>
      <c r="D37" s="3465"/>
      <c r="E37" s="3465"/>
      <c r="F37" s="3465"/>
      <c r="G37" s="3465"/>
      <c r="H37" s="3465"/>
      <c r="I37" s="3465"/>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workbookViewId="0">
      <selection activeCell="C28" sqref="C28"/>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341.64049999999997</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34579</v>
      </c>
      <c r="C3" s="1494" t="s">
        <v>1139</v>
      </c>
      <c r="D3" s="1495">
        <f>IF(D1="",'数据-汇总表'!E3,SUMIF('数据-汇总表'!$C19:$C33,D1,'数据-汇总表'!$E19:$E33))</f>
        <v>98.8</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89" t="s">
        <v>1141</v>
      </c>
      <c r="D4" s="3690"/>
      <c r="E4" s="3691" t="s">
        <v>1142</v>
      </c>
      <c r="F4" s="3692"/>
      <c r="G4" s="3689" t="s">
        <v>1143</v>
      </c>
      <c r="H4" s="3690"/>
      <c r="I4" s="3689" t="s">
        <v>1144</v>
      </c>
      <c r="J4" s="3690"/>
      <c r="K4" s="1268"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4" t="s">
        <v>1143</v>
      </c>
      <c r="AC4" s="3651" t="s">
        <v>1144</v>
      </c>
    </row>
    <row r="5" spans="1:29" ht="15">
      <c r="A5" s="1123"/>
      <c r="B5" s="1124"/>
      <c r="C5" s="3693" t="s">
        <v>2793</v>
      </c>
      <c r="D5" s="3694"/>
      <c r="E5" s="3695" t="str">
        <f>C5</f>
        <v>西宸广场</v>
      </c>
      <c r="F5" s="3696"/>
      <c r="G5" s="3693" t="str">
        <f>C5</f>
        <v>西宸广场</v>
      </c>
      <c r="H5" s="3694"/>
      <c r="I5" s="3693" t="str">
        <f>C5</f>
        <v>西宸广场</v>
      </c>
      <c r="J5" s="3694"/>
      <c r="K5" s="1268"/>
      <c r="L5" s="1269"/>
      <c r="M5" s="1270"/>
      <c r="N5" s="1270"/>
      <c r="O5" s="1270"/>
      <c r="P5" s="3657"/>
      <c r="Q5" s="3658"/>
      <c r="R5" s="3663"/>
      <c r="S5" s="3664"/>
      <c r="T5" s="3663"/>
      <c r="U5" s="3664"/>
      <c r="V5" s="3654"/>
      <c r="W5" s="3654"/>
      <c r="X5" s="1312"/>
      <c r="Y5" s="3663"/>
      <c r="Z5" s="3664"/>
      <c r="AA5" s="3652"/>
      <c r="AB5" s="3654"/>
      <c r="AC5" s="3652"/>
    </row>
    <row r="6" spans="1:29" ht="15">
      <c r="A6" s="1125"/>
      <c r="B6" s="1126"/>
      <c r="C6" s="3684" t="s">
        <v>1148</v>
      </c>
      <c r="D6" s="3685"/>
      <c r="E6" s="3686" t="s">
        <v>1148</v>
      </c>
      <c r="F6" s="3687"/>
      <c r="G6" s="3684" t="s">
        <v>1148</v>
      </c>
      <c r="H6" s="3685"/>
      <c r="I6" s="3684" t="s">
        <v>1148</v>
      </c>
      <c r="J6" s="3685"/>
      <c r="K6" s="1268" t="s">
        <v>1149</v>
      </c>
      <c r="L6" s="1269"/>
      <c r="M6" s="1270"/>
      <c r="N6" s="1270"/>
      <c r="O6" s="1270"/>
      <c r="P6" s="3659"/>
      <c r="Q6" s="3660"/>
      <c r="R6" s="3663"/>
      <c r="S6" s="3664"/>
      <c r="T6" s="3665"/>
      <c r="U6" s="3666"/>
      <c r="V6" s="3654"/>
      <c r="W6" s="3654"/>
      <c r="X6" s="1312"/>
      <c r="Y6" s="3665"/>
      <c r="Z6" s="3666"/>
      <c r="AA6" s="3653"/>
      <c r="AB6" s="3654"/>
      <c r="AC6" s="3653"/>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72" t="s">
        <v>1151</v>
      </c>
      <c r="Q7" s="3688"/>
      <c r="R7" s="1313" t="s">
        <v>1152</v>
      </c>
      <c r="S7" s="1314">
        <f t="shared" ref="S7:S15" si="0">F7</f>
        <v>100</v>
      </c>
      <c r="T7" s="1313" t="s">
        <v>1152</v>
      </c>
      <c r="U7" s="1314">
        <f t="shared" ref="U7:U15" si="1">H7</f>
        <v>100</v>
      </c>
      <c r="V7" s="1313" t="s">
        <v>1152</v>
      </c>
      <c r="W7" s="1314">
        <f t="shared" ref="W7:W15" si="2">J7</f>
        <v>100</v>
      </c>
      <c r="X7" s="1315"/>
      <c r="Y7" s="3672" t="s">
        <v>1151</v>
      </c>
      <c r="Z7" s="3673"/>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72" t="s">
        <v>1156</v>
      </c>
      <c r="Q8" s="3673"/>
      <c r="R8" s="1313" t="s">
        <v>1152</v>
      </c>
      <c r="S8" s="1314">
        <f t="shared" si="0"/>
        <v>103</v>
      </c>
      <c r="T8" s="1313" t="s">
        <v>1152</v>
      </c>
      <c r="U8" s="1314">
        <f t="shared" si="1"/>
        <v>103</v>
      </c>
      <c r="V8" s="1313" t="s">
        <v>1152</v>
      </c>
      <c r="W8" s="1314">
        <f t="shared" si="2"/>
        <v>103</v>
      </c>
      <c r="X8" s="1315"/>
      <c r="Y8" s="3672" t="s">
        <v>1156</v>
      </c>
      <c r="Z8" s="3673"/>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74"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74"/>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74"/>
      <c r="Q11" s="1317" t="str">
        <f t="shared" si="6"/>
        <v>容积率</v>
      </c>
      <c r="R11" s="1313" t="s">
        <v>1152</v>
      </c>
      <c r="S11" s="1314">
        <f t="shared" si="0"/>
        <v>100</v>
      </c>
      <c r="T11" s="1313" t="s">
        <v>1152</v>
      </c>
      <c r="U11" s="1314">
        <f t="shared" si="1"/>
        <v>100</v>
      </c>
      <c r="V11" s="1313" t="s">
        <v>1152</v>
      </c>
      <c r="W11" s="1314">
        <f t="shared" si="2"/>
        <v>100</v>
      </c>
      <c r="X11" s="1315"/>
      <c r="Y11" s="356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74"/>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74"/>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74"/>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5" t="s">
        <v>1165</v>
      </c>
      <c r="Q15" s="682" t="str">
        <f t="shared" si="6"/>
        <v>商业繁华度</v>
      </c>
      <c r="R15" s="1318" t="s">
        <v>1152</v>
      </c>
      <c r="S15" s="1319">
        <f t="shared" si="0"/>
        <v>100</v>
      </c>
      <c r="T15" s="1318" t="s">
        <v>1152</v>
      </c>
      <c r="U15" s="1319">
        <f t="shared" si="1"/>
        <v>100</v>
      </c>
      <c r="V15" s="1318" t="s">
        <v>1152</v>
      </c>
      <c r="W15" s="1319">
        <f t="shared" si="2"/>
        <v>100</v>
      </c>
      <c r="X15" s="1312"/>
      <c r="Y15" s="3680"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6"/>
      <c r="Q16" s="682"/>
      <c r="R16" s="1318"/>
      <c r="S16" s="1319"/>
      <c r="T16" s="1318"/>
      <c r="U16" s="1319"/>
      <c r="V16" s="1318"/>
      <c r="W16" s="1319"/>
      <c r="X16" s="1312"/>
      <c r="Y16" s="3681"/>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6"/>
      <c r="Q17" s="682" t="str">
        <f>B17</f>
        <v>交通便捷度</v>
      </c>
      <c r="R17" s="1318" t="s">
        <v>1152</v>
      </c>
      <c r="S17" s="1319">
        <f>F17</f>
        <v>100</v>
      </c>
      <c r="T17" s="1318" t="s">
        <v>1152</v>
      </c>
      <c r="U17" s="1319">
        <f>H17</f>
        <v>100</v>
      </c>
      <c r="V17" s="1318" t="s">
        <v>1152</v>
      </c>
      <c r="W17" s="1319">
        <f>J17</f>
        <v>100</v>
      </c>
      <c r="X17" s="1312"/>
      <c r="Y17" s="3681"/>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6"/>
      <c r="Q18" s="682"/>
      <c r="R18" s="1318"/>
      <c r="S18" s="1319"/>
      <c r="T18" s="1318"/>
      <c r="U18" s="1319"/>
      <c r="V18" s="1318"/>
      <c r="W18" s="1319"/>
      <c r="X18" s="1312"/>
      <c r="Y18" s="3681"/>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6"/>
      <c r="Q19" s="682" t="str">
        <f>B19</f>
        <v>公共配套设施</v>
      </c>
      <c r="R19" s="1318" t="s">
        <v>1152</v>
      </c>
      <c r="S19" s="1319">
        <f>F19</f>
        <v>100</v>
      </c>
      <c r="T19" s="1318" t="s">
        <v>1152</v>
      </c>
      <c r="U19" s="1319">
        <f>H19</f>
        <v>100</v>
      </c>
      <c r="V19" s="1318" t="s">
        <v>1152</v>
      </c>
      <c r="W19" s="1319">
        <f>J19</f>
        <v>100</v>
      </c>
      <c r="X19" s="1312"/>
      <c r="Y19" s="3681"/>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6"/>
      <c r="Q20" s="682"/>
      <c r="R20" s="1318"/>
      <c r="S20" s="1319"/>
      <c r="T20" s="1318"/>
      <c r="U20" s="1319"/>
      <c r="V20" s="1318"/>
      <c r="W20" s="1319"/>
      <c r="X20" s="1312"/>
      <c r="Y20" s="3681"/>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6"/>
      <c r="Q21" s="682" t="str">
        <f>B21</f>
        <v>基础设施水平</v>
      </c>
      <c r="R21" s="1318" t="s">
        <v>1152</v>
      </c>
      <c r="S21" s="1319">
        <f>F21</f>
        <v>100</v>
      </c>
      <c r="T21" s="1318" t="s">
        <v>1152</v>
      </c>
      <c r="U21" s="1319">
        <f>H21</f>
        <v>100</v>
      </c>
      <c r="V21" s="1318" t="s">
        <v>1152</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6"/>
      <c r="Q22" s="682"/>
      <c r="R22" s="1318"/>
      <c r="S22" s="1319"/>
      <c r="T22" s="1318"/>
      <c r="U22" s="1319"/>
      <c r="V22" s="1318"/>
      <c r="W22" s="1319"/>
      <c r="X22" s="1312"/>
      <c r="Y22" s="3681"/>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6"/>
      <c r="Q23" s="682" t="str">
        <f>B23</f>
        <v>自然及人文环境</v>
      </c>
      <c r="R23" s="1318" t="s">
        <v>1152</v>
      </c>
      <c r="S23" s="1319">
        <f>F23</f>
        <v>100</v>
      </c>
      <c r="T23" s="1318" t="s">
        <v>1152</v>
      </c>
      <c r="U23" s="1319">
        <f>H23</f>
        <v>100</v>
      </c>
      <c r="V23" s="1318" t="s">
        <v>1152</v>
      </c>
      <c r="W23" s="1319">
        <f>J23</f>
        <v>100</v>
      </c>
      <c r="X23" s="1312"/>
      <c r="Y23" s="3681"/>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6"/>
      <c r="Q24" s="682"/>
      <c r="R24" s="1318"/>
      <c r="S24" s="1319"/>
      <c r="T24" s="1318"/>
      <c r="U24" s="1319"/>
      <c r="V24" s="1318"/>
      <c r="W24" s="1319"/>
      <c r="X24" s="1312"/>
      <c r="Y24" s="3681"/>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6"/>
      <c r="Q25" s="682" t="str">
        <f t="shared" ref="Q25:Q46" si="11">B25</f>
        <v>临街状况</v>
      </c>
      <c r="R25" s="1318" t="s">
        <v>1152</v>
      </c>
      <c r="S25" s="1319">
        <f>F25</f>
        <v>100</v>
      </c>
      <c r="T25" s="1318" t="s">
        <v>1152</v>
      </c>
      <c r="U25" s="1319">
        <f>H25</f>
        <v>100</v>
      </c>
      <c r="V25" s="1318" t="s">
        <v>1152</v>
      </c>
      <c r="W25" s="1319">
        <f>J25</f>
        <v>100</v>
      </c>
      <c r="X25" s="1312"/>
      <c r="Y25" s="3681"/>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6"/>
      <c r="Q26" s="682" t="str">
        <f t="shared" si="11"/>
        <v>平面位置/可视性</v>
      </c>
      <c r="R26" s="1318" t="s">
        <v>1152</v>
      </c>
      <c r="S26" s="1319">
        <f>F26</f>
        <v>100</v>
      </c>
      <c r="T26" s="1318" t="s">
        <v>1152</v>
      </c>
      <c r="U26" s="1319">
        <f>H26</f>
        <v>100</v>
      </c>
      <c r="V26" s="1318" t="s">
        <v>1152</v>
      </c>
      <c r="W26" s="1319">
        <f>J26</f>
        <v>100</v>
      </c>
      <c r="X26" s="1312"/>
      <c r="Y26" s="3681"/>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6"/>
      <c r="Q27" s="1317" t="str">
        <f t="shared" si="11"/>
        <v>人流量</v>
      </c>
      <c r="R27" s="1313" t="s">
        <v>1152</v>
      </c>
      <c r="S27" s="1314">
        <f>F27</f>
        <v>100</v>
      </c>
      <c r="T27" s="1313" t="s">
        <v>1152</v>
      </c>
      <c r="U27" s="1314">
        <f>H27</f>
        <v>100</v>
      </c>
      <c r="V27" s="1313" t="s">
        <v>1152</v>
      </c>
      <c r="W27" s="1314">
        <f>J27</f>
        <v>100</v>
      </c>
      <c r="X27" s="1315"/>
      <c r="Y27" s="3681"/>
      <c r="Z27" s="1328" t="str">
        <f>Q27</f>
        <v>人流量</v>
      </c>
      <c r="AA27" s="1329">
        <f t="shared" si="3"/>
        <v>1</v>
      </c>
      <c r="AB27" s="1329">
        <f t="shared" si="4"/>
        <v>1</v>
      </c>
      <c r="AC27" s="1329">
        <f t="shared" si="5"/>
        <v>1</v>
      </c>
    </row>
    <row r="28" spans="1:29" ht="15">
      <c r="A28" s="1143"/>
      <c r="B28" s="1140" t="s">
        <v>1179</v>
      </c>
      <c r="C28" s="3808" t="s">
        <v>2785</v>
      </c>
      <c r="D28" s="1152">
        <v>100</v>
      </c>
      <c r="E28" s="1177" t="s">
        <v>2783</v>
      </c>
      <c r="F28" s="1507">
        <f>SUMIF(92:92,E28,93:93)-SUMIF(92:92,C28,93:93)+100</f>
        <v>102</v>
      </c>
      <c r="G28" s="1177" t="s">
        <v>2783</v>
      </c>
      <c r="H28" s="1152">
        <f>SUMIF(92:92,G28,93:93)-SUMIF(92:92,C28,93:93)+100</f>
        <v>102</v>
      </c>
      <c r="I28" s="1177" t="s">
        <v>2785</v>
      </c>
      <c r="J28" s="1152">
        <f>SUMIF(92:92,I28,93:93)-SUMIF(92:92,C28,93:93)+100</f>
        <v>100</v>
      </c>
      <c r="K28" s="1287"/>
      <c r="L28" s="2355"/>
      <c r="M28" s="1270"/>
      <c r="N28" s="1270"/>
      <c r="O28" s="1270"/>
      <c r="P28" s="3676"/>
      <c r="Q28" s="682" t="str">
        <f t="shared" si="11"/>
        <v>楼层</v>
      </c>
      <c r="R28" s="1318" t="s">
        <v>1152</v>
      </c>
      <c r="S28" s="1319">
        <f t="shared" ref="S28:S46" si="12">F28</f>
        <v>102</v>
      </c>
      <c r="T28" s="1318" t="s">
        <v>1152</v>
      </c>
      <c r="U28" s="1319">
        <f t="shared" ref="U28:U46" si="13">H28</f>
        <v>102</v>
      </c>
      <c r="V28" s="1318" t="s">
        <v>1152</v>
      </c>
      <c r="W28" s="1319">
        <f t="shared" ref="W28:W46" si="14">J28</f>
        <v>100</v>
      </c>
      <c r="X28" s="1312"/>
      <c r="Y28" s="3681"/>
      <c r="Z28" s="1302" t="str">
        <f t="shared" ref="Z28:Z46" si="15">Q28</f>
        <v>楼层</v>
      </c>
      <c r="AA28" s="1329">
        <f t="shared" si="3"/>
        <v>0.98039215686274506</v>
      </c>
      <c r="AB28" s="1329">
        <f t="shared" si="4"/>
        <v>0.98039215686274506</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6"/>
      <c r="Q29" s="682">
        <f t="shared" si="11"/>
        <v>111</v>
      </c>
      <c r="R29" s="1318" t="s">
        <v>1152</v>
      </c>
      <c r="S29" s="1319">
        <f t="shared" si="12"/>
        <v>100</v>
      </c>
      <c r="T29" s="1318" t="s">
        <v>1152</v>
      </c>
      <c r="U29" s="1319">
        <f t="shared" si="13"/>
        <v>100</v>
      </c>
      <c r="V29" s="1318" t="s">
        <v>1152</v>
      </c>
      <c r="W29" s="1319">
        <f t="shared" si="14"/>
        <v>100</v>
      </c>
      <c r="X29" s="1312"/>
      <c r="Y29" s="3681"/>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6"/>
      <c r="Q30" s="682">
        <f t="shared" si="11"/>
        <v>111</v>
      </c>
      <c r="R30" s="1318" t="s">
        <v>1152</v>
      </c>
      <c r="S30" s="1319">
        <f t="shared" si="12"/>
        <v>100</v>
      </c>
      <c r="T30" s="1318" t="s">
        <v>1152</v>
      </c>
      <c r="U30" s="1319">
        <f t="shared" si="13"/>
        <v>100</v>
      </c>
      <c r="V30" s="1318" t="s">
        <v>1152</v>
      </c>
      <c r="W30" s="1319">
        <f t="shared" si="14"/>
        <v>100</v>
      </c>
      <c r="X30" s="1312"/>
      <c r="Y30" s="3681"/>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6"/>
      <c r="Q31" s="682">
        <f t="shared" si="11"/>
        <v>111</v>
      </c>
      <c r="R31" s="1318" t="s">
        <v>1152</v>
      </c>
      <c r="S31" s="1319">
        <f t="shared" si="12"/>
        <v>100</v>
      </c>
      <c r="T31" s="1318" t="s">
        <v>1152</v>
      </c>
      <c r="U31" s="1319">
        <f t="shared" si="13"/>
        <v>100</v>
      </c>
      <c r="V31" s="1318" t="s">
        <v>1152</v>
      </c>
      <c r="W31" s="1319">
        <f t="shared" si="14"/>
        <v>100</v>
      </c>
      <c r="X31" s="1312"/>
      <c r="Y31" s="3681"/>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7" t="s">
        <v>1182</v>
      </c>
      <c r="Q32" s="682" t="str">
        <f t="shared" si="11"/>
        <v>商业类型</v>
      </c>
      <c r="R32" s="1318" t="s">
        <v>1152</v>
      </c>
      <c r="S32" s="1319">
        <f t="shared" si="12"/>
        <v>100</v>
      </c>
      <c r="T32" s="1318" t="s">
        <v>1152</v>
      </c>
      <c r="U32" s="1319">
        <f t="shared" si="13"/>
        <v>100</v>
      </c>
      <c r="V32" s="1318" t="s">
        <v>1152</v>
      </c>
      <c r="W32" s="1319">
        <f t="shared" si="14"/>
        <v>100</v>
      </c>
      <c r="X32" s="1312"/>
      <c r="Y32" s="3682"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98.8</v>
      </c>
      <c r="D33" s="1142">
        <v>100</v>
      </c>
      <c r="E33" s="1501">
        <v>96.75</v>
      </c>
      <c r="F33" s="1500">
        <f>LOOKUP(E33,103:103,104:104)-LOOKUP(C33,103:103,104:104)+100</f>
        <v>100</v>
      </c>
      <c r="G33" s="1501">
        <v>106.9</v>
      </c>
      <c r="H33" s="1142">
        <f>LOOKUP(G33,103:103,104:104)-LOOKUP(C33,103:103,104:104)+100</f>
        <v>100</v>
      </c>
      <c r="I33" s="1501">
        <v>98.83</v>
      </c>
      <c r="J33" s="1142">
        <f>LOOKUP(I33,103:103,104:104)-LOOKUP(C33,103:103,104:104)+100</f>
        <v>100</v>
      </c>
      <c r="K33" s="1287"/>
      <c r="L33" s="1280"/>
      <c r="M33" s="1289"/>
      <c r="N33" s="1289"/>
      <c r="O33" s="1289"/>
      <c r="P33" s="3678"/>
      <c r="Q33" s="1546" t="str">
        <f t="shared" si="11"/>
        <v>项目建筑规模</v>
      </c>
      <c r="R33" s="1320" t="s">
        <v>1152</v>
      </c>
      <c r="S33" s="1321">
        <f t="shared" si="12"/>
        <v>100</v>
      </c>
      <c r="T33" s="1320" t="s">
        <v>1152</v>
      </c>
      <c r="U33" s="1321">
        <f t="shared" si="13"/>
        <v>100</v>
      </c>
      <c r="V33" s="1320" t="s">
        <v>1152</v>
      </c>
      <c r="W33" s="1321">
        <f t="shared" si="14"/>
        <v>100</v>
      </c>
      <c r="X33" s="1322"/>
      <c r="Y33" s="3682"/>
      <c r="Z33" s="1330" t="str">
        <f t="shared" si="15"/>
        <v>项目建筑规模</v>
      </c>
      <c r="AA33" s="1329">
        <f t="shared" si="3"/>
        <v>1</v>
      </c>
      <c r="AB33" s="1329">
        <f t="shared" si="4"/>
        <v>1</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8"/>
      <c r="Q34" s="682" t="str">
        <f t="shared" si="11"/>
        <v>建筑结构</v>
      </c>
      <c r="R34" s="1318" t="s">
        <v>1152</v>
      </c>
      <c r="S34" s="1319">
        <f t="shared" si="12"/>
        <v>100</v>
      </c>
      <c r="T34" s="1318" t="s">
        <v>1152</v>
      </c>
      <c r="U34" s="1319">
        <f t="shared" si="13"/>
        <v>100</v>
      </c>
      <c r="V34" s="1318" t="s">
        <v>1152</v>
      </c>
      <c r="W34" s="1319">
        <f t="shared" si="14"/>
        <v>100</v>
      </c>
      <c r="X34" s="1312"/>
      <c r="Y34" s="3682"/>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8"/>
      <c r="Q35" s="682" t="str">
        <f t="shared" si="11"/>
        <v>公共部分装修</v>
      </c>
      <c r="R35" s="1318" t="s">
        <v>1152</v>
      </c>
      <c r="S35" s="1319">
        <f t="shared" si="12"/>
        <v>100</v>
      </c>
      <c r="T35" s="1318" t="s">
        <v>1152</v>
      </c>
      <c r="U35" s="1319">
        <f t="shared" si="13"/>
        <v>100</v>
      </c>
      <c r="V35" s="1318" t="s">
        <v>1152</v>
      </c>
      <c r="W35" s="1319">
        <f t="shared" si="14"/>
        <v>100</v>
      </c>
      <c r="X35" s="1312"/>
      <c r="Y35" s="3682"/>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8"/>
      <c r="Q36" s="682" t="str">
        <f t="shared" si="11"/>
        <v>成新度</v>
      </c>
      <c r="R36" s="1318" t="s">
        <v>1152</v>
      </c>
      <c r="S36" s="1319">
        <f t="shared" si="12"/>
        <v>100</v>
      </c>
      <c r="T36" s="1318" t="s">
        <v>1152</v>
      </c>
      <c r="U36" s="1319">
        <f t="shared" si="13"/>
        <v>100</v>
      </c>
      <c r="V36" s="1318" t="s">
        <v>1152</v>
      </c>
      <c r="W36" s="1319">
        <f t="shared" si="14"/>
        <v>100</v>
      </c>
      <c r="X36" s="1312"/>
      <c r="Y36" s="3682"/>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8"/>
      <c r="Q37" s="1317" t="str">
        <f t="shared" si="11"/>
        <v>市政基础设施</v>
      </c>
      <c r="R37" s="1313" t="s">
        <v>1152</v>
      </c>
      <c r="S37" s="1314">
        <f t="shared" si="12"/>
        <v>100</v>
      </c>
      <c r="T37" s="1313" t="s">
        <v>1152</v>
      </c>
      <c r="U37" s="1314">
        <f t="shared" si="13"/>
        <v>100</v>
      </c>
      <c r="V37" s="1313" t="s">
        <v>1152</v>
      </c>
      <c r="W37" s="1314">
        <f t="shared" si="14"/>
        <v>100</v>
      </c>
      <c r="X37" s="1315"/>
      <c r="Y37" s="3682"/>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8" t="s">
        <v>1182</v>
      </c>
      <c r="Q38" s="682" t="str">
        <f t="shared" si="11"/>
        <v>业态</v>
      </c>
      <c r="R38" s="1318" t="s">
        <v>1152</v>
      </c>
      <c r="S38" s="1319">
        <f t="shared" si="12"/>
        <v>100</v>
      </c>
      <c r="T38" s="1318" t="s">
        <v>1152</v>
      </c>
      <c r="U38" s="1319">
        <f t="shared" si="13"/>
        <v>100</v>
      </c>
      <c r="V38" s="1318" t="s">
        <v>1152</v>
      </c>
      <c r="W38" s="1319">
        <f t="shared" si="14"/>
        <v>100</v>
      </c>
      <c r="X38" s="1312"/>
      <c r="Y38" s="3682" t="s">
        <v>1182</v>
      </c>
      <c r="Z38" s="1302" t="str">
        <f t="shared" si="15"/>
        <v>业态</v>
      </c>
      <c r="AA38" s="1329">
        <f t="shared" si="3"/>
        <v>1</v>
      </c>
      <c r="AB38" s="1329">
        <f t="shared" si="4"/>
        <v>1</v>
      </c>
      <c r="AC38" s="1329">
        <f t="shared" si="5"/>
        <v>1</v>
      </c>
    </row>
    <row r="39" spans="1:29" ht="15">
      <c r="A39" s="1194"/>
      <c r="B39" s="1140" t="s">
        <v>1190</v>
      </c>
      <c r="C39" s="1195" t="s">
        <v>2788</v>
      </c>
      <c r="D39" s="1152">
        <v>100</v>
      </c>
      <c r="E39" s="1195" t="s">
        <v>2788</v>
      </c>
      <c r="F39" s="1507">
        <f>SUMIF(116:116,E39,117:117)-SUMIF(116:116,C39,117:117)+100</f>
        <v>100</v>
      </c>
      <c r="G39" s="1195" t="s">
        <v>2788</v>
      </c>
      <c r="H39" s="1152">
        <f>SUMIF(116:116,G39,117:117)-SUMIF(116:116,C39,117:117)+100</f>
        <v>100</v>
      </c>
      <c r="I39" s="1195" t="s">
        <v>2788</v>
      </c>
      <c r="J39" s="1152">
        <f>SUMIF(116:116,I39,117:117)-SUMIF(116:116,C39,117:117)+100</f>
        <v>100</v>
      </c>
      <c r="K39" s="1288"/>
      <c r="L39" s="1282"/>
      <c r="M39" s="1270"/>
      <c r="N39" s="1270"/>
      <c r="O39" s="1270"/>
      <c r="P39" s="3678"/>
      <c r="Q39" s="682" t="str">
        <f t="shared" si="11"/>
        <v>层高</v>
      </c>
      <c r="R39" s="1318" t="s">
        <v>1152</v>
      </c>
      <c r="S39" s="1319">
        <f t="shared" si="12"/>
        <v>100</v>
      </c>
      <c r="T39" s="1318" t="s">
        <v>1152</v>
      </c>
      <c r="U39" s="1319">
        <f t="shared" si="13"/>
        <v>100</v>
      </c>
      <c r="V39" s="1318" t="s">
        <v>1152</v>
      </c>
      <c r="W39" s="1319">
        <f t="shared" si="14"/>
        <v>100</v>
      </c>
      <c r="X39" s="1312"/>
      <c r="Y39" s="3682"/>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8"/>
      <c r="Q40" s="682" t="str">
        <f t="shared" si="11"/>
        <v>单套建筑面积</v>
      </c>
      <c r="R40" s="1318" t="s">
        <v>1152</v>
      </c>
      <c r="S40" s="1319">
        <f t="shared" si="12"/>
        <v>100</v>
      </c>
      <c r="T40" s="1318" t="s">
        <v>1152</v>
      </c>
      <c r="U40" s="1319">
        <f t="shared" si="13"/>
        <v>100</v>
      </c>
      <c r="V40" s="1318" t="s">
        <v>1152</v>
      </c>
      <c r="W40" s="1319">
        <f t="shared" si="14"/>
        <v>100</v>
      </c>
      <c r="X40" s="1312"/>
      <c r="Y40" s="3682"/>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8"/>
      <c r="Q41" s="1546" t="str">
        <f t="shared" si="11"/>
        <v>进深比</v>
      </c>
      <c r="R41" s="1320" t="s">
        <v>1152</v>
      </c>
      <c r="S41" s="1321">
        <f t="shared" si="12"/>
        <v>100</v>
      </c>
      <c r="T41" s="1320" t="s">
        <v>1152</v>
      </c>
      <c r="U41" s="1321">
        <f t="shared" si="13"/>
        <v>100</v>
      </c>
      <c r="V41" s="1320" t="s">
        <v>1152</v>
      </c>
      <c r="W41" s="1321">
        <f t="shared" si="14"/>
        <v>100</v>
      </c>
      <c r="X41" s="1322"/>
      <c r="Y41" s="3682"/>
      <c r="Z41" s="1330" t="str">
        <f t="shared" si="15"/>
        <v>进深比</v>
      </c>
      <c r="AA41" s="1329">
        <f t="shared" si="3"/>
        <v>1</v>
      </c>
      <c r="AB41" s="1329">
        <f t="shared" si="4"/>
        <v>1</v>
      </c>
      <c r="AC41" s="1329">
        <f t="shared" si="5"/>
        <v>1</v>
      </c>
    </row>
    <row r="42" spans="1:29" ht="15">
      <c r="A42" s="1194"/>
      <c r="B42" s="1140" t="s">
        <v>1193</v>
      </c>
      <c r="C42" s="1195" t="s">
        <v>2791</v>
      </c>
      <c r="D42" s="1152">
        <v>100</v>
      </c>
      <c r="E42" s="1195" t="s">
        <v>1187</v>
      </c>
      <c r="F42" s="1507">
        <f>SUMIF(122:122,E42,123:123)-SUMIF(122:122,C42,123:123)+100</f>
        <v>102</v>
      </c>
      <c r="G42" s="1195" t="s">
        <v>1187</v>
      </c>
      <c r="H42" s="1152">
        <f>SUMIF(122:122,G42,123:123)-SUMIF(122:122,C42,123:123)+100</f>
        <v>102</v>
      </c>
      <c r="I42" s="1195" t="s">
        <v>1187</v>
      </c>
      <c r="J42" s="1152">
        <f>SUMIF(122:122,I42,123:123)-SUMIF(122:122,C42,123:123)+100</f>
        <v>102</v>
      </c>
      <c r="K42" s="1288">
        <v>2</v>
      </c>
      <c r="L42" s="1282"/>
      <c r="M42" s="1270"/>
      <c r="N42" s="1270"/>
      <c r="O42" s="1270"/>
      <c r="P42" s="3678"/>
      <c r="Q42" s="682" t="str">
        <f t="shared" si="11"/>
        <v>内部装修</v>
      </c>
      <c r="R42" s="1318" t="s">
        <v>1152</v>
      </c>
      <c r="S42" s="1319">
        <f t="shared" si="12"/>
        <v>102</v>
      </c>
      <c r="T42" s="1318" t="s">
        <v>1152</v>
      </c>
      <c r="U42" s="1319">
        <f t="shared" si="13"/>
        <v>102</v>
      </c>
      <c r="V42" s="1318" t="s">
        <v>1152</v>
      </c>
      <c r="W42" s="1319">
        <f t="shared" si="14"/>
        <v>102</v>
      </c>
      <c r="X42" s="1312"/>
      <c r="Y42" s="3682"/>
      <c r="Z42" s="1302" t="str">
        <f t="shared" si="15"/>
        <v>内部装修</v>
      </c>
      <c r="AA42" s="1329">
        <f t="shared" si="3"/>
        <v>0.98039215686274506</v>
      </c>
      <c r="AB42" s="1329">
        <f t="shared" si="4"/>
        <v>0.98039215686274506</v>
      </c>
      <c r="AC42" s="1329">
        <f t="shared" si="5"/>
        <v>0.98039215686274506</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8"/>
      <c r="Q43" s="682" t="str">
        <f t="shared" si="11"/>
        <v>内部装修维护情况</v>
      </c>
      <c r="R43" s="1318" t="s">
        <v>1152</v>
      </c>
      <c r="S43" s="1319">
        <f t="shared" si="12"/>
        <v>100</v>
      </c>
      <c r="T43" s="1318" t="s">
        <v>1152</v>
      </c>
      <c r="U43" s="1319">
        <f t="shared" si="13"/>
        <v>100</v>
      </c>
      <c r="V43" s="1318" t="s">
        <v>1152</v>
      </c>
      <c r="W43" s="1319">
        <f t="shared" si="14"/>
        <v>100</v>
      </c>
      <c r="X43" s="1312"/>
      <c r="Y43" s="3682"/>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8"/>
      <c r="Q44" s="1317">
        <f t="shared" si="11"/>
        <v>111</v>
      </c>
      <c r="R44" s="1313" t="s">
        <v>1152</v>
      </c>
      <c r="S44" s="1314">
        <f t="shared" si="12"/>
        <v>100</v>
      </c>
      <c r="T44" s="1313" t="s">
        <v>1152</v>
      </c>
      <c r="U44" s="1314">
        <f t="shared" si="13"/>
        <v>100</v>
      </c>
      <c r="V44" s="1313" t="s">
        <v>1152</v>
      </c>
      <c r="W44" s="1314">
        <f t="shared" si="14"/>
        <v>100</v>
      </c>
      <c r="X44" s="1315"/>
      <c r="Y44" s="3682"/>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8"/>
      <c r="Q45" s="682">
        <f t="shared" si="11"/>
        <v>111</v>
      </c>
      <c r="R45" s="1318" t="s">
        <v>1152</v>
      </c>
      <c r="S45" s="1319">
        <f t="shared" si="12"/>
        <v>100</v>
      </c>
      <c r="T45" s="1318" t="s">
        <v>1152</v>
      </c>
      <c r="U45" s="1319">
        <f t="shared" si="13"/>
        <v>100</v>
      </c>
      <c r="V45" s="1318" t="s">
        <v>1152</v>
      </c>
      <c r="W45" s="1319">
        <f t="shared" si="14"/>
        <v>100</v>
      </c>
      <c r="X45" s="1312"/>
      <c r="Y45" s="3682"/>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9"/>
      <c r="Q46" s="682">
        <f t="shared" si="11"/>
        <v>111</v>
      </c>
      <c r="R46" s="1318" t="s">
        <v>1152</v>
      </c>
      <c r="S46" s="1319">
        <f t="shared" si="12"/>
        <v>100</v>
      </c>
      <c r="T46" s="1318" t="s">
        <v>1152</v>
      </c>
      <c r="U46" s="1319">
        <f t="shared" si="13"/>
        <v>100</v>
      </c>
      <c r="V46" s="1318" t="s">
        <v>1152</v>
      </c>
      <c r="W46" s="1319">
        <f t="shared" si="14"/>
        <v>100</v>
      </c>
      <c r="X46" s="1312"/>
      <c r="Y46" s="3683"/>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7" t="str">
        <f>A47</f>
        <v>成交单价（元/平方米）</v>
      </c>
      <c r="Q47" s="3667"/>
      <c r="R47" s="3654">
        <f>E47</f>
        <v>35658</v>
      </c>
      <c r="S47" s="3654"/>
      <c r="T47" s="3654">
        <f>G47</f>
        <v>38353</v>
      </c>
      <c r="U47" s="3654"/>
      <c r="V47" s="3654">
        <f>I47</f>
        <v>36426</v>
      </c>
      <c r="W47" s="3654"/>
      <c r="X47" s="1258"/>
      <c r="Y47" s="1331"/>
      <c r="Z47" s="1258"/>
      <c r="AA47" s="1258"/>
      <c r="AB47" s="1258"/>
      <c r="AC47" s="1258"/>
    </row>
    <row r="48" spans="1:29" ht="15">
      <c r="A48" s="1209" t="s">
        <v>1197</v>
      </c>
      <c r="B48" s="1528"/>
      <c r="C48" s="1529">
        <f>R49</f>
        <v>34579</v>
      </c>
      <c r="D48" s="1212" t="s">
        <v>1198</v>
      </c>
      <c r="E48" s="1530">
        <f>R48</f>
        <v>33275</v>
      </c>
      <c r="F48" s="1213"/>
      <c r="G48" s="1529">
        <f>T48</f>
        <v>35790</v>
      </c>
      <c r="H48" s="1213"/>
      <c r="I48" s="1530">
        <f>V48</f>
        <v>34672</v>
      </c>
      <c r="J48" s="1213"/>
      <c r="K48" s="1295">
        <f>F48+H48+J48</f>
        <v>0</v>
      </c>
      <c r="L48" s="1294"/>
      <c r="M48" s="1218"/>
      <c r="N48" s="1270"/>
      <c r="O48" s="1218"/>
      <c r="P48" s="3667" t="str">
        <f>A48</f>
        <v>比较价值（元/平方米）</v>
      </c>
      <c r="Q48" s="3667"/>
      <c r="R48" s="3668">
        <f>IF(F1="售价",ROUND(PRODUCT(R47,AA7:AA46),0),ROUND(PRODUCT(R47,AA7:AA46),1))</f>
        <v>33275</v>
      </c>
      <c r="S48" s="3668"/>
      <c r="T48" s="3668">
        <f>IF(F1="售价",ROUND(PRODUCT(T47,AB7:AB46),0),ROUND(PRODUCT(T47,AB7:AB46),1))</f>
        <v>35790</v>
      </c>
      <c r="U48" s="3668"/>
      <c r="V48" s="3668">
        <f>IF(F1="售价",ROUND(PRODUCT(V47,AC7:AC46),0),ROUND(PRODUCT(V47,AC7:AC46),1))</f>
        <v>34672</v>
      </c>
      <c r="W48" s="3668"/>
      <c r="X48" s="1258"/>
      <c r="Y48" s="1258"/>
      <c r="Z48" s="1258"/>
      <c r="AA48" s="1258"/>
      <c r="AB48" s="1258"/>
      <c r="AC48" s="1258"/>
    </row>
    <row r="49" spans="1:29" ht="15">
      <c r="A49" s="1215" t="s">
        <v>1199</v>
      </c>
      <c r="B49" s="1216"/>
      <c r="C49" s="1531">
        <f>R49</f>
        <v>34579</v>
      </c>
      <c r="D49" s="1531"/>
      <c r="E49" s="1531"/>
      <c r="F49" s="1531"/>
      <c r="G49" s="1531"/>
      <c r="H49" s="1531"/>
      <c r="I49" s="1531"/>
      <c r="J49" s="1531"/>
      <c r="K49" s="1296"/>
      <c r="L49" s="1294"/>
      <c r="M49" s="1218"/>
      <c r="N49" s="1270"/>
      <c r="O49" s="1218"/>
      <c r="P49" s="3669" t="str">
        <f>A49</f>
        <v>估价对象XX用房的比较价值（楼面单价，元/平方米）</v>
      </c>
      <c r="Q49" s="3670"/>
      <c r="R49" s="3671">
        <f>IF(F1="售价",ROUND(IF(D48="简单平均",AVERAGE(R48:V48),R48*F48+T48*H48+V48*J48),0),ROUND(IF(D48="简单平均",AVERAGE(R48:V48),R48*F48+T48*H48+V48*J48),1))</f>
        <v>34579</v>
      </c>
      <c r="S49" s="3671"/>
      <c r="T49" s="3671"/>
      <c r="U49" s="3671"/>
      <c r="V49" s="3671"/>
      <c r="W49" s="3671"/>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7.1615326821938385E-2</v>
      </c>
      <c r="F52" s="1222" t="str">
        <f>IF(OR(E52&gt;=0.3,E52&lt;=-0.3),"超过30%","")</f>
        <v/>
      </c>
      <c r="G52" s="1221">
        <f>IF(G47&lt;G48,G48/G47-1,G47/G48-1)</f>
        <v>7.1612182173791616E-2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7.5582268970698641E-2</v>
      </c>
      <c r="F53" s="1222" t="str">
        <f>IF(OR(E53&gt;=0.2,E53&lt;=-0.2),"超过20%","")</f>
        <v/>
      </c>
      <c r="G53" s="1221">
        <f>IF(G48&lt;I48,I48/G48-1,G48/I48-1)</f>
        <v>3.2245039224734651E-2</v>
      </c>
      <c r="H53" s="1222" t="str">
        <f>IF(OR(G53&gt;=0.2,G53&lt;=-0.2),"超过20%","")</f>
        <v/>
      </c>
      <c r="I53" s="1221">
        <f>IF(I48&lt;E48,E48/I48-1,I48/E48-1)</f>
        <v>4.1983471074380274E-2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2787</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0(含)-200</v>
      </c>
      <c r="D102" s="1372" t="str">
        <f t="shared" ref="D102:L102" si="24">D103&amp;"(含)"&amp;"-"&amp;E103</f>
        <v>200(含)-400</v>
      </c>
      <c r="E102" s="1372" t="str">
        <f t="shared" si="24"/>
        <v>400(含)-600</v>
      </c>
      <c r="F102" s="1372" t="str">
        <f t="shared" si="24"/>
        <v>600(含)-</v>
      </c>
      <c r="G102" s="1372" t="str">
        <f t="shared" si="24"/>
        <v>(含)-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200</v>
      </c>
      <c r="E103" s="1337">
        <v>400</v>
      </c>
      <c r="F103" s="1337">
        <v>600</v>
      </c>
      <c r="G103" s="1337"/>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F104" si="25">D104-1</f>
        <v>98</v>
      </c>
      <c r="F104" s="1352">
        <f t="shared" si="25"/>
        <v>97</v>
      </c>
      <c r="G104" s="1352"/>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2789</v>
      </c>
      <c r="D116" s="2366" t="s">
        <v>2790</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2366" t="s">
        <v>2792</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406">
        <f t="shared" si="32"/>
        <v>80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22744</v>
      </c>
      <c r="C2" s="2269" t="s">
        <v>1226</v>
      </c>
      <c r="D2" s="2269"/>
      <c r="E2" s="2267"/>
      <c r="F2" s="2267"/>
      <c r="G2" s="2267"/>
      <c r="H2" s="2267"/>
      <c r="I2" s="2267"/>
      <c r="J2" s="2267"/>
      <c r="K2" s="2267"/>
    </row>
    <row r="3" spans="1:33" ht="18" customHeight="1">
      <c r="A3" s="389" t="s">
        <v>1039</v>
      </c>
      <c r="B3" s="390">
        <f ca="1">ROUND(B2*10000/IF(C1="",'数据-汇总表'!E3,INDIRECT("'数据-取费表'!K"&amp;$K$1)),0)</f>
        <v>2302024</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98.8</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98.8</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-19758</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98.8</v>
      </c>
      <c r="E20" s="1036">
        <f>'数据-取费表'!B28</f>
        <v>200</v>
      </c>
      <c r="F20" s="2293"/>
      <c r="G20" s="2151"/>
      <c r="H20" s="2300"/>
      <c r="I20" s="2300"/>
      <c r="J20" s="2300"/>
      <c r="K20" s="2345"/>
    </row>
    <row r="21" spans="1:33" s="2258" customFormat="1" ht="13.5" customHeight="1">
      <c r="A21" s="2276" t="s">
        <v>947</v>
      </c>
      <c r="B21" s="2301" t="s">
        <v>1257</v>
      </c>
      <c r="C21" s="2302">
        <f ca="1">C16+C17+C18</f>
        <v>-19758</v>
      </c>
      <c r="D21" s="2303"/>
      <c r="E21" s="2304"/>
      <c r="F21" s="2304"/>
      <c r="G21" s="2037" t="s">
        <v>1258</v>
      </c>
      <c r="H21" s="2152"/>
      <c r="I21" s="2152"/>
      <c r="J21" s="2152"/>
      <c r="K21" s="2153"/>
    </row>
    <row r="22" spans="1:33" s="2258" customFormat="1" ht="13.5" customHeight="1">
      <c r="A22" s="2276" t="s">
        <v>951</v>
      </c>
      <c r="B22" s="2301" t="s">
        <v>1259</v>
      </c>
      <c r="C22" s="2302">
        <f ca="1">ROUND(C21*F22,0)</f>
        <v>-593</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-3053</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-3053</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22744</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699" t="s">
        <v>1292</v>
      </c>
      <c r="C6" s="1995">
        <f ca="1">ROUND(F6*F8*F7*(1-F9)/10000,0)</f>
        <v>0</v>
      </c>
      <c r="D6" s="1996" t="s">
        <v>1293</v>
      </c>
      <c r="E6" s="1997" t="s">
        <v>1294</v>
      </c>
      <c r="F6" s="1998">
        <f ca="1">INDIRECT("'数据-取费表'!u"&amp;$G$1)</f>
        <v>0</v>
      </c>
      <c r="G6" s="781"/>
      <c r="H6" s="1994" t="s">
        <v>947</v>
      </c>
      <c r="I6" s="3699" t="s">
        <v>1292</v>
      </c>
      <c r="J6" s="2069">
        <f ca="1">ROUND(M6*M8*M7*(1-M9)/10000,0)</f>
        <v>0</v>
      </c>
      <c r="K6" s="1996" t="s">
        <v>1295</v>
      </c>
      <c r="L6" s="1997" t="s">
        <v>1294</v>
      </c>
      <c r="M6" s="1998">
        <f ca="1">INDIRECT("'数据-取费表'!z"&amp;$G$1)</f>
        <v>0</v>
      </c>
    </row>
    <row r="7" spans="1:37" ht="18" customHeight="1">
      <c r="A7" s="1999"/>
      <c r="B7" s="3700"/>
      <c r="C7" s="2000"/>
      <c r="D7" s="2001"/>
      <c r="E7" s="2002" t="s">
        <v>1296</v>
      </c>
      <c r="F7" s="1998">
        <f ca="1">IF(INDIRECT("'数据-取费表'!ah"&amp;$G$1)="",INDIRECT("'数据-取费表'!k"&amp;$G$1),INDIRECT("'数据-取费表'!ah"&amp;$G$1))</f>
        <v>0</v>
      </c>
      <c r="G7" s="781"/>
      <c r="H7" s="2003"/>
      <c r="I7" s="3700"/>
      <c r="J7" s="2004"/>
      <c r="K7" s="2001"/>
      <c r="L7" s="1997" t="s">
        <v>1296</v>
      </c>
      <c r="M7" s="1998">
        <f ca="1">F7</f>
        <v>0</v>
      </c>
    </row>
    <row r="8" spans="1:37" ht="18" customHeight="1">
      <c r="A8" s="2003"/>
      <c r="B8" s="3700"/>
      <c r="C8" s="2004"/>
      <c r="D8" s="2001"/>
      <c r="E8" s="1997" t="s">
        <v>1297</v>
      </c>
      <c r="F8" s="1998">
        <f ca="1">INDIRECT("'数据-取费表'!ai"&amp;$G$1)</f>
        <v>0</v>
      </c>
      <c r="G8" s="781"/>
      <c r="H8" s="2003"/>
      <c r="I8" s="3700"/>
      <c r="J8" s="2004"/>
      <c r="K8" s="2001"/>
      <c r="L8" s="1997" t="s">
        <v>1297</v>
      </c>
      <c r="M8" s="1998">
        <f ca="1">INDIRECT("'数据-取费表'!ai"&amp;$G$1)</f>
        <v>0</v>
      </c>
    </row>
    <row r="9" spans="1:37" ht="18" customHeight="1">
      <c r="A9" s="2003"/>
      <c r="B9" s="3701"/>
      <c r="C9" s="2004"/>
      <c r="D9" s="2001"/>
      <c r="E9" s="1997" t="s">
        <v>1298</v>
      </c>
      <c r="F9" s="2005">
        <f ca="1">INDIRECT("'数据-取费表'!w"&amp;$G$1)</f>
        <v>0</v>
      </c>
      <c r="G9" s="781"/>
      <c r="H9" s="2003"/>
      <c r="I9" s="3701"/>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7" t="s">
        <v>1416</v>
      </c>
      <c r="L53" s="3698"/>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159.84729999999999</v>
      </c>
      <c r="C2" s="1975" t="s">
        <v>1281</v>
      </c>
      <c r="D2" s="1976">
        <f ca="1">C40+J29+L46</f>
        <v>1598473</v>
      </c>
      <c r="E2" s="1977" t="s">
        <v>1465</v>
      </c>
      <c r="F2" s="1978"/>
      <c r="G2" s="1979"/>
      <c r="H2" s="1980"/>
      <c r="I2" s="1980"/>
      <c r="J2" s="1980"/>
      <c r="K2" s="2139"/>
      <c r="L2" s="1980"/>
      <c r="M2" s="1980"/>
    </row>
    <row r="3" spans="1:37" ht="18" customHeight="1">
      <c r="A3" s="1981" t="s">
        <v>1282</v>
      </c>
      <c r="B3" s="1982">
        <f ca="1">IF(ISERROR(D2/F43),0,ROUND(D2/F43,0))</f>
        <v>16179</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107418</v>
      </c>
      <c r="D5" s="1991" t="s">
        <v>1291</v>
      </c>
      <c r="E5" s="1992"/>
      <c r="F5" s="1993"/>
      <c r="G5" s="781"/>
      <c r="H5" s="1988">
        <v>1</v>
      </c>
      <c r="I5" s="1989" t="s">
        <v>1290</v>
      </c>
      <c r="J5" s="1990">
        <f ca="1">J6+J10+J12</f>
        <v>0</v>
      </c>
      <c r="K5" s="1991" t="s">
        <v>1291</v>
      </c>
      <c r="L5" s="1992"/>
      <c r="M5" s="1993"/>
    </row>
    <row r="6" spans="1:37" ht="18" customHeight="1">
      <c r="A6" s="1994" t="s">
        <v>947</v>
      </c>
      <c r="B6" s="3699" t="s">
        <v>1292</v>
      </c>
      <c r="C6" s="1995">
        <f ca="1">ROUND(F6*F8*F7*(1-F9),0)</f>
        <v>107284</v>
      </c>
      <c r="D6" s="1996" t="s">
        <v>1466</v>
      </c>
      <c r="E6" s="1997" t="s">
        <v>1294</v>
      </c>
      <c r="F6" s="1998">
        <f ca="1">INDIRECT("'数据-取费表'!u"&amp;$G$1)</f>
        <v>3.5</v>
      </c>
      <c r="G6" s="781"/>
      <c r="H6" s="1994" t="s">
        <v>947</v>
      </c>
      <c r="I6" s="3699" t="s">
        <v>1292</v>
      </c>
      <c r="J6" s="2069">
        <f ca="1">ROUND(M6*M8*M7*(1-M9),0)</f>
        <v>0</v>
      </c>
      <c r="K6" s="2142" t="s">
        <v>1467</v>
      </c>
      <c r="L6" s="1997" t="s">
        <v>1294</v>
      </c>
      <c r="M6" s="1998">
        <f ca="1">INDIRECT("'数据-取费表'!z"&amp;$G$1)</f>
        <v>0</v>
      </c>
    </row>
    <row r="7" spans="1:37" ht="18" customHeight="1">
      <c r="A7" s="1999"/>
      <c r="B7" s="3700"/>
      <c r="C7" s="2000"/>
      <c r="D7" s="2001"/>
      <c r="E7" s="2002" t="s">
        <v>1296</v>
      </c>
      <c r="F7" s="1998">
        <f ca="1">IF(INDIRECT("'数据-取费表'!ah"&amp;$G$1)="",INDIRECT("'数据-取费表'!k"&amp;$G$1),INDIRECT("'数据-取费表'!ah"&amp;$G$1))</f>
        <v>98.8</v>
      </c>
      <c r="G7" s="781"/>
      <c r="H7" s="2003"/>
      <c r="I7" s="3700"/>
      <c r="J7" s="2004"/>
      <c r="K7" s="2001"/>
      <c r="L7" s="1997" t="s">
        <v>1296</v>
      </c>
      <c r="M7" s="1998">
        <f ca="1">F7</f>
        <v>98.8</v>
      </c>
    </row>
    <row r="8" spans="1:37" ht="18" customHeight="1">
      <c r="A8" s="2003"/>
      <c r="B8" s="3700"/>
      <c r="C8" s="2004"/>
      <c r="D8" s="2001"/>
      <c r="E8" s="1997" t="s">
        <v>1297</v>
      </c>
      <c r="F8" s="1998">
        <f ca="1">INDIRECT("'数据-取费表'!ai"&amp;$G$1)</f>
        <v>365</v>
      </c>
      <c r="G8" s="781"/>
      <c r="H8" s="2003"/>
      <c r="I8" s="3700"/>
      <c r="J8" s="2004"/>
      <c r="K8" s="2001"/>
      <c r="L8" s="1997" t="s">
        <v>1297</v>
      </c>
      <c r="M8" s="1998">
        <f ca="1">INDIRECT("'数据-取费表'!ai"&amp;$G$1)</f>
        <v>365</v>
      </c>
    </row>
    <row r="9" spans="1:37" ht="18" customHeight="1">
      <c r="A9" s="2003"/>
      <c r="B9" s="3701"/>
      <c r="C9" s="2004"/>
      <c r="D9" s="2001"/>
      <c r="E9" s="1997" t="s">
        <v>1298</v>
      </c>
      <c r="F9" s="2005">
        <f ca="1">INDIRECT("'数据-取费表'!w"&amp;$G$1)</f>
        <v>0.15</v>
      </c>
      <c r="G9" s="781"/>
      <c r="H9" s="2003"/>
      <c r="I9" s="3701"/>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134</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574091</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444600</v>
      </c>
      <c r="D14" s="2028" t="s">
        <v>1309</v>
      </c>
      <c r="E14" s="2029"/>
      <c r="F14" s="2030"/>
      <c r="G14" s="781"/>
      <c r="H14" s="2026" t="s">
        <v>947</v>
      </c>
      <c r="I14" s="1997" t="s">
        <v>1310</v>
      </c>
      <c r="J14" s="1036">
        <f ca="1">C29</f>
        <v>652376</v>
      </c>
      <c r="K14" s="2151"/>
      <c r="L14" s="2152"/>
      <c r="M14" s="2153"/>
    </row>
    <row r="15" spans="1:37" s="1965" customFormat="1" ht="18" customHeight="1">
      <c r="A15" s="2026" t="s">
        <v>974</v>
      </c>
      <c r="B15" s="1997" t="s">
        <v>1239</v>
      </c>
      <c r="C15" s="1036">
        <f ca="1">ROUND(C14*F15,0)</f>
        <v>22230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1305</v>
      </c>
      <c r="K16" s="2047" t="s">
        <v>1315</v>
      </c>
      <c r="L16" s="2048"/>
      <c r="M16" s="1993"/>
    </row>
    <row r="17" spans="1:37" s="1965" customFormat="1" ht="18" customHeight="1">
      <c r="A17" s="2026" t="s">
        <v>1316</v>
      </c>
      <c r="B17" s="1997" t="s">
        <v>1317</v>
      </c>
      <c r="C17" s="1036">
        <f ca="1">ROUND(F17*(F43+INDIRECT("'数据-取费表'!S"&amp;$G$1)),0)</f>
        <v>19760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8892</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495482</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14864</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1305</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15310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-1305</v>
      </c>
      <c r="K25" s="2066" t="s">
        <v>1353</v>
      </c>
      <c r="L25" s="2067"/>
      <c r="M25" s="2068"/>
    </row>
    <row r="26" spans="1:37" ht="18" customHeight="1">
      <c r="A26" s="2026" t="s">
        <v>970</v>
      </c>
      <c r="B26" s="1997" t="s">
        <v>1354</v>
      </c>
      <c r="C26" s="1036">
        <f ca="1">ROUND((C19+C20)*F26,0)</f>
        <v>76552</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652376</v>
      </c>
      <c r="D29" s="2044"/>
      <c r="E29" s="2019"/>
      <c r="F29" s="2045"/>
      <c r="G29" s="2033"/>
      <c r="H29" s="2046" t="s">
        <v>1369</v>
      </c>
      <c r="I29" s="2076" t="s">
        <v>1370</v>
      </c>
      <c r="J29" s="2077">
        <f ca="1">ROUND(J26/(1+F40)^F41,0)</f>
        <v>0</v>
      </c>
      <c r="K29" s="2078" t="s">
        <v>1371</v>
      </c>
      <c r="L29" s="2079"/>
      <c r="M29" s="2080">
        <f ca="1">INDIRECT("'数据-取费表'!k"&amp;$G$1)</f>
        <v>98.8</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20399</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17983</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5722</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12261</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1305</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574</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537</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87019</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1567592</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15866</v>
      </c>
      <c r="D43" s="2078" t="s">
        <v>1376</v>
      </c>
      <c r="E43" s="2079" t="s">
        <v>1377</v>
      </c>
      <c r="F43" s="2080">
        <f ca="1">INDIRECT("'数据-取费表'!k"&amp;$G$1)</f>
        <v>98.8</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-159.47190000000001</v>
      </c>
      <c r="D45" s="2085" t="s">
        <v>1473</v>
      </c>
      <c r="E45" s="2081"/>
      <c r="F45" s="2081"/>
      <c r="O45" s="2169" t="s">
        <v>1378</v>
      </c>
      <c r="P45" s="2070"/>
      <c r="Q45" s="2070"/>
      <c r="R45" s="2070"/>
    </row>
    <row r="46" spans="1:18" s="781" customFormat="1">
      <c r="A46" s="2086" t="s">
        <v>1379</v>
      </c>
      <c r="C46" s="2087">
        <f ca="1">ROUND(C45,0)</f>
        <v>-159</v>
      </c>
      <c r="D46" s="2088" t="str">
        <f>C2</f>
        <v>万元</v>
      </c>
      <c r="I46" s="2170" t="s">
        <v>1380</v>
      </c>
      <c r="J46" s="2171"/>
      <c r="K46" s="2172"/>
      <c r="L46" s="2173">
        <f ca="1">IF(M47="住宅",0,IF(L48&gt;J51,L60,J60))</f>
        <v>30881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1567592</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30881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652376</v>
      </c>
      <c r="R49" s="2221" t="s">
        <v>1388</v>
      </c>
    </row>
    <row r="50" spans="1:18" s="781" customFormat="1">
      <c r="A50" s="2105"/>
      <c r="B50" s="2106"/>
      <c r="C50" s="2107"/>
      <c r="D50" s="2108"/>
      <c r="E50" s="2109" t="s">
        <v>1296</v>
      </c>
      <c r="F50" s="2110">
        <f ca="1">F7</f>
        <v>98.8</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866095</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7" t="s">
        <v>1416</v>
      </c>
      <c r="L53" s="3698"/>
      <c r="O53" s="2181" t="s">
        <v>1241</v>
      </c>
      <c r="P53" s="2182" t="s">
        <v>1417</v>
      </c>
      <c r="Q53" s="2221">
        <f ca="1">Q47+Q48</f>
        <v>1598473</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574091</v>
      </c>
      <c r="D56" s="2120"/>
      <c r="E56" s="2121"/>
      <c r="F56" s="2117"/>
      <c r="I56" s="2208" t="s">
        <v>1422</v>
      </c>
      <c r="J56" s="2209" t="s">
        <v>534</v>
      </c>
      <c r="K56" s="2183" t="s">
        <v>1423</v>
      </c>
      <c r="L56" s="2186" t="str">
        <f ca="1">IF(L48&lt;J51,"——",L48-J51)</f>
        <v>——</v>
      </c>
      <c r="O56" s="2181" t="s">
        <v>1052</v>
      </c>
      <c r="P56" s="2182" t="s">
        <v>1387</v>
      </c>
      <c r="Q56" s="2221">
        <f ca="1">C40+J29</f>
        <v>1567592</v>
      </c>
      <c r="R56" s="2221" t="s">
        <v>1388</v>
      </c>
    </row>
    <row r="57" spans="1:18" s="781" customFormat="1" ht="24">
      <c r="A57" s="2122"/>
      <c r="B57" s="2123" t="s">
        <v>1368</v>
      </c>
      <c r="C57" s="432">
        <f ca="1">C29</f>
        <v>652376</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1879</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260950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30881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1567592</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1305</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574</v>
      </c>
      <c r="D65" s="2131" t="s">
        <v>1345</v>
      </c>
      <c r="E65" s="2123" t="s">
        <v>1312</v>
      </c>
      <c r="F65" s="2064">
        <f t="shared" ca="1" si="0"/>
        <v>1E-3</v>
      </c>
      <c r="I65" s="2216" t="s">
        <v>1446</v>
      </c>
      <c r="J65" s="2217">
        <v>40</v>
      </c>
      <c r="K65" s="2217">
        <v>30</v>
      </c>
      <c r="L65" s="2217">
        <v>50</v>
      </c>
      <c r="M65" s="2219">
        <v>0.02</v>
      </c>
      <c r="O65" s="2181" t="s">
        <v>1052</v>
      </c>
      <c r="P65" s="2182" t="s">
        <v>1387</v>
      </c>
      <c r="Q65" s="2221">
        <f ca="1">C40+J29</f>
        <v>1567592</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-1879</v>
      </c>
      <c r="D67" s="2130" t="s">
        <v>1353</v>
      </c>
      <c r="E67" s="2224"/>
      <c r="F67" s="2225"/>
      <c r="O67" s="2189" t="s">
        <v>1399</v>
      </c>
      <c r="P67" s="2182" t="s">
        <v>1430</v>
      </c>
      <c r="Q67" s="2245">
        <f ca="1">L51</f>
        <v>866095</v>
      </c>
      <c r="R67" s="2221" t="s">
        <v>1447</v>
      </c>
    </row>
    <row r="68" spans="1:18" s="781" customFormat="1" ht="15.75">
      <c r="A68" s="2226" t="s">
        <v>1357</v>
      </c>
      <c r="B68" s="2227" t="s">
        <v>1374</v>
      </c>
      <c r="C68" s="2069">
        <f ca="1">ROUND(C67*(1-((1+F70)/(1+F68))^F69)/(F68-F70),0)</f>
        <v>-27127</v>
      </c>
      <c r="D68" s="2133" t="s">
        <v>1359</v>
      </c>
      <c r="E68" s="2123" t="s">
        <v>1360</v>
      </c>
      <c r="F68" s="2005">
        <f ca="1">F40</f>
        <v>5.5E-2</v>
      </c>
      <c r="O68" s="2189" t="s">
        <v>1403</v>
      </c>
      <c r="P68" s="2244" t="s">
        <v>1448</v>
      </c>
      <c r="Q68" s="2221">
        <f ca="1">ROUND(Q69-Q70*Q71,0)</f>
        <v>46833</v>
      </c>
      <c r="R68" s="2221" t="s">
        <v>1449</v>
      </c>
    </row>
    <row r="69" spans="1:18" s="781" customFormat="1">
      <c r="A69" s="2228"/>
      <c r="B69" s="2229"/>
      <c r="C69" s="2004"/>
      <c r="D69" s="2230" t="s">
        <v>1363</v>
      </c>
      <c r="E69" s="2123" t="s">
        <v>1364</v>
      </c>
      <c r="F69" s="2073">
        <f ca="1">F41</f>
        <v>29.51</v>
      </c>
      <c r="O69" s="2189" t="s">
        <v>1450</v>
      </c>
      <c r="P69" s="2244" t="s">
        <v>1451</v>
      </c>
      <c r="Q69" s="2221">
        <f ca="1">C39</f>
        <v>87019</v>
      </c>
      <c r="R69" s="2221" t="s">
        <v>1388</v>
      </c>
    </row>
    <row r="70" spans="1:18" s="781" customFormat="1">
      <c r="A70" s="2231"/>
      <c r="B70" s="2232"/>
      <c r="C70" s="2023"/>
      <c r="D70" s="2135"/>
      <c r="E70" s="2123" t="s">
        <v>1367</v>
      </c>
      <c r="F70" s="2113"/>
      <c r="O70" s="2189" t="s">
        <v>1452</v>
      </c>
      <c r="P70" s="2244" t="s">
        <v>1453</v>
      </c>
      <c r="Q70" s="2221">
        <f ca="1">C13</f>
        <v>574091</v>
      </c>
      <c r="R70" s="2221" t="s">
        <v>1388</v>
      </c>
    </row>
    <row r="71" spans="1:18" s="781" customFormat="1">
      <c r="A71" s="2233" t="s">
        <v>1369</v>
      </c>
      <c r="B71" s="2234" t="s">
        <v>1375</v>
      </c>
      <c r="C71" s="2077">
        <f ca="1">ROUND(C68/F71,0)</f>
        <v>-275</v>
      </c>
      <c r="D71" s="2235" t="s">
        <v>1376</v>
      </c>
      <c r="E71" s="2236" t="s">
        <v>1377</v>
      </c>
      <c r="F71" s="2080">
        <f ca="1">F43</f>
        <v>98.8</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40186</v>
      </c>
      <c r="D75" s="781"/>
      <c r="E75" s="781"/>
      <c r="F75" s="781"/>
      <c r="K75" s="2168"/>
      <c r="L75" s="781"/>
      <c r="O75" s="2181" t="s">
        <v>1241</v>
      </c>
      <c r="P75" s="2182" t="s">
        <v>1417</v>
      </c>
      <c r="Q75" s="2221">
        <f ca="1">Q65+Q66</f>
        <v>1567592</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0.53800000000000003</v>
      </c>
    </row>
    <row r="80" spans="1:18">
      <c r="B80" s="2238" t="s">
        <v>1463</v>
      </c>
      <c r="C80" s="465">
        <f ca="1">ROUND(C75/C39,3)</f>
        <v>0.46200000000000002</v>
      </c>
    </row>
    <row r="81" spans="2:3">
      <c r="B81" s="462" t="s">
        <v>1464</v>
      </c>
      <c r="C81" s="432"/>
    </row>
    <row r="82" spans="2:3">
      <c r="B82" s="464" t="s">
        <v>1131</v>
      </c>
      <c r="C82" s="466">
        <f ca="1">1-C83</f>
        <v>0.63400000000000001</v>
      </c>
    </row>
    <row r="83" spans="2:3">
      <c r="B83" s="464" t="s">
        <v>1132</v>
      </c>
      <c r="C83" s="465">
        <f ca="1">ROUND(C13/C40,3)</f>
        <v>0.36599999999999999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14" t="s">
        <v>1482</v>
      </c>
      <c r="K2" s="3715"/>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8" t="s">
        <v>1490</v>
      </c>
      <c r="K3" s="3709"/>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8" t="s">
        <v>1492</v>
      </c>
      <c r="K4" s="3709"/>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18" t="s">
        <v>1496</v>
      </c>
      <c r="B6" s="3719"/>
      <c r="C6" s="3720"/>
      <c r="D6" s="1815"/>
      <c r="E6" s="1816"/>
      <c r="F6" s="1817"/>
      <c r="G6" s="1818"/>
      <c r="H6" s="1806"/>
      <c r="I6" s="1903"/>
      <c r="J6" s="3702">
        <v>1</v>
      </c>
      <c r="K6" s="3705"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02"/>
      <c r="K7" s="3706"/>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16" t="s">
        <v>1510</v>
      </c>
      <c r="C8" s="3717"/>
      <c r="D8" s="1829" t="s">
        <v>1511</v>
      </c>
      <c r="E8" s="1830" t="s">
        <v>1512</v>
      </c>
      <c r="F8" s="1831" t="s">
        <v>1513</v>
      </c>
      <c r="G8" s="1832"/>
      <c r="H8" s="1806"/>
      <c r="I8" s="1903"/>
      <c r="J8" s="3702"/>
      <c r="K8" s="3706"/>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16" t="s">
        <v>1516</v>
      </c>
      <c r="C9" s="3717"/>
      <c r="D9" s="1829">
        <f>ROUND(D6*E9,0)</f>
        <v>0</v>
      </c>
      <c r="E9" s="1833"/>
      <c r="F9" s="1834" t="s">
        <v>1517</v>
      </c>
      <c r="G9" s="1818"/>
      <c r="H9" s="1806"/>
      <c r="I9" s="1903"/>
      <c r="J9" s="3702"/>
      <c r="K9" s="3706"/>
      <c r="L9" s="1913" t="s">
        <v>1518</v>
      </c>
      <c r="M9" s="1914"/>
      <c r="N9" s="1811"/>
      <c r="O9" s="1915"/>
      <c r="P9" s="1915"/>
      <c r="Q9" s="1844">
        <v>365</v>
      </c>
      <c r="R9" s="1949">
        <f t="shared" si="0"/>
        <v>0</v>
      </c>
      <c r="S9" s="1942"/>
      <c r="T9" s="1942"/>
      <c r="U9" s="1942"/>
      <c r="V9" s="1903"/>
    </row>
    <row r="10" spans="1:22" s="1787" customFormat="1" ht="13.15" customHeight="1">
      <c r="A10" s="1826">
        <v>2</v>
      </c>
      <c r="B10" s="3716" t="s">
        <v>1519</v>
      </c>
      <c r="C10" s="3717"/>
      <c r="D10" s="1829">
        <f>ROUND(D6*E10,0)</f>
        <v>0</v>
      </c>
      <c r="E10" s="1833"/>
      <c r="F10" s="1834" t="s">
        <v>1520</v>
      </c>
      <c r="G10" s="1818"/>
      <c r="H10" s="1806"/>
      <c r="I10" s="1903"/>
      <c r="J10" s="3702"/>
      <c r="K10" s="3706"/>
      <c r="L10" s="1913" t="s">
        <v>1521</v>
      </c>
      <c r="M10" s="1914"/>
      <c r="N10" s="1811"/>
      <c r="O10" s="1915"/>
      <c r="P10" s="1915"/>
      <c r="Q10" s="1844">
        <v>365</v>
      </c>
      <c r="R10" s="1949">
        <f t="shared" si="0"/>
        <v>0</v>
      </c>
      <c r="S10" s="1942"/>
      <c r="T10" s="1942"/>
      <c r="U10" s="1942"/>
      <c r="V10" s="1903"/>
    </row>
    <row r="11" spans="1:22" s="1787" customFormat="1" ht="13.15" customHeight="1">
      <c r="A11" s="1826">
        <v>3</v>
      </c>
      <c r="B11" s="3716" t="s">
        <v>1522</v>
      </c>
      <c r="C11" s="3717"/>
      <c r="D11" s="1829">
        <f>D12+D14+D15+D16</f>
        <v>0</v>
      </c>
      <c r="E11" s="1835" t="e">
        <f>D11/D6</f>
        <v>#DIV/0!</v>
      </c>
      <c r="F11" s="1831"/>
      <c r="G11" s="1832"/>
      <c r="H11" s="1806"/>
      <c r="I11" s="1903"/>
      <c r="J11" s="3702"/>
      <c r="K11" s="3706"/>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10" t="s">
        <v>1525</v>
      </c>
      <c r="C12" s="3711"/>
      <c r="D12" s="1839">
        <f>ROUND(D13*1.2%*(1-30%),0)</f>
        <v>0</v>
      </c>
      <c r="E12" s="1840">
        <v>1.2E-2</v>
      </c>
      <c r="F12" s="1831" t="s">
        <v>1526</v>
      </c>
      <c r="G12" s="1832"/>
      <c r="H12" s="1806"/>
      <c r="I12" s="1903"/>
      <c r="J12" s="3702"/>
      <c r="K12" s="3706"/>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02"/>
      <c r="K13" s="3706"/>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10" t="s">
        <v>1531</v>
      </c>
      <c r="C14" s="3711"/>
      <c r="D14" s="1839">
        <f>ROUND(E14*B5/10000,0)</f>
        <v>0</v>
      </c>
      <c r="E14" s="1844"/>
      <c r="F14" s="1831" t="s">
        <v>1532</v>
      </c>
      <c r="G14" s="1832"/>
      <c r="H14" s="1806"/>
      <c r="I14" s="1903"/>
      <c r="J14" s="3702"/>
      <c r="K14" s="3707"/>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10" t="s">
        <v>1535</v>
      </c>
      <c r="C15" s="3711"/>
      <c r="D15" s="1839">
        <f>ROUND(D6*E15,0)</f>
        <v>0</v>
      </c>
      <c r="E15" s="1840">
        <v>5.5E-2</v>
      </c>
      <c r="F15" s="1831" t="s">
        <v>1536</v>
      </c>
      <c r="G15" s="1818"/>
      <c r="H15" s="1806"/>
      <c r="I15" s="1903"/>
      <c r="J15" s="3702">
        <v>2</v>
      </c>
      <c r="K15" s="3705"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10" t="s">
        <v>1543</v>
      </c>
      <c r="C16" s="3711"/>
      <c r="D16" s="1845">
        <f>D6*E16</f>
        <v>0</v>
      </c>
      <c r="E16" s="1846"/>
      <c r="F16" s="1834" t="s">
        <v>1544</v>
      </c>
      <c r="G16" s="1818"/>
      <c r="H16" s="1806"/>
      <c r="I16" s="1903"/>
      <c r="J16" s="3702"/>
      <c r="K16" s="3706"/>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2" t="s">
        <v>1546</v>
      </c>
      <c r="C17" s="3713"/>
      <c r="D17" s="1848">
        <f>ROUND(D6*E17,0)</f>
        <v>0</v>
      </c>
      <c r="E17" s="1849"/>
      <c r="F17" s="1850" t="s">
        <v>1547</v>
      </c>
      <c r="G17" s="1818"/>
      <c r="H17" s="1806"/>
      <c r="I17" s="1903"/>
      <c r="J17" s="3702"/>
      <c r="K17" s="3706"/>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02"/>
      <c r="K18" s="3706"/>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02"/>
      <c r="K19" s="3707"/>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02">
        <v>3</v>
      </c>
      <c r="K20" s="3705"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02"/>
      <c r="K21" s="3706"/>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02"/>
      <c r="K22" s="3706"/>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02"/>
      <c r="K23" s="3706"/>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02"/>
      <c r="K24" s="3707"/>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03">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04"/>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14" t="s">
        <v>1482</v>
      </c>
      <c r="K32" s="3715"/>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8" t="s">
        <v>1490</v>
      </c>
      <c r="K33" s="3709"/>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8" t="s">
        <v>1492</v>
      </c>
      <c r="K34" s="3709"/>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02">
        <v>1</v>
      </c>
      <c r="K36" s="3705"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02"/>
      <c r="K37" s="3706"/>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02"/>
      <c r="K38" s="3706"/>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02"/>
      <c r="K39" s="3706"/>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02"/>
      <c r="K40" s="3707"/>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03">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04"/>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159.84729999999999</v>
      </c>
      <c r="C2" s="1770" t="s">
        <v>1593</v>
      </c>
      <c r="D2" s="1771" t="s">
        <v>1594</v>
      </c>
      <c r="E2" s="1772">
        <f>SUM(E6:E13)</f>
        <v>98.8</v>
      </c>
      <c r="F2" s="1766"/>
      <c r="G2" s="1767"/>
      <c r="H2" s="1767"/>
      <c r="I2" s="1767"/>
      <c r="J2" s="1767"/>
      <c r="K2" s="1767"/>
      <c r="L2" s="1767"/>
      <c r="M2" s="1767"/>
      <c r="N2" s="1767"/>
      <c r="O2" s="1767"/>
      <c r="P2" s="1767"/>
      <c r="Q2" s="1767"/>
      <c r="R2" s="1767"/>
      <c r="S2" s="1767"/>
    </row>
    <row r="3" spans="1:22" ht="15.75">
      <c r="A3" s="1768" t="s">
        <v>1039</v>
      </c>
      <c r="B3" s="1773">
        <f ca="1">ROUND(B2*10000/E2,0)</f>
        <v>16179</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1" t="s">
        <v>1597</v>
      </c>
      <c r="C5" s="3722"/>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159.84729999999999</v>
      </c>
      <c r="C6" s="1770" t="s">
        <v>1593</v>
      </c>
      <c r="D6" s="1774"/>
      <c r="E6" s="1782">
        <f>IF(OR(A6=0,F6="否"),0,'数据-取费表'!K6+'数据-取费表'!S6)</f>
        <v>98.8</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98.8</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89" t="s">
        <v>1141</v>
      </c>
      <c r="D4" s="3690"/>
      <c r="E4" s="3691" t="s">
        <v>1142</v>
      </c>
      <c r="F4" s="3692"/>
      <c r="G4" s="3689" t="s">
        <v>1143</v>
      </c>
      <c r="H4" s="3690"/>
      <c r="I4" s="3689" t="s">
        <v>1144</v>
      </c>
      <c r="J4" s="3690"/>
      <c r="K4" s="1699"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1" t="s">
        <v>1143</v>
      </c>
      <c r="AC4" s="3651" t="s">
        <v>1144</v>
      </c>
    </row>
    <row r="5" spans="1:29" ht="15">
      <c r="A5" s="1123"/>
      <c r="B5" s="1124"/>
      <c r="C5" s="3723" t="s">
        <v>1147</v>
      </c>
      <c r="D5" s="3694"/>
      <c r="E5" s="3724" t="s">
        <v>1602</v>
      </c>
      <c r="F5" s="3696"/>
      <c r="G5" s="3723" t="s">
        <v>1603</v>
      </c>
      <c r="H5" s="3694"/>
      <c r="I5" s="3723" t="s">
        <v>1604</v>
      </c>
      <c r="J5" s="3694"/>
      <c r="K5" s="1700"/>
      <c r="L5" s="1269"/>
      <c r="M5" s="1270"/>
      <c r="N5" s="1270"/>
      <c r="O5" s="1270"/>
      <c r="P5" s="3657"/>
      <c r="Q5" s="3658"/>
      <c r="R5" s="3663"/>
      <c r="S5" s="3664"/>
      <c r="T5" s="3663"/>
      <c r="U5" s="3664"/>
      <c r="V5" s="3654"/>
      <c r="W5" s="3654"/>
      <c r="X5" s="1312"/>
      <c r="Y5" s="3663"/>
      <c r="Z5" s="3664"/>
      <c r="AA5" s="3652"/>
      <c r="AB5" s="3652"/>
      <c r="AC5" s="3652"/>
    </row>
    <row r="6" spans="1:29" ht="15">
      <c r="A6" s="1125"/>
      <c r="B6" s="1126"/>
      <c r="C6" s="3684" t="s">
        <v>1148</v>
      </c>
      <c r="D6" s="3685"/>
      <c r="E6" s="3686" t="s">
        <v>1148</v>
      </c>
      <c r="F6" s="3687"/>
      <c r="G6" s="3684" t="s">
        <v>1148</v>
      </c>
      <c r="H6" s="3685"/>
      <c r="I6" s="3684" t="s">
        <v>1148</v>
      </c>
      <c r="J6" s="3685"/>
      <c r="K6" s="1700" t="s">
        <v>1149</v>
      </c>
      <c r="L6" s="1269"/>
      <c r="M6" s="1270"/>
      <c r="N6" s="1270"/>
      <c r="O6" s="1270"/>
      <c r="P6" s="3659"/>
      <c r="Q6" s="3660"/>
      <c r="R6" s="3663"/>
      <c r="S6" s="3664"/>
      <c r="T6" s="3665"/>
      <c r="U6" s="3666"/>
      <c r="V6" s="3654"/>
      <c r="W6" s="3654"/>
      <c r="X6" s="1312"/>
      <c r="Y6" s="3665"/>
      <c r="Z6" s="3666"/>
      <c r="AA6" s="3653"/>
      <c r="AB6" s="3653"/>
      <c r="AC6" s="3653"/>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72" t="s">
        <v>1151</v>
      </c>
      <c r="Q7" s="3688"/>
      <c r="R7" s="1313" t="s">
        <v>1152</v>
      </c>
      <c r="S7" s="1314">
        <f t="shared" ref="S7:S15" si="0">F7</f>
        <v>0</v>
      </c>
      <c r="T7" s="1313" t="s">
        <v>1152</v>
      </c>
      <c r="U7" s="1314">
        <f t="shared" ref="U7:U15" si="1">H7</f>
        <v>0</v>
      </c>
      <c r="V7" s="1313" t="s">
        <v>1152</v>
      </c>
      <c r="W7" s="1314">
        <f t="shared" ref="W7:W15" si="2">J7</f>
        <v>0</v>
      </c>
      <c r="X7" s="1315"/>
      <c r="Y7" s="3672" t="s">
        <v>1151</v>
      </c>
      <c r="Z7" s="3673"/>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72" t="s">
        <v>1156</v>
      </c>
      <c r="Q8" s="3673"/>
      <c r="R8" s="1313" t="s">
        <v>1152</v>
      </c>
      <c r="S8" s="1314">
        <f t="shared" si="0"/>
        <v>100</v>
      </c>
      <c r="T8" s="1313" t="s">
        <v>1152</v>
      </c>
      <c r="U8" s="1314">
        <f t="shared" si="1"/>
        <v>100</v>
      </c>
      <c r="V8" s="1313" t="s">
        <v>1152</v>
      </c>
      <c r="W8" s="1314">
        <f t="shared" si="2"/>
        <v>100</v>
      </c>
      <c r="X8" s="1315"/>
      <c r="Y8" s="3672" t="s">
        <v>1156</v>
      </c>
      <c r="Z8" s="3673"/>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74"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74"/>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74"/>
      <c r="Q11" s="1317" t="str">
        <f t="shared" si="6"/>
        <v>容积率</v>
      </c>
      <c r="R11" s="1313" t="s">
        <v>1152</v>
      </c>
      <c r="S11" s="1314" t="e">
        <f t="shared" si="0"/>
        <v>#N/A</v>
      </c>
      <c r="T11" s="1313" t="s">
        <v>1152</v>
      </c>
      <c r="U11" s="1314" t="e">
        <f t="shared" si="1"/>
        <v>#N/A</v>
      </c>
      <c r="V11" s="1313" t="s">
        <v>1152</v>
      </c>
      <c r="W11" s="1314" t="e">
        <f t="shared" si="2"/>
        <v>#N/A</v>
      </c>
      <c r="X11" s="1315"/>
      <c r="Y11" s="356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74"/>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74"/>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74"/>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5" t="s">
        <v>1165</v>
      </c>
      <c r="Q15" s="682" t="str">
        <f t="shared" si="6"/>
        <v>居住社区成熟度</v>
      </c>
      <c r="R15" s="1318" t="s">
        <v>1152</v>
      </c>
      <c r="S15" s="1319">
        <f t="shared" si="0"/>
        <v>100</v>
      </c>
      <c r="T15" s="1318" t="s">
        <v>1152</v>
      </c>
      <c r="U15" s="1319">
        <f t="shared" si="1"/>
        <v>100</v>
      </c>
      <c r="V15" s="1318" t="s">
        <v>1152</v>
      </c>
      <c r="W15" s="1319">
        <f t="shared" si="2"/>
        <v>100</v>
      </c>
      <c r="X15" s="1312"/>
      <c r="Y15" s="3680"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6"/>
      <c r="Q16" s="682"/>
      <c r="R16" s="1318"/>
      <c r="S16" s="1319"/>
      <c r="T16" s="1318"/>
      <c r="U16" s="1319"/>
      <c r="V16" s="1318"/>
      <c r="W16" s="1319"/>
      <c r="X16" s="1312"/>
      <c r="Y16" s="3681"/>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6"/>
      <c r="Q17" s="682" t="str">
        <f>B17</f>
        <v>交通便捷度</v>
      </c>
      <c r="R17" s="1318" t="s">
        <v>1152</v>
      </c>
      <c r="S17" s="1319">
        <f>F17</f>
        <v>100</v>
      </c>
      <c r="T17" s="1318" t="s">
        <v>1152</v>
      </c>
      <c r="U17" s="1319">
        <f>H17</f>
        <v>100</v>
      </c>
      <c r="V17" s="1318" t="s">
        <v>1152</v>
      </c>
      <c r="W17" s="1319">
        <f>J17</f>
        <v>100</v>
      </c>
      <c r="X17" s="1312"/>
      <c r="Y17" s="3681"/>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6"/>
      <c r="Q18" s="682"/>
      <c r="R18" s="1318"/>
      <c r="S18" s="1319"/>
      <c r="T18" s="1318"/>
      <c r="U18" s="1319"/>
      <c r="V18" s="1318"/>
      <c r="W18" s="1319"/>
      <c r="X18" s="1312"/>
      <c r="Y18" s="3681"/>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6"/>
      <c r="Q19" s="682" t="str">
        <f>B19</f>
        <v>公共配套设施</v>
      </c>
      <c r="R19" s="1318" t="s">
        <v>1152</v>
      </c>
      <c r="S19" s="1319">
        <f>F19</f>
        <v>100</v>
      </c>
      <c r="T19" s="1318" t="s">
        <v>1152</v>
      </c>
      <c r="U19" s="1319">
        <f>H19</f>
        <v>100</v>
      </c>
      <c r="V19" s="1318" t="s">
        <v>1152</v>
      </c>
      <c r="W19" s="1319">
        <f>J19</f>
        <v>100</v>
      </c>
      <c r="X19" s="1312"/>
      <c r="Y19" s="3681"/>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6"/>
      <c r="Q20" s="682"/>
      <c r="R20" s="1318"/>
      <c r="S20" s="1319"/>
      <c r="T20" s="1318"/>
      <c r="U20" s="1319"/>
      <c r="V20" s="1318"/>
      <c r="W20" s="1319"/>
      <c r="X20" s="1312"/>
      <c r="Y20" s="3681"/>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6"/>
      <c r="Q21" s="682" t="str">
        <f>B21</f>
        <v>基础设施水平</v>
      </c>
      <c r="R21" s="1318" t="s">
        <v>1152</v>
      </c>
      <c r="S21" s="1319">
        <f>F21</f>
        <v>100</v>
      </c>
      <c r="T21" s="1318" t="s">
        <v>1152</v>
      </c>
      <c r="U21" s="1319">
        <f>H21</f>
        <v>100</v>
      </c>
      <c r="V21" s="1318" t="s">
        <v>1152</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6"/>
      <c r="Q22" s="682"/>
      <c r="R22" s="1318"/>
      <c r="S22" s="1319"/>
      <c r="T22" s="1318"/>
      <c r="U22" s="1319"/>
      <c r="V22" s="1318"/>
      <c r="W22" s="1319"/>
      <c r="X22" s="1312"/>
      <c r="Y22" s="3681"/>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6"/>
      <c r="Q23" s="682" t="str">
        <f>B23</f>
        <v>自然及人文环境</v>
      </c>
      <c r="R23" s="1318" t="s">
        <v>1152</v>
      </c>
      <c r="S23" s="1319">
        <f>F23</f>
        <v>100</v>
      </c>
      <c r="T23" s="1318" t="s">
        <v>1152</v>
      </c>
      <c r="U23" s="1319">
        <f>H23</f>
        <v>100</v>
      </c>
      <c r="V23" s="1318" t="s">
        <v>1152</v>
      </c>
      <c r="W23" s="1319">
        <f>J23</f>
        <v>100</v>
      </c>
      <c r="X23" s="1312"/>
      <c r="Y23" s="3681"/>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6"/>
      <c r="Q24" s="682"/>
      <c r="R24" s="1318"/>
      <c r="S24" s="1319"/>
      <c r="T24" s="1318"/>
      <c r="U24" s="1319"/>
      <c r="V24" s="1318"/>
      <c r="W24" s="1319"/>
      <c r="X24" s="1312"/>
      <c r="Y24" s="3681"/>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6"/>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81"/>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6"/>
      <c r="Q26" s="682" t="str">
        <f t="shared" si="11"/>
        <v>朝向</v>
      </c>
      <c r="R26" s="1318" t="s">
        <v>1152</v>
      </c>
      <c r="S26" s="1319">
        <f t="shared" si="12"/>
        <v>100</v>
      </c>
      <c r="T26" s="1318" t="s">
        <v>1152</v>
      </c>
      <c r="U26" s="1319">
        <f t="shared" si="13"/>
        <v>100</v>
      </c>
      <c r="V26" s="1318" t="s">
        <v>1152</v>
      </c>
      <c r="W26" s="1319">
        <f t="shared" si="14"/>
        <v>100</v>
      </c>
      <c r="X26" s="1312"/>
      <c r="Y26" s="3681"/>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6"/>
      <c r="Q27" s="1317">
        <f t="shared" si="11"/>
        <v>111</v>
      </c>
      <c r="R27" s="1313" t="s">
        <v>1152</v>
      </c>
      <c r="S27" s="1314">
        <f t="shared" si="12"/>
        <v>100</v>
      </c>
      <c r="T27" s="1313" t="s">
        <v>1152</v>
      </c>
      <c r="U27" s="1314">
        <f t="shared" si="13"/>
        <v>100</v>
      </c>
      <c r="V27" s="1313" t="s">
        <v>1152</v>
      </c>
      <c r="W27" s="1314">
        <f t="shared" si="14"/>
        <v>100</v>
      </c>
      <c r="X27" s="1315"/>
      <c r="Y27" s="3681"/>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6"/>
      <c r="Q28" s="682">
        <f t="shared" si="11"/>
        <v>111</v>
      </c>
      <c r="R28" s="1318" t="s">
        <v>1152</v>
      </c>
      <c r="S28" s="1319">
        <f t="shared" si="12"/>
        <v>100</v>
      </c>
      <c r="T28" s="1318" t="s">
        <v>1152</v>
      </c>
      <c r="U28" s="1319">
        <f t="shared" si="13"/>
        <v>100</v>
      </c>
      <c r="V28" s="1318" t="s">
        <v>1152</v>
      </c>
      <c r="W28" s="1319">
        <f t="shared" si="14"/>
        <v>100</v>
      </c>
      <c r="X28" s="1312"/>
      <c r="Y28" s="3681"/>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6"/>
      <c r="Q29" s="682">
        <f t="shared" si="11"/>
        <v>111</v>
      </c>
      <c r="R29" s="1318" t="s">
        <v>1152</v>
      </c>
      <c r="S29" s="1319">
        <f t="shared" si="12"/>
        <v>100</v>
      </c>
      <c r="T29" s="1318" t="s">
        <v>1152</v>
      </c>
      <c r="U29" s="1319">
        <f t="shared" si="13"/>
        <v>100</v>
      </c>
      <c r="V29" s="1318" t="s">
        <v>1152</v>
      </c>
      <c r="W29" s="1319">
        <f t="shared" si="14"/>
        <v>100</v>
      </c>
      <c r="X29" s="1312"/>
      <c r="Y29" s="3681"/>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6"/>
      <c r="Q30" s="682">
        <f t="shared" si="11"/>
        <v>111</v>
      </c>
      <c r="R30" s="1318" t="s">
        <v>1152</v>
      </c>
      <c r="S30" s="1319">
        <f t="shared" si="12"/>
        <v>100</v>
      </c>
      <c r="T30" s="1318" t="s">
        <v>1152</v>
      </c>
      <c r="U30" s="1319">
        <f t="shared" si="13"/>
        <v>100</v>
      </c>
      <c r="V30" s="1318" t="s">
        <v>1152</v>
      </c>
      <c r="W30" s="1319">
        <f t="shared" si="14"/>
        <v>100</v>
      </c>
      <c r="X30" s="1312"/>
      <c r="Y30" s="3681"/>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6"/>
      <c r="Q31" s="682">
        <f t="shared" si="11"/>
        <v>111</v>
      </c>
      <c r="R31" s="1318" t="s">
        <v>1152</v>
      </c>
      <c r="S31" s="1319">
        <f t="shared" si="12"/>
        <v>100</v>
      </c>
      <c r="T31" s="1318" t="s">
        <v>1152</v>
      </c>
      <c r="U31" s="1319">
        <f t="shared" si="13"/>
        <v>100</v>
      </c>
      <c r="V31" s="1318" t="s">
        <v>1152</v>
      </c>
      <c r="W31" s="1319">
        <f t="shared" si="14"/>
        <v>100</v>
      </c>
      <c r="X31" s="1312"/>
      <c r="Y31" s="3681"/>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7" t="s">
        <v>1182</v>
      </c>
      <c r="Q32" s="682" t="str">
        <f t="shared" si="11"/>
        <v>建筑类型</v>
      </c>
      <c r="R32" s="1318" t="s">
        <v>1152</v>
      </c>
      <c r="S32" s="1319">
        <f t="shared" si="12"/>
        <v>100</v>
      </c>
      <c r="T32" s="1318" t="s">
        <v>1152</v>
      </c>
      <c r="U32" s="1319">
        <f t="shared" si="13"/>
        <v>100</v>
      </c>
      <c r="V32" s="1318" t="s">
        <v>1152</v>
      </c>
      <c r="W32" s="1319">
        <f t="shared" si="14"/>
        <v>100</v>
      </c>
      <c r="X32" s="1312"/>
      <c r="Y32" s="3682"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8"/>
      <c r="Q33" s="1546" t="str">
        <f t="shared" si="11"/>
        <v>项目建筑规模</v>
      </c>
      <c r="R33" s="1320" t="s">
        <v>1152</v>
      </c>
      <c r="S33" s="1321" t="e">
        <f t="shared" si="12"/>
        <v>#N/A</v>
      </c>
      <c r="T33" s="1320" t="s">
        <v>1152</v>
      </c>
      <c r="U33" s="1321" t="e">
        <f t="shared" si="13"/>
        <v>#N/A</v>
      </c>
      <c r="V33" s="1320" t="s">
        <v>1152</v>
      </c>
      <c r="W33" s="1321" t="e">
        <f t="shared" si="14"/>
        <v>#N/A</v>
      </c>
      <c r="X33" s="1322"/>
      <c r="Y33" s="3682"/>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8"/>
      <c r="Q34" s="682" t="str">
        <f t="shared" si="11"/>
        <v>建筑结构</v>
      </c>
      <c r="R34" s="1318" t="s">
        <v>1152</v>
      </c>
      <c r="S34" s="1319">
        <f t="shared" si="12"/>
        <v>100</v>
      </c>
      <c r="T34" s="1318" t="s">
        <v>1152</v>
      </c>
      <c r="U34" s="1319">
        <f t="shared" si="13"/>
        <v>100</v>
      </c>
      <c r="V34" s="1318" t="s">
        <v>1152</v>
      </c>
      <c r="W34" s="1319">
        <f t="shared" si="14"/>
        <v>100</v>
      </c>
      <c r="X34" s="1312"/>
      <c r="Y34" s="3682"/>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8"/>
      <c r="Q35" s="682" t="str">
        <f t="shared" si="11"/>
        <v>建筑品质</v>
      </c>
      <c r="R35" s="1318" t="s">
        <v>1152</v>
      </c>
      <c r="S35" s="1319">
        <f t="shared" si="12"/>
        <v>100</v>
      </c>
      <c r="T35" s="1318" t="s">
        <v>1152</v>
      </c>
      <c r="U35" s="1319">
        <f t="shared" si="13"/>
        <v>100</v>
      </c>
      <c r="V35" s="1318" t="s">
        <v>1152</v>
      </c>
      <c r="W35" s="1319">
        <f t="shared" si="14"/>
        <v>100</v>
      </c>
      <c r="X35" s="1312"/>
      <c r="Y35" s="3682"/>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8"/>
      <c r="Q36" s="682" t="str">
        <f t="shared" si="11"/>
        <v>公共部分装修</v>
      </c>
      <c r="R36" s="1318" t="s">
        <v>1152</v>
      </c>
      <c r="S36" s="1319">
        <f t="shared" si="12"/>
        <v>100</v>
      </c>
      <c r="T36" s="1318" t="s">
        <v>1152</v>
      </c>
      <c r="U36" s="1319">
        <f t="shared" si="13"/>
        <v>100</v>
      </c>
      <c r="V36" s="1318" t="s">
        <v>1152</v>
      </c>
      <c r="W36" s="1319">
        <f t="shared" si="14"/>
        <v>100</v>
      </c>
      <c r="X36" s="1312"/>
      <c r="Y36" s="3682"/>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8"/>
      <c r="Q37" s="1317" t="str">
        <f t="shared" si="11"/>
        <v>成新度</v>
      </c>
      <c r="R37" s="1313" t="s">
        <v>1152</v>
      </c>
      <c r="S37" s="1314" t="e">
        <f t="shared" si="12"/>
        <v>#N/A</v>
      </c>
      <c r="T37" s="1313" t="s">
        <v>1152</v>
      </c>
      <c r="U37" s="1314" t="e">
        <f t="shared" si="13"/>
        <v>#N/A</v>
      </c>
      <c r="V37" s="1313" t="s">
        <v>1152</v>
      </c>
      <c r="W37" s="1314" t="e">
        <f t="shared" si="14"/>
        <v>#N/A</v>
      </c>
      <c r="X37" s="1315"/>
      <c r="Y37" s="3682"/>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8" t="s">
        <v>1182</v>
      </c>
      <c r="Q38" s="682" t="str">
        <f t="shared" si="11"/>
        <v>物业管理</v>
      </c>
      <c r="R38" s="1318" t="s">
        <v>1152</v>
      </c>
      <c r="S38" s="1319">
        <f t="shared" si="12"/>
        <v>100</v>
      </c>
      <c r="T38" s="1318" t="s">
        <v>1152</v>
      </c>
      <c r="U38" s="1319">
        <f t="shared" si="13"/>
        <v>100</v>
      </c>
      <c r="V38" s="1318" t="s">
        <v>1152</v>
      </c>
      <c r="W38" s="1319">
        <f t="shared" si="14"/>
        <v>100</v>
      </c>
      <c r="X38" s="1312"/>
      <c r="Y38" s="3682"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8"/>
      <c r="Q39" s="682" t="str">
        <f t="shared" si="11"/>
        <v>市政基础设施</v>
      </c>
      <c r="R39" s="1318" t="s">
        <v>1152</v>
      </c>
      <c r="S39" s="1319">
        <f t="shared" si="12"/>
        <v>100</v>
      </c>
      <c r="T39" s="1318" t="s">
        <v>1152</v>
      </c>
      <c r="U39" s="1319">
        <f t="shared" si="13"/>
        <v>100</v>
      </c>
      <c r="V39" s="1318" t="s">
        <v>1152</v>
      </c>
      <c r="W39" s="1319">
        <f t="shared" si="14"/>
        <v>100</v>
      </c>
      <c r="X39" s="1312"/>
      <c r="Y39" s="3682"/>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8"/>
      <c r="Q40" s="682" t="str">
        <f t="shared" si="11"/>
        <v>房型</v>
      </c>
      <c r="R40" s="1318" t="s">
        <v>1152</v>
      </c>
      <c r="S40" s="1319">
        <f t="shared" si="12"/>
        <v>100</v>
      </c>
      <c r="T40" s="1318" t="s">
        <v>1152</v>
      </c>
      <c r="U40" s="1319">
        <f t="shared" si="13"/>
        <v>100</v>
      </c>
      <c r="V40" s="1318" t="s">
        <v>1152</v>
      </c>
      <c r="W40" s="1319">
        <f t="shared" si="14"/>
        <v>100</v>
      </c>
      <c r="X40" s="1312"/>
      <c r="Y40" s="3682"/>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8"/>
      <c r="Q41" s="1546" t="str">
        <f t="shared" si="11"/>
        <v>单套/主力户型建筑面积</v>
      </c>
      <c r="R41" s="1320" t="s">
        <v>1152</v>
      </c>
      <c r="S41" s="1321">
        <f t="shared" si="12"/>
        <v>100</v>
      </c>
      <c r="T41" s="1320" t="s">
        <v>1152</v>
      </c>
      <c r="U41" s="1321">
        <f t="shared" si="13"/>
        <v>100</v>
      </c>
      <c r="V41" s="1320" t="s">
        <v>1152</v>
      </c>
      <c r="W41" s="1321">
        <f t="shared" si="14"/>
        <v>100</v>
      </c>
      <c r="X41" s="1322"/>
      <c r="Y41" s="3682"/>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8"/>
      <c r="Q42" s="682" t="str">
        <f t="shared" si="11"/>
        <v>内部装修</v>
      </c>
      <c r="R42" s="1318" t="s">
        <v>1152</v>
      </c>
      <c r="S42" s="1319">
        <f t="shared" si="12"/>
        <v>100</v>
      </c>
      <c r="T42" s="1318" t="s">
        <v>1152</v>
      </c>
      <c r="U42" s="1319">
        <f t="shared" si="13"/>
        <v>100</v>
      </c>
      <c r="V42" s="1318" t="s">
        <v>1152</v>
      </c>
      <c r="W42" s="1319">
        <f t="shared" si="14"/>
        <v>100</v>
      </c>
      <c r="X42" s="1312"/>
      <c r="Y42" s="3682"/>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8"/>
      <c r="Q43" s="682" t="str">
        <f t="shared" si="11"/>
        <v>内部装修维护情况</v>
      </c>
      <c r="R43" s="1318" t="s">
        <v>1152</v>
      </c>
      <c r="S43" s="1319">
        <f t="shared" si="12"/>
        <v>100</v>
      </c>
      <c r="T43" s="1318" t="s">
        <v>1152</v>
      </c>
      <c r="U43" s="1319">
        <f t="shared" si="13"/>
        <v>100</v>
      </c>
      <c r="V43" s="1318" t="s">
        <v>1152</v>
      </c>
      <c r="W43" s="1319">
        <f t="shared" si="14"/>
        <v>100</v>
      </c>
      <c r="X43" s="1312"/>
      <c r="Y43" s="3682"/>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8"/>
      <c r="Q44" s="1317">
        <f t="shared" si="11"/>
        <v>111</v>
      </c>
      <c r="R44" s="1313" t="s">
        <v>1152</v>
      </c>
      <c r="S44" s="1314">
        <f t="shared" si="12"/>
        <v>100</v>
      </c>
      <c r="T44" s="1313" t="s">
        <v>1152</v>
      </c>
      <c r="U44" s="1314">
        <f t="shared" si="13"/>
        <v>100</v>
      </c>
      <c r="V44" s="1313" t="s">
        <v>1152</v>
      </c>
      <c r="W44" s="1314">
        <f t="shared" si="14"/>
        <v>100</v>
      </c>
      <c r="X44" s="1315"/>
      <c r="Y44" s="3682"/>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8"/>
      <c r="Q45" s="682">
        <f t="shared" si="11"/>
        <v>111</v>
      </c>
      <c r="R45" s="1318" t="s">
        <v>1152</v>
      </c>
      <c r="S45" s="1319">
        <f t="shared" si="12"/>
        <v>100</v>
      </c>
      <c r="T45" s="1318" t="s">
        <v>1152</v>
      </c>
      <c r="U45" s="1319">
        <f t="shared" si="13"/>
        <v>100</v>
      </c>
      <c r="V45" s="1318" t="s">
        <v>1152</v>
      </c>
      <c r="W45" s="1319">
        <f t="shared" si="14"/>
        <v>100</v>
      </c>
      <c r="X45" s="1312"/>
      <c r="Y45" s="3682"/>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9"/>
      <c r="Q46" s="682">
        <f t="shared" si="11"/>
        <v>111</v>
      </c>
      <c r="R46" s="1318" t="s">
        <v>1152</v>
      </c>
      <c r="S46" s="1319">
        <f t="shared" si="12"/>
        <v>100</v>
      </c>
      <c r="T46" s="1318" t="s">
        <v>1152</v>
      </c>
      <c r="U46" s="1319">
        <f t="shared" si="13"/>
        <v>100</v>
      </c>
      <c r="V46" s="1318" t="s">
        <v>1152</v>
      </c>
      <c r="W46" s="1319">
        <f t="shared" si="14"/>
        <v>100</v>
      </c>
      <c r="X46" s="1312"/>
      <c r="Y46" s="3683"/>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7" t="str">
        <f>A47</f>
        <v>成交单价（元/平方米）</v>
      </c>
      <c r="Q47" s="3667"/>
      <c r="R47" s="3668">
        <f>E47</f>
        <v>0</v>
      </c>
      <c r="S47" s="3668"/>
      <c r="T47" s="3668">
        <f>G47</f>
        <v>0</v>
      </c>
      <c r="U47" s="3668"/>
      <c r="V47" s="3668">
        <f>I47</f>
        <v>0</v>
      </c>
      <c r="W47" s="3668"/>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98.8</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89" t="s">
        <v>1141</v>
      </c>
      <c r="D4" s="3690"/>
      <c r="E4" s="3691" t="s">
        <v>1142</v>
      </c>
      <c r="F4" s="3692"/>
      <c r="G4" s="3689" t="s">
        <v>1143</v>
      </c>
      <c r="H4" s="3690"/>
      <c r="I4" s="3689" t="s">
        <v>1144</v>
      </c>
      <c r="J4" s="3690"/>
      <c r="K4" s="1268" t="s">
        <v>1145</v>
      </c>
      <c r="L4" s="1269"/>
      <c r="M4" s="1270"/>
      <c r="N4" s="1270"/>
      <c r="O4" s="1270"/>
      <c r="P4" s="3729" t="s">
        <v>1146</v>
      </c>
      <c r="Q4" s="3730"/>
      <c r="R4" s="3733" t="s">
        <v>1142</v>
      </c>
      <c r="S4" s="3734"/>
      <c r="T4" s="3733" t="s">
        <v>1143</v>
      </c>
      <c r="U4" s="3734"/>
      <c r="V4" s="3735" t="s">
        <v>1144</v>
      </c>
      <c r="W4" s="3735"/>
      <c r="X4" s="1670"/>
      <c r="Y4" s="3733" t="s">
        <v>1146</v>
      </c>
      <c r="Z4" s="3734"/>
      <c r="AA4" s="3725" t="s">
        <v>1142</v>
      </c>
      <c r="AB4" s="3725" t="s">
        <v>1143</v>
      </c>
      <c r="AC4" s="3726" t="s">
        <v>1144</v>
      </c>
    </row>
    <row r="5" spans="1:29" ht="15">
      <c r="A5" s="1123"/>
      <c r="B5" s="1124"/>
      <c r="C5" s="3723" t="s">
        <v>1147</v>
      </c>
      <c r="D5" s="3694"/>
      <c r="E5" s="3724" t="s">
        <v>1602</v>
      </c>
      <c r="F5" s="3696"/>
      <c r="G5" s="3723" t="s">
        <v>1603</v>
      </c>
      <c r="H5" s="3694"/>
      <c r="I5" s="3723" t="s">
        <v>1604</v>
      </c>
      <c r="J5" s="3694"/>
      <c r="K5" s="1268"/>
      <c r="L5" s="1269"/>
      <c r="M5" s="1270"/>
      <c r="N5" s="1270"/>
      <c r="O5" s="1270"/>
      <c r="P5" s="3731"/>
      <c r="Q5" s="3658"/>
      <c r="R5" s="3663"/>
      <c r="S5" s="3664"/>
      <c r="T5" s="3663"/>
      <c r="U5" s="3664"/>
      <c r="V5" s="3654"/>
      <c r="W5" s="3654"/>
      <c r="X5" s="1312"/>
      <c r="Y5" s="3663"/>
      <c r="Z5" s="3664"/>
      <c r="AA5" s="3652"/>
      <c r="AB5" s="3652"/>
      <c r="AC5" s="3727"/>
    </row>
    <row r="6" spans="1:29" ht="15">
      <c r="A6" s="1125"/>
      <c r="B6" s="1126"/>
      <c r="C6" s="3684" t="s">
        <v>1148</v>
      </c>
      <c r="D6" s="3685"/>
      <c r="E6" s="3686" t="s">
        <v>1148</v>
      </c>
      <c r="F6" s="3687"/>
      <c r="G6" s="3684" t="s">
        <v>1148</v>
      </c>
      <c r="H6" s="3685"/>
      <c r="I6" s="3684" t="s">
        <v>1148</v>
      </c>
      <c r="J6" s="3685"/>
      <c r="K6" s="1268" t="s">
        <v>1149</v>
      </c>
      <c r="L6" s="1269"/>
      <c r="M6" s="1270"/>
      <c r="N6" s="1270"/>
      <c r="O6" s="1270"/>
      <c r="P6" s="3732"/>
      <c r="Q6" s="3660"/>
      <c r="R6" s="3663"/>
      <c r="S6" s="3664"/>
      <c r="T6" s="3665"/>
      <c r="U6" s="3666"/>
      <c r="V6" s="3654"/>
      <c r="W6" s="3654"/>
      <c r="X6" s="1312"/>
      <c r="Y6" s="3665"/>
      <c r="Z6" s="3666"/>
      <c r="AA6" s="3653"/>
      <c r="AB6" s="3653"/>
      <c r="AC6" s="3728"/>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39" t="s">
        <v>1151</v>
      </c>
      <c r="Q7" s="3688"/>
      <c r="R7" s="1313" t="s">
        <v>1152</v>
      </c>
      <c r="S7" s="1314">
        <f t="shared" ref="S7:S15" si="0">F7</f>
        <v>0</v>
      </c>
      <c r="T7" s="1313" t="s">
        <v>1152</v>
      </c>
      <c r="U7" s="1314">
        <f t="shared" ref="U7:U15" si="1">H7</f>
        <v>0</v>
      </c>
      <c r="V7" s="1313" t="s">
        <v>1152</v>
      </c>
      <c r="W7" s="1314">
        <f t="shared" ref="W7:W15" si="2">J7</f>
        <v>0</v>
      </c>
      <c r="X7" s="1315"/>
      <c r="Y7" s="3672" t="s">
        <v>1151</v>
      </c>
      <c r="Z7" s="3673"/>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39" t="s">
        <v>1156</v>
      </c>
      <c r="Q8" s="3673"/>
      <c r="R8" s="1313" t="s">
        <v>1152</v>
      </c>
      <c r="S8" s="1314">
        <f t="shared" si="0"/>
        <v>100</v>
      </c>
      <c r="T8" s="1313" t="s">
        <v>1152</v>
      </c>
      <c r="U8" s="1314">
        <f t="shared" si="1"/>
        <v>100</v>
      </c>
      <c r="V8" s="1313" t="s">
        <v>1152</v>
      </c>
      <c r="W8" s="1314">
        <f t="shared" si="2"/>
        <v>100</v>
      </c>
      <c r="X8" s="1315"/>
      <c r="Y8" s="3672" t="s">
        <v>1156</v>
      </c>
      <c r="Z8" s="3673"/>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74"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74"/>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74"/>
      <c r="Q11" s="1317" t="str">
        <f t="shared" si="6"/>
        <v>容积率</v>
      </c>
      <c r="R11" s="1313" t="s">
        <v>1152</v>
      </c>
      <c r="S11" s="1314">
        <f t="shared" si="0"/>
        <v>100</v>
      </c>
      <c r="T11" s="1313" t="s">
        <v>1152</v>
      </c>
      <c r="U11" s="1314">
        <f t="shared" si="1"/>
        <v>100</v>
      </c>
      <c r="V11" s="1313" t="s">
        <v>1152</v>
      </c>
      <c r="W11" s="1314">
        <f t="shared" si="2"/>
        <v>100</v>
      </c>
      <c r="X11" s="1315"/>
      <c r="Y11" s="3563"/>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74"/>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74"/>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74"/>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5" t="s">
        <v>1165</v>
      </c>
      <c r="Q15" s="682" t="str">
        <f t="shared" si="6"/>
        <v>办公集聚程度</v>
      </c>
      <c r="R15" s="1318" t="s">
        <v>1152</v>
      </c>
      <c r="S15" s="1319">
        <f t="shared" si="0"/>
        <v>100</v>
      </c>
      <c r="T15" s="1318" t="s">
        <v>1152</v>
      </c>
      <c r="U15" s="1319">
        <f t="shared" si="1"/>
        <v>100</v>
      </c>
      <c r="V15" s="1318" t="s">
        <v>1152</v>
      </c>
      <c r="W15" s="1319">
        <f t="shared" si="2"/>
        <v>100</v>
      </c>
      <c r="X15" s="1312"/>
      <c r="Y15" s="3680"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6"/>
      <c r="Q16" s="682"/>
      <c r="R16" s="1318"/>
      <c r="S16" s="1319"/>
      <c r="T16" s="1318"/>
      <c r="U16" s="1319"/>
      <c r="V16" s="1318"/>
      <c r="W16" s="1319"/>
      <c r="X16" s="1312"/>
      <c r="Y16" s="3681"/>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6"/>
      <c r="Q17" s="682" t="str">
        <f>B17</f>
        <v>交通便捷度</v>
      </c>
      <c r="R17" s="1318" t="s">
        <v>1152</v>
      </c>
      <c r="S17" s="1319">
        <f>F17</f>
        <v>100</v>
      </c>
      <c r="T17" s="1318" t="s">
        <v>1152</v>
      </c>
      <c r="U17" s="1319">
        <f>H17</f>
        <v>100</v>
      </c>
      <c r="V17" s="1318" t="s">
        <v>1152</v>
      </c>
      <c r="W17" s="1319">
        <f>J17</f>
        <v>100</v>
      </c>
      <c r="X17" s="1312"/>
      <c r="Y17" s="3681"/>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6"/>
      <c r="Q18" s="682"/>
      <c r="R18" s="1318"/>
      <c r="S18" s="1319"/>
      <c r="T18" s="1318"/>
      <c r="U18" s="1319"/>
      <c r="V18" s="1318"/>
      <c r="W18" s="1319"/>
      <c r="X18" s="1312"/>
      <c r="Y18" s="3681"/>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6"/>
      <c r="Q19" s="682" t="str">
        <f>B19</f>
        <v>公共配套设施</v>
      </c>
      <c r="R19" s="1318" t="s">
        <v>1152</v>
      </c>
      <c r="S19" s="1319">
        <f>F19</f>
        <v>100</v>
      </c>
      <c r="T19" s="1318" t="s">
        <v>1152</v>
      </c>
      <c r="U19" s="1319">
        <f>H19</f>
        <v>100</v>
      </c>
      <c r="V19" s="1318" t="s">
        <v>1152</v>
      </c>
      <c r="W19" s="1319">
        <f>J19</f>
        <v>100</v>
      </c>
      <c r="X19" s="1312"/>
      <c r="Y19" s="3681"/>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6"/>
      <c r="Q20" s="682"/>
      <c r="R20" s="1318"/>
      <c r="S20" s="1319"/>
      <c r="T20" s="1318"/>
      <c r="U20" s="1319"/>
      <c r="V20" s="1318"/>
      <c r="W20" s="1319"/>
      <c r="X20" s="1312"/>
      <c r="Y20" s="3681"/>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6"/>
      <c r="Q21" s="682" t="str">
        <f>B21</f>
        <v>基础设施水平</v>
      </c>
      <c r="R21" s="1318" t="s">
        <v>1152</v>
      </c>
      <c r="S21" s="1319">
        <f>F21</f>
        <v>100</v>
      </c>
      <c r="T21" s="1318" t="s">
        <v>1152</v>
      </c>
      <c r="U21" s="1319">
        <f>H21</f>
        <v>100</v>
      </c>
      <c r="V21" s="1318" t="s">
        <v>1152</v>
      </c>
      <c r="W21" s="1319">
        <f>J21</f>
        <v>100</v>
      </c>
      <c r="X21" s="1312"/>
      <c r="Y21" s="3681"/>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6"/>
      <c r="Q22" s="682"/>
      <c r="R22" s="1318"/>
      <c r="S22" s="1319"/>
      <c r="T22" s="1318"/>
      <c r="U22" s="1319"/>
      <c r="V22" s="1318"/>
      <c r="W22" s="1319"/>
      <c r="X22" s="1312"/>
      <c r="Y22" s="3681"/>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6"/>
      <c r="Q23" s="682" t="str">
        <f>B23</f>
        <v>环境质量</v>
      </c>
      <c r="R23" s="1318" t="s">
        <v>1152</v>
      </c>
      <c r="S23" s="1319">
        <f>F23</f>
        <v>100</v>
      </c>
      <c r="T23" s="1318" t="s">
        <v>1152</v>
      </c>
      <c r="U23" s="1319">
        <f>H23</f>
        <v>100</v>
      </c>
      <c r="V23" s="1318" t="s">
        <v>1152</v>
      </c>
      <c r="W23" s="1319">
        <f>J23</f>
        <v>100</v>
      </c>
      <c r="X23" s="1312"/>
      <c r="Y23" s="3681"/>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6"/>
      <c r="Q24" s="682"/>
      <c r="R24" s="1318"/>
      <c r="S24" s="1319"/>
      <c r="T24" s="1318"/>
      <c r="U24" s="1319"/>
      <c r="V24" s="1318"/>
      <c r="W24" s="1319"/>
      <c r="X24" s="1312"/>
      <c r="Y24" s="3681"/>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6"/>
      <c r="Q25" s="682" t="str">
        <f>B25</f>
        <v>毗邻道路的类型与等级</v>
      </c>
      <c r="R25" s="1318" t="s">
        <v>1152</v>
      </c>
      <c r="S25" s="1319">
        <f>F25</f>
        <v>100</v>
      </c>
      <c r="T25" s="1318" t="s">
        <v>1152</v>
      </c>
      <c r="U25" s="1319">
        <f>H25</f>
        <v>100</v>
      </c>
      <c r="V25" s="1318" t="s">
        <v>1152</v>
      </c>
      <c r="W25" s="1319">
        <f>J25</f>
        <v>100</v>
      </c>
      <c r="X25" s="1312"/>
      <c r="Y25" s="3681"/>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6"/>
      <c r="Q26" s="682"/>
      <c r="R26" s="1318"/>
      <c r="S26" s="1319"/>
      <c r="T26" s="1318"/>
      <c r="U26" s="1319"/>
      <c r="V26" s="1318"/>
      <c r="W26" s="1319"/>
      <c r="X26" s="1312"/>
      <c r="Y26" s="3681"/>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6"/>
      <c r="Q27" s="682" t="str">
        <f t="shared" ref="Q27:Q47" si="11">B27</f>
        <v>楼层</v>
      </c>
      <c r="R27" s="1318" t="s">
        <v>1152</v>
      </c>
      <c r="S27" s="1319">
        <f>F27</f>
        <v>100</v>
      </c>
      <c r="T27" s="1318" t="s">
        <v>1152</v>
      </c>
      <c r="U27" s="1319">
        <f>H27</f>
        <v>100</v>
      </c>
      <c r="V27" s="1318" t="s">
        <v>1152</v>
      </c>
      <c r="W27" s="1319">
        <f>J27</f>
        <v>100</v>
      </c>
      <c r="X27" s="1312"/>
      <c r="Y27" s="3681"/>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6"/>
      <c r="Q28" s="1317" t="str">
        <f t="shared" si="11"/>
        <v>朝向</v>
      </c>
      <c r="R28" s="1313" t="s">
        <v>1152</v>
      </c>
      <c r="S28" s="1314">
        <f>F28</f>
        <v>100</v>
      </c>
      <c r="T28" s="1313" t="s">
        <v>1152</v>
      </c>
      <c r="U28" s="1314">
        <f>H28</f>
        <v>100</v>
      </c>
      <c r="V28" s="1313" t="s">
        <v>1152</v>
      </c>
      <c r="W28" s="1314">
        <f>J28</f>
        <v>100</v>
      </c>
      <c r="X28" s="1315"/>
      <c r="Y28" s="3681"/>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6"/>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81"/>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6"/>
      <c r="Q30" s="682">
        <f t="shared" si="11"/>
        <v>111</v>
      </c>
      <c r="R30" s="1318" t="s">
        <v>1152</v>
      </c>
      <c r="S30" s="1319">
        <f t="shared" si="12"/>
        <v>100</v>
      </c>
      <c r="T30" s="1318" t="s">
        <v>1152</v>
      </c>
      <c r="U30" s="1319">
        <f t="shared" si="13"/>
        <v>100</v>
      </c>
      <c r="V30" s="1318" t="s">
        <v>1152</v>
      </c>
      <c r="W30" s="1319">
        <f t="shared" si="14"/>
        <v>100</v>
      </c>
      <c r="X30" s="1312"/>
      <c r="Y30" s="3681"/>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6"/>
      <c r="Q31" s="682">
        <f t="shared" si="11"/>
        <v>111</v>
      </c>
      <c r="R31" s="1318" t="s">
        <v>1152</v>
      </c>
      <c r="S31" s="1319">
        <f t="shared" si="12"/>
        <v>100</v>
      </c>
      <c r="T31" s="1318" t="s">
        <v>1152</v>
      </c>
      <c r="U31" s="1319">
        <f t="shared" si="13"/>
        <v>100</v>
      </c>
      <c r="V31" s="1318" t="s">
        <v>1152</v>
      </c>
      <c r="W31" s="1319">
        <f t="shared" si="14"/>
        <v>100</v>
      </c>
      <c r="X31" s="1312"/>
      <c r="Y31" s="3681"/>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6"/>
      <c r="Q32" s="682">
        <f t="shared" si="11"/>
        <v>111</v>
      </c>
      <c r="R32" s="1318" t="s">
        <v>1152</v>
      </c>
      <c r="S32" s="1319">
        <f t="shared" si="12"/>
        <v>100</v>
      </c>
      <c r="T32" s="1318" t="s">
        <v>1152</v>
      </c>
      <c r="U32" s="1319">
        <f t="shared" si="13"/>
        <v>100</v>
      </c>
      <c r="V32" s="1318" t="s">
        <v>1152</v>
      </c>
      <c r="W32" s="1319">
        <f t="shared" si="14"/>
        <v>100</v>
      </c>
      <c r="X32" s="1312"/>
      <c r="Y32" s="3681"/>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7" t="s">
        <v>1182</v>
      </c>
      <c r="Q33" s="682" t="str">
        <f t="shared" si="11"/>
        <v>建筑类型</v>
      </c>
      <c r="R33" s="1318" t="s">
        <v>1152</v>
      </c>
      <c r="S33" s="1319">
        <f t="shared" si="12"/>
        <v>100</v>
      </c>
      <c r="T33" s="1318" t="s">
        <v>1152</v>
      </c>
      <c r="U33" s="1319">
        <f t="shared" si="13"/>
        <v>100</v>
      </c>
      <c r="V33" s="1318" t="s">
        <v>1152</v>
      </c>
      <c r="W33" s="1319">
        <f t="shared" si="14"/>
        <v>100</v>
      </c>
      <c r="X33" s="1312"/>
      <c r="Y33" s="3682"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8"/>
      <c r="Q34" s="1546" t="str">
        <f t="shared" si="11"/>
        <v>项目建筑规模</v>
      </c>
      <c r="R34" s="1320" t="s">
        <v>1152</v>
      </c>
      <c r="S34" s="1321" t="e">
        <f t="shared" si="12"/>
        <v>#N/A</v>
      </c>
      <c r="T34" s="1320" t="s">
        <v>1152</v>
      </c>
      <c r="U34" s="1321" t="e">
        <f t="shared" si="13"/>
        <v>#N/A</v>
      </c>
      <c r="V34" s="1320" t="s">
        <v>1152</v>
      </c>
      <c r="W34" s="1321" t="e">
        <f t="shared" si="14"/>
        <v>#N/A</v>
      </c>
      <c r="X34" s="1322"/>
      <c r="Y34" s="3682"/>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8"/>
      <c r="Q35" s="682" t="str">
        <f t="shared" si="11"/>
        <v>建筑结构</v>
      </c>
      <c r="R35" s="1318" t="s">
        <v>1152</v>
      </c>
      <c r="S35" s="1319">
        <f t="shared" si="12"/>
        <v>100</v>
      </c>
      <c r="T35" s="1318" t="s">
        <v>1152</v>
      </c>
      <c r="U35" s="1319">
        <f t="shared" si="13"/>
        <v>100</v>
      </c>
      <c r="V35" s="1318" t="s">
        <v>1152</v>
      </c>
      <c r="W35" s="1319">
        <f t="shared" si="14"/>
        <v>100</v>
      </c>
      <c r="X35" s="1312"/>
      <c r="Y35" s="3682"/>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8"/>
      <c r="Q36" s="682" t="str">
        <f t="shared" si="11"/>
        <v>公共部分装修</v>
      </c>
      <c r="R36" s="1318" t="s">
        <v>1152</v>
      </c>
      <c r="S36" s="1319">
        <f t="shared" si="12"/>
        <v>100</v>
      </c>
      <c r="T36" s="1318" t="s">
        <v>1152</v>
      </c>
      <c r="U36" s="1319">
        <f t="shared" si="13"/>
        <v>100</v>
      </c>
      <c r="V36" s="1318" t="s">
        <v>1152</v>
      </c>
      <c r="W36" s="1319">
        <f t="shared" si="14"/>
        <v>100</v>
      </c>
      <c r="X36" s="1312"/>
      <c r="Y36" s="3682"/>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8"/>
      <c r="Q37" s="682" t="str">
        <f t="shared" si="11"/>
        <v>成新度</v>
      </c>
      <c r="R37" s="1318" t="s">
        <v>1152</v>
      </c>
      <c r="S37" s="1319" t="e">
        <f t="shared" si="12"/>
        <v>#N/A</v>
      </c>
      <c r="T37" s="1318" t="s">
        <v>1152</v>
      </c>
      <c r="U37" s="1319" t="e">
        <f t="shared" si="13"/>
        <v>#N/A</v>
      </c>
      <c r="V37" s="1318" t="s">
        <v>1152</v>
      </c>
      <c r="W37" s="1319" t="e">
        <f t="shared" si="14"/>
        <v>#N/A</v>
      </c>
      <c r="X37" s="1312"/>
      <c r="Y37" s="3682"/>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8"/>
      <c r="Q38" s="1317" t="str">
        <f t="shared" si="11"/>
        <v>写字楼等级</v>
      </c>
      <c r="R38" s="1313" t="s">
        <v>1152</v>
      </c>
      <c r="S38" s="1314">
        <f t="shared" si="12"/>
        <v>100</v>
      </c>
      <c r="T38" s="1313" t="s">
        <v>1152</v>
      </c>
      <c r="U38" s="1314">
        <f t="shared" si="13"/>
        <v>100</v>
      </c>
      <c r="V38" s="1313" t="s">
        <v>1152</v>
      </c>
      <c r="W38" s="1314">
        <f t="shared" si="14"/>
        <v>100</v>
      </c>
      <c r="X38" s="1315"/>
      <c r="Y38" s="3682"/>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8" t="s">
        <v>1182</v>
      </c>
      <c r="Q39" s="682" t="str">
        <f t="shared" si="11"/>
        <v>物业管理</v>
      </c>
      <c r="R39" s="1318" t="s">
        <v>1152</v>
      </c>
      <c r="S39" s="1319">
        <f t="shared" si="12"/>
        <v>100</v>
      </c>
      <c r="T39" s="1318" t="s">
        <v>1152</v>
      </c>
      <c r="U39" s="1319">
        <f t="shared" si="13"/>
        <v>100</v>
      </c>
      <c r="V39" s="1318" t="s">
        <v>1152</v>
      </c>
      <c r="W39" s="1319">
        <f t="shared" si="14"/>
        <v>100</v>
      </c>
      <c r="X39" s="1312"/>
      <c r="Y39" s="3682"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8"/>
      <c r="Q40" s="682" t="str">
        <f t="shared" si="11"/>
        <v>市政基础设施</v>
      </c>
      <c r="R40" s="1318" t="s">
        <v>1152</v>
      </c>
      <c r="S40" s="1319">
        <f t="shared" si="12"/>
        <v>100</v>
      </c>
      <c r="T40" s="1318" t="s">
        <v>1152</v>
      </c>
      <c r="U40" s="1319">
        <f t="shared" si="13"/>
        <v>100</v>
      </c>
      <c r="V40" s="1318" t="s">
        <v>1152</v>
      </c>
      <c r="W40" s="1319">
        <f t="shared" si="14"/>
        <v>100</v>
      </c>
      <c r="X40" s="1312"/>
      <c r="Y40" s="3682"/>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8"/>
      <c r="Q41" s="682" t="str">
        <f t="shared" si="11"/>
        <v>层高</v>
      </c>
      <c r="R41" s="1318" t="s">
        <v>1152</v>
      </c>
      <c r="S41" s="1319">
        <f t="shared" si="12"/>
        <v>100</v>
      </c>
      <c r="T41" s="1318" t="s">
        <v>1152</v>
      </c>
      <c r="U41" s="1319">
        <f t="shared" si="13"/>
        <v>100</v>
      </c>
      <c r="V41" s="1318" t="s">
        <v>1152</v>
      </c>
      <c r="W41" s="1319">
        <f t="shared" si="14"/>
        <v>100</v>
      </c>
      <c r="X41" s="1312"/>
      <c r="Y41" s="3682"/>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8"/>
      <c r="Q42" s="1546" t="str">
        <f t="shared" si="11"/>
        <v>单套建筑面积</v>
      </c>
      <c r="R42" s="1320" t="s">
        <v>1152</v>
      </c>
      <c r="S42" s="1321">
        <f t="shared" si="12"/>
        <v>100</v>
      </c>
      <c r="T42" s="1320" t="s">
        <v>1152</v>
      </c>
      <c r="U42" s="1321">
        <f t="shared" si="13"/>
        <v>100</v>
      </c>
      <c r="V42" s="1320" t="s">
        <v>1152</v>
      </c>
      <c r="W42" s="1321">
        <f t="shared" si="14"/>
        <v>100</v>
      </c>
      <c r="X42" s="1322"/>
      <c r="Y42" s="3682"/>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8"/>
      <c r="Q43" s="682" t="str">
        <f t="shared" si="11"/>
        <v>内部装修</v>
      </c>
      <c r="R43" s="1318" t="s">
        <v>1152</v>
      </c>
      <c r="S43" s="1319">
        <f t="shared" si="12"/>
        <v>100</v>
      </c>
      <c r="T43" s="1318" t="s">
        <v>1152</v>
      </c>
      <c r="U43" s="1319">
        <f t="shared" si="13"/>
        <v>100</v>
      </c>
      <c r="V43" s="1318" t="s">
        <v>1152</v>
      </c>
      <c r="W43" s="1319">
        <f t="shared" si="14"/>
        <v>100</v>
      </c>
      <c r="X43" s="1312"/>
      <c r="Y43" s="3682"/>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8"/>
      <c r="Q44" s="682" t="str">
        <f t="shared" si="11"/>
        <v>内部装修维护情况</v>
      </c>
      <c r="R44" s="1318" t="s">
        <v>1152</v>
      </c>
      <c r="S44" s="1319">
        <f t="shared" si="12"/>
        <v>100</v>
      </c>
      <c r="T44" s="1318" t="s">
        <v>1152</v>
      </c>
      <c r="U44" s="1319">
        <f t="shared" si="13"/>
        <v>100</v>
      </c>
      <c r="V44" s="1318" t="s">
        <v>1152</v>
      </c>
      <c r="W44" s="1319">
        <f t="shared" si="14"/>
        <v>100</v>
      </c>
      <c r="X44" s="1312"/>
      <c r="Y44" s="3682"/>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8"/>
      <c r="Q45" s="1317">
        <f t="shared" si="11"/>
        <v>111</v>
      </c>
      <c r="R45" s="1313" t="s">
        <v>1152</v>
      </c>
      <c r="S45" s="1314">
        <f t="shared" si="12"/>
        <v>100</v>
      </c>
      <c r="T45" s="1313" t="s">
        <v>1152</v>
      </c>
      <c r="U45" s="1314">
        <f t="shared" si="13"/>
        <v>100</v>
      </c>
      <c r="V45" s="1313" t="s">
        <v>1152</v>
      </c>
      <c r="W45" s="1314">
        <f t="shared" si="14"/>
        <v>100</v>
      </c>
      <c r="X45" s="1315"/>
      <c r="Y45" s="3682"/>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8"/>
      <c r="Q46" s="682">
        <f t="shared" si="11"/>
        <v>111</v>
      </c>
      <c r="R46" s="1318" t="s">
        <v>1152</v>
      </c>
      <c r="S46" s="1319">
        <f t="shared" si="12"/>
        <v>100</v>
      </c>
      <c r="T46" s="1318" t="s">
        <v>1152</v>
      </c>
      <c r="U46" s="1319">
        <f t="shared" si="13"/>
        <v>100</v>
      </c>
      <c r="V46" s="1318" t="s">
        <v>1152</v>
      </c>
      <c r="W46" s="1319">
        <f t="shared" si="14"/>
        <v>100</v>
      </c>
      <c r="X46" s="1312"/>
      <c r="Y46" s="3682"/>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9"/>
      <c r="Q47" s="682">
        <f t="shared" si="11"/>
        <v>111</v>
      </c>
      <c r="R47" s="1318" t="s">
        <v>1152</v>
      </c>
      <c r="S47" s="1319">
        <f t="shared" si="12"/>
        <v>100</v>
      </c>
      <c r="T47" s="1318" t="s">
        <v>1152</v>
      </c>
      <c r="U47" s="1319">
        <f t="shared" si="13"/>
        <v>100</v>
      </c>
      <c r="V47" s="1318" t="s">
        <v>1152</v>
      </c>
      <c r="W47" s="1319">
        <f t="shared" si="14"/>
        <v>100</v>
      </c>
      <c r="X47" s="1312"/>
      <c r="Y47" s="3683"/>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74" t="str">
        <f>A48</f>
        <v>成交单价（元/平方米）</v>
      </c>
      <c r="Q48" s="3667"/>
      <c r="R48" s="3668">
        <f>E48</f>
        <v>0</v>
      </c>
      <c r="S48" s="3668"/>
      <c r="T48" s="3668">
        <f>G48</f>
        <v>0</v>
      </c>
      <c r="U48" s="3668"/>
      <c r="V48" s="3668">
        <f>I48</f>
        <v>0</v>
      </c>
      <c r="W48" s="3668"/>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74"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98.8</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89" t="s">
        <v>1141</v>
      </c>
      <c r="D4" s="3690"/>
      <c r="E4" s="3691" t="s">
        <v>1142</v>
      </c>
      <c r="F4" s="3692"/>
      <c r="G4" s="3689" t="s">
        <v>1143</v>
      </c>
      <c r="H4" s="3690"/>
      <c r="I4" s="3689" t="s">
        <v>1144</v>
      </c>
      <c r="J4" s="3690"/>
      <c r="K4" s="1268" t="s">
        <v>1145</v>
      </c>
      <c r="L4" s="1623"/>
      <c r="M4" s="1624"/>
      <c r="N4" s="1624"/>
      <c r="O4" s="1624"/>
      <c r="P4" s="3655" t="s">
        <v>1146</v>
      </c>
      <c r="Q4" s="3656"/>
      <c r="R4" s="3661" t="s">
        <v>1142</v>
      </c>
      <c r="S4" s="3662"/>
      <c r="T4" s="3661" t="s">
        <v>1143</v>
      </c>
      <c r="U4" s="3662"/>
      <c r="V4" s="3654" t="s">
        <v>1144</v>
      </c>
      <c r="W4" s="3654"/>
      <c r="X4" s="1312"/>
      <c r="Y4" s="3661" t="s">
        <v>1146</v>
      </c>
      <c r="Z4" s="3662"/>
      <c r="AA4" s="3651" t="s">
        <v>1142</v>
      </c>
      <c r="AB4" s="3652" t="s">
        <v>1143</v>
      </c>
      <c r="AC4" s="3651" t="s">
        <v>1144</v>
      </c>
    </row>
    <row r="5" spans="1:29" ht="15">
      <c r="A5" s="1123"/>
      <c r="B5" s="1124"/>
      <c r="C5" s="3723" t="s">
        <v>1147</v>
      </c>
      <c r="D5" s="3694"/>
      <c r="E5" s="3724" t="s">
        <v>1602</v>
      </c>
      <c r="F5" s="3696"/>
      <c r="G5" s="3723" t="s">
        <v>1603</v>
      </c>
      <c r="H5" s="3694"/>
      <c r="I5" s="3723" t="s">
        <v>1604</v>
      </c>
      <c r="J5" s="3694"/>
      <c r="K5" s="1268"/>
      <c r="L5" s="1623"/>
      <c r="M5" s="1624"/>
      <c r="N5" s="1624"/>
      <c r="O5" s="1624"/>
      <c r="P5" s="3657"/>
      <c r="Q5" s="3658"/>
      <c r="R5" s="3663"/>
      <c r="S5" s="3664"/>
      <c r="T5" s="3663"/>
      <c r="U5" s="3664"/>
      <c r="V5" s="3654"/>
      <c r="W5" s="3654"/>
      <c r="X5" s="1312"/>
      <c r="Y5" s="3663"/>
      <c r="Z5" s="3664"/>
      <c r="AA5" s="3652"/>
      <c r="AB5" s="3652"/>
      <c r="AC5" s="3652"/>
    </row>
    <row r="6" spans="1:29" ht="15">
      <c r="A6" s="1125"/>
      <c r="B6" s="1126"/>
      <c r="C6" s="3684" t="s">
        <v>1148</v>
      </c>
      <c r="D6" s="3685"/>
      <c r="E6" s="3686" t="s">
        <v>1148</v>
      </c>
      <c r="F6" s="3687"/>
      <c r="G6" s="3684" t="s">
        <v>1148</v>
      </c>
      <c r="H6" s="3685"/>
      <c r="I6" s="3684" t="s">
        <v>1148</v>
      </c>
      <c r="J6" s="3685"/>
      <c r="K6" s="1268" t="s">
        <v>1149</v>
      </c>
      <c r="L6" s="1623"/>
      <c r="M6" s="1624"/>
      <c r="N6" s="1624"/>
      <c r="O6" s="1624"/>
      <c r="P6" s="3659"/>
      <c r="Q6" s="3660"/>
      <c r="R6" s="3663"/>
      <c r="S6" s="3664"/>
      <c r="T6" s="3665"/>
      <c r="U6" s="3666"/>
      <c r="V6" s="3654"/>
      <c r="W6" s="3654"/>
      <c r="X6" s="1312"/>
      <c r="Y6" s="3665"/>
      <c r="Z6" s="3666"/>
      <c r="AA6" s="3653"/>
      <c r="AB6" s="3653"/>
      <c r="AC6" s="3653"/>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72" t="s">
        <v>1151</v>
      </c>
      <c r="Q7" s="3688"/>
      <c r="R7" s="1313" t="s">
        <v>1152</v>
      </c>
      <c r="S7" s="1314">
        <f t="shared" ref="S7:S15" si="0">F7</f>
        <v>0</v>
      </c>
      <c r="T7" s="1313" t="s">
        <v>1152</v>
      </c>
      <c r="U7" s="1314">
        <f t="shared" ref="U7:U15" si="1">H7</f>
        <v>0</v>
      </c>
      <c r="V7" s="1313" t="s">
        <v>1152</v>
      </c>
      <c r="W7" s="1314">
        <f t="shared" ref="W7:W15" si="2">J7</f>
        <v>0</v>
      </c>
      <c r="X7" s="1315"/>
      <c r="Y7" s="3672" t="s">
        <v>1151</v>
      </c>
      <c r="Z7" s="3673"/>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72" t="s">
        <v>1156</v>
      </c>
      <c r="Q8" s="3673"/>
      <c r="R8" s="1313" t="s">
        <v>1152</v>
      </c>
      <c r="S8" s="1314">
        <f t="shared" si="0"/>
        <v>100</v>
      </c>
      <c r="T8" s="1313" t="s">
        <v>1152</v>
      </c>
      <c r="U8" s="1314">
        <f t="shared" si="1"/>
        <v>100</v>
      </c>
      <c r="V8" s="1313" t="s">
        <v>1152</v>
      </c>
      <c r="W8" s="1314">
        <f t="shared" si="2"/>
        <v>100</v>
      </c>
      <c r="X8" s="1315"/>
      <c r="Y8" s="3672" t="s">
        <v>1156</v>
      </c>
      <c r="Z8" s="3673"/>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7"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7"/>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7"/>
      <c r="Q11" s="1317" t="str">
        <f t="shared" si="6"/>
        <v>容积率</v>
      </c>
      <c r="R11" s="1313" t="s">
        <v>1152</v>
      </c>
      <c r="S11" s="1314">
        <f t="shared" si="0"/>
        <v>100</v>
      </c>
      <c r="T11" s="1313" t="s">
        <v>1152</v>
      </c>
      <c r="U11" s="1314">
        <f t="shared" si="1"/>
        <v>100</v>
      </c>
      <c r="V11" s="1313" t="s">
        <v>1152</v>
      </c>
      <c r="W11" s="1314">
        <f t="shared" si="2"/>
        <v>100</v>
      </c>
      <c r="X11" s="1315"/>
      <c r="Y11" s="356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7"/>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7"/>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7"/>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80" t="s">
        <v>1165</v>
      </c>
      <c r="Q15" s="682" t="str">
        <f t="shared" si="6"/>
        <v>产业集聚程度</v>
      </c>
      <c r="R15" s="1318" t="s">
        <v>1152</v>
      </c>
      <c r="S15" s="1319">
        <f t="shared" si="0"/>
        <v>100</v>
      </c>
      <c r="T15" s="1318" t="s">
        <v>1152</v>
      </c>
      <c r="U15" s="1319">
        <f t="shared" si="1"/>
        <v>100</v>
      </c>
      <c r="V15" s="1318" t="s">
        <v>1152</v>
      </c>
      <c r="W15" s="1319">
        <f t="shared" si="2"/>
        <v>100</v>
      </c>
      <c r="X15" s="1312"/>
      <c r="Y15" s="3680"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81"/>
      <c r="Q16" s="682"/>
      <c r="R16" s="1318"/>
      <c r="S16" s="1319"/>
      <c r="T16" s="1318"/>
      <c r="U16" s="1319"/>
      <c r="V16" s="1318"/>
      <c r="W16" s="1319"/>
      <c r="X16" s="1312"/>
      <c r="Y16" s="3681"/>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81"/>
      <c r="Q17" s="682" t="str">
        <f>B17</f>
        <v>交通便捷度</v>
      </c>
      <c r="R17" s="1318" t="s">
        <v>1152</v>
      </c>
      <c r="S17" s="1319">
        <f>F17</f>
        <v>100</v>
      </c>
      <c r="T17" s="1318" t="s">
        <v>1152</v>
      </c>
      <c r="U17" s="1319">
        <f>H17</f>
        <v>100</v>
      </c>
      <c r="V17" s="1318" t="s">
        <v>1152</v>
      </c>
      <c r="W17" s="1319">
        <f>J17</f>
        <v>100</v>
      </c>
      <c r="X17" s="1312"/>
      <c r="Y17" s="3681"/>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81"/>
      <c r="Q18" s="682"/>
      <c r="R18" s="1318"/>
      <c r="S18" s="1319"/>
      <c r="T18" s="1318"/>
      <c r="U18" s="1319"/>
      <c r="V18" s="1318"/>
      <c r="W18" s="1319"/>
      <c r="X18" s="1312"/>
      <c r="Y18" s="3681"/>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81"/>
      <c r="Q19" s="682" t="str">
        <f>B19</f>
        <v>公共配套设施</v>
      </c>
      <c r="R19" s="1318" t="s">
        <v>1152</v>
      </c>
      <c r="S19" s="1319">
        <f>F19</f>
        <v>100</v>
      </c>
      <c r="T19" s="1318" t="s">
        <v>1152</v>
      </c>
      <c r="U19" s="1319">
        <f>H19</f>
        <v>100</v>
      </c>
      <c r="V19" s="1318" t="s">
        <v>1152</v>
      </c>
      <c r="W19" s="1319">
        <f>J19</f>
        <v>100</v>
      </c>
      <c r="X19" s="1312"/>
      <c r="Y19" s="3681"/>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81"/>
      <c r="Q20" s="682"/>
      <c r="R20" s="1318"/>
      <c r="S20" s="1319"/>
      <c r="T20" s="1318"/>
      <c r="U20" s="1319"/>
      <c r="V20" s="1318"/>
      <c r="W20" s="1319"/>
      <c r="X20" s="1312"/>
      <c r="Y20" s="3681"/>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81"/>
      <c r="Q21" s="682" t="str">
        <f>B21</f>
        <v>基础设施水平</v>
      </c>
      <c r="R21" s="1318" t="s">
        <v>1152</v>
      </c>
      <c r="S21" s="1319">
        <f>F21</f>
        <v>100</v>
      </c>
      <c r="T21" s="1318" t="s">
        <v>1152</v>
      </c>
      <c r="U21" s="1319">
        <f>H21</f>
        <v>100</v>
      </c>
      <c r="V21" s="1318" t="s">
        <v>1152</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81"/>
      <c r="Q22" s="682"/>
      <c r="R22" s="1318"/>
      <c r="S22" s="1319"/>
      <c r="T22" s="1318"/>
      <c r="U22" s="1319"/>
      <c r="V22" s="1318"/>
      <c r="W22" s="1319"/>
      <c r="X22" s="1312"/>
      <c r="Y22" s="3681"/>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81"/>
      <c r="Q23" s="682" t="str">
        <f>B23</f>
        <v>环境质量</v>
      </c>
      <c r="R23" s="1318" t="s">
        <v>1152</v>
      </c>
      <c r="S23" s="1319">
        <f>F23</f>
        <v>100</v>
      </c>
      <c r="T23" s="1318" t="s">
        <v>1152</v>
      </c>
      <c r="U23" s="1319">
        <f>H23</f>
        <v>100</v>
      </c>
      <c r="V23" s="1318" t="s">
        <v>1152</v>
      </c>
      <c r="W23" s="1319">
        <f>J23</f>
        <v>100</v>
      </c>
      <c r="X23" s="1312"/>
      <c r="Y23" s="3681"/>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81"/>
      <c r="Q24" s="682"/>
      <c r="R24" s="1318"/>
      <c r="S24" s="1319"/>
      <c r="T24" s="1318"/>
      <c r="U24" s="1319"/>
      <c r="V24" s="1318"/>
      <c r="W24" s="1319"/>
      <c r="X24" s="1312"/>
      <c r="Y24" s="3681"/>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81"/>
      <c r="Q25" s="682">
        <f>B25</f>
        <v>111</v>
      </c>
      <c r="R25" s="1318" t="s">
        <v>1152</v>
      </c>
      <c r="S25" s="1319">
        <f>F25</f>
        <v>100</v>
      </c>
      <c r="T25" s="1318" t="s">
        <v>1152</v>
      </c>
      <c r="U25" s="1319">
        <f>H25</f>
        <v>100</v>
      </c>
      <c r="V25" s="1318" t="s">
        <v>1152</v>
      </c>
      <c r="W25" s="1319">
        <f>J25</f>
        <v>100</v>
      </c>
      <c r="X25" s="1312"/>
      <c r="Y25" s="3681"/>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81"/>
      <c r="Q26" s="682">
        <f t="shared" ref="Q26:Q40" si="11">B26</f>
        <v>111</v>
      </c>
      <c r="R26" s="1318" t="s">
        <v>1152</v>
      </c>
      <c r="S26" s="1319">
        <f>F26</f>
        <v>100</v>
      </c>
      <c r="T26" s="1318" t="s">
        <v>1152</v>
      </c>
      <c r="U26" s="1319">
        <f>H26</f>
        <v>100</v>
      </c>
      <c r="V26" s="1318" t="s">
        <v>1152</v>
      </c>
      <c r="W26" s="1319">
        <f>J26</f>
        <v>100</v>
      </c>
      <c r="X26" s="1312"/>
      <c r="Y26" s="3681"/>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81"/>
      <c r="Q27" s="1317">
        <f t="shared" si="11"/>
        <v>111</v>
      </c>
      <c r="R27" s="1313" t="s">
        <v>1152</v>
      </c>
      <c r="S27" s="1314">
        <f>F27</f>
        <v>100</v>
      </c>
      <c r="T27" s="1313" t="s">
        <v>1152</v>
      </c>
      <c r="U27" s="1314">
        <f>H27</f>
        <v>100</v>
      </c>
      <c r="V27" s="1313" t="s">
        <v>1152</v>
      </c>
      <c r="W27" s="1314">
        <f>J27</f>
        <v>100</v>
      </c>
      <c r="X27" s="1315"/>
      <c r="Y27" s="3681"/>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81"/>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81"/>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0" t="s">
        <v>1182</v>
      </c>
      <c r="Q29" s="682" t="str">
        <f t="shared" si="11"/>
        <v>建筑类型</v>
      </c>
      <c r="R29" s="1318" t="s">
        <v>1152</v>
      </c>
      <c r="S29" s="1319">
        <f t="shared" si="12"/>
        <v>100</v>
      </c>
      <c r="T29" s="1318" t="s">
        <v>1152</v>
      </c>
      <c r="U29" s="1319">
        <f t="shared" si="13"/>
        <v>100</v>
      </c>
      <c r="V29" s="1318" t="s">
        <v>1152</v>
      </c>
      <c r="W29" s="1319">
        <f t="shared" si="14"/>
        <v>100</v>
      </c>
      <c r="X29" s="1312"/>
      <c r="Y29" s="3682"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82"/>
      <c r="Q30" s="1546" t="str">
        <f t="shared" si="11"/>
        <v>项目建筑规模</v>
      </c>
      <c r="R30" s="1320" t="s">
        <v>1152</v>
      </c>
      <c r="S30" s="1321" t="e">
        <f t="shared" si="12"/>
        <v>#N/A</v>
      </c>
      <c r="T30" s="1320" t="s">
        <v>1152</v>
      </c>
      <c r="U30" s="1321" t="e">
        <f t="shared" si="13"/>
        <v>#N/A</v>
      </c>
      <c r="V30" s="1320" t="s">
        <v>1152</v>
      </c>
      <c r="W30" s="1321" t="e">
        <f t="shared" si="14"/>
        <v>#N/A</v>
      </c>
      <c r="X30" s="1322"/>
      <c r="Y30" s="3682"/>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82"/>
      <c r="Q31" s="682" t="str">
        <f t="shared" si="11"/>
        <v>建筑结构</v>
      </c>
      <c r="R31" s="1318" t="s">
        <v>1152</v>
      </c>
      <c r="S31" s="1319">
        <f t="shared" si="12"/>
        <v>100</v>
      </c>
      <c r="T31" s="1318" t="s">
        <v>1152</v>
      </c>
      <c r="U31" s="1319">
        <f t="shared" si="13"/>
        <v>100</v>
      </c>
      <c r="V31" s="1318" t="s">
        <v>1152</v>
      </c>
      <c r="W31" s="1319">
        <f t="shared" si="14"/>
        <v>100</v>
      </c>
      <c r="X31" s="1312"/>
      <c r="Y31" s="3682"/>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82"/>
      <c r="Q32" s="682" t="str">
        <f t="shared" si="11"/>
        <v>公共部分装修</v>
      </c>
      <c r="R32" s="1318" t="s">
        <v>1152</v>
      </c>
      <c r="S32" s="1319">
        <f t="shared" si="12"/>
        <v>100</v>
      </c>
      <c r="T32" s="1318" t="s">
        <v>1152</v>
      </c>
      <c r="U32" s="1319">
        <f t="shared" si="13"/>
        <v>100</v>
      </c>
      <c r="V32" s="1318" t="s">
        <v>1152</v>
      </c>
      <c r="W32" s="1319">
        <f t="shared" si="14"/>
        <v>100</v>
      </c>
      <c r="X32" s="1312"/>
      <c r="Y32" s="3682"/>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82"/>
      <c r="Q33" s="682" t="str">
        <f t="shared" si="11"/>
        <v>成新度</v>
      </c>
      <c r="R33" s="1318" t="s">
        <v>1152</v>
      </c>
      <c r="S33" s="1319" t="e">
        <f t="shared" si="12"/>
        <v>#N/A</v>
      </c>
      <c r="T33" s="1318" t="s">
        <v>1152</v>
      </c>
      <c r="U33" s="1319" t="e">
        <f t="shared" si="13"/>
        <v>#N/A</v>
      </c>
      <c r="V33" s="1318" t="s">
        <v>1152</v>
      </c>
      <c r="W33" s="1319" t="e">
        <f t="shared" si="14"/>
        <v>#N/A</v>
      </c>
      <c r="X33" s="1312"/>
      <c r="Y33" s="3682"/>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82"/>
      <c r="Q34" s="1317" t="str">
        <f t="shared" si="11"/>
        <v>物业管理</v>
      </c>
      <c r="R34" s="1313" t="s">
        <v>1152</v>
      </c>
      <c r="S34" s="1314">
        <f t="shared" si="12"/>
        <v>100</v>
      </c>
      <c r="T34" s="1313" t="s">
        <v>1152</v>
      </c>
      <c r="U34" s="1314">
        <f t="shared" si="13"/>
        <v>100</v>
      </c>
      <c r="V34" s="1313" t="s">
        <v>1152</v>
      </c>
      <c r="W34" s="1314">
        <f t="shared" si="14"/>
        <v>100</v>
      </c>
      <c r="X34" s="1315"/>
      <c r="Y34" s="3682"/>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82" t="s">
        <v>1182</v>
      </c>
      <c r="Q35" s="682" t="str">
        <f t="shared" si="11"/>
        <v>市政基础设施</v>
      </c>
      <c r="R35" s="1318" t="s">
        <v>1152</v>
      </c>
      <c r="S35" s="1319">
        <f t="shared" si="12"/>
        <v>100</v>
      </c>
      <c r="T35" s="1318" t="s">
        <v>1152</v>
      </c>
      <c r="U35" s="1319">
        <f t="shared" si="13"/>
        <v>100</v>
      </c>
      <c r="V35" s="1318" t="s">
        <v>1152</v>
      </c>
      <c r="W35" s="1319">
        <f t="shared" si="14"/>
        <v>100</v>
      </c>
      <c r="X35" s="1312"/>
      <c r="Y35" s="3682"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82"/>
      <c r="Q36" s="682" t="str">
        <f t="shared" si="11"/>
        <v>内部装修</v>
      </c>
      <c r="R36" s="1318" t="s">
        <v>1152</v>
      </c>
      <c r="S36" s="1319">
        <f t="shared" si="12"/>
        <v>100</v>
      </c>
      <c r="T36" s="1318" t="s">
        <v>1152</v>
      </c>
      <c r="U36" s="1319">
        <f t="shared" si="13"/>
        <v>100</v>
      </c>
      <c r="V36" s="1318" t="s">
        <v>1152</v>
      </c>
      <c r="W36" s="1319">
        <f t="shared" si="14"/>
        <v>100</v>
      </c>
      <c r="X36" s="1312"/>
      <c r="Y36" s="3682"/>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82"/>
      <c r="Q37" s="682" t="str">
        <f t="shared" si="11"/>
        <v>内部装修状况</v>
      </c>
      <c r="R37" s="1318" t="s">
        <v>1152</v>
      </c>
      <c r="S37" s="1319">
        <f t="shared" si="12"/>
        <v>100</v>
      </c>
      <c r="T37" s="1318" t="s">
        <v>1152</v>
      </c>
      <c r="U37" s="1319">
        <f t="shared" si="13"/>
        <v>100</v>
      </c>
      <c r="V37" s="1318" t="s">
        <v>1152</v>
      </c>
      <c r="W37" s="1319">
        <f t="shared" si="14"/>
        <v>100</v>
      </c>
      <c r="X37" s="1312"/>
      <c r="Y37" s="3682"/>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82"/>
      <c r="Q38" s="1546">
        <f t="shared" si="11"/>
        <v>111</v>
      </c>
      <c r="R38" s="1320" t="s">
        <v>1152</v>
      </c>
      <c r="S38" s="1321">
        <f t="shared" si="12"/>
        <v>100</v>
      </c>
      <c r="T38" s="1320" t="s">
        <v>1152</v>
      </c>
      <c r="U38" s="1321">
        <f t="shared" si="13"/>
        <v>100</v>
      </c>
      <c r="V38" s="1320" t="s">
        <v>1152</v>
      </c>
      <c r="W38" s="1321">
        <f t="shared" si="14"/>
        <v>100</v>
      </c>
      <c r="X38" s="1322"/>
      <c r="Y38" s="3682"/>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82"/>
      <c r="Q39" s="682">
        <f t="shared" si="11"/>
        <v>111</v>
      </c>
      <c r="R39" s="1318" t="s">
        <v>1152</v>
      </c>
      <c r="S39" s="1319">
        <f t="shared" si="12"/>
        <v>100</v>
      </c>
      <c r="T39" s="1318" t="s">
        <v>1152</v>
      </c>
      <c r="U39" s="1319">
        <f t="shared" si="13"/>
        <v>100</v>
      </c>
      <c r="V39" s="1318" t="s">
        <v>1152</v>
      </c>
      <c r="W39" s="1319">
        <f t="shared" si="14"/>
        <v>100</v>
      </c>
      <c r="X39" s="1312"/>
      <c r="Y39" s="3682"/>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83"/>
      <c r="Q40" s="682">
        <f t="shared" si="11"/>
        <v>111</v>
      </c>
      <c r="R40" s="1318" t="s">
        <v>1152</v>
      </c>
      <c r="S40" s="1319">
        <f t="shared" si="12"/>
        <v>100</v>
      </c>
      <c r="T40" s="1318" t="s">
        <v>1152</v>
      </c>
      <c r="U40" s="1319">
        <f t="shared" si="13"/>
        <v>100</v>
      </c>
      <c r="V40" s="1318" t="s">
        <v>1152</v>
      </c>
      <c r="W40" s="1319">
        <f t="shared" si="14"/>
        <v>100</v>
      </c>
      <c r="X40" s="1312"/>
      <c r="Y40" s="3683"/>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7" t="str">
        <f>A41</f>
        <v>成交单价（元/平方米）</v>
      </c>
      <c r="Q41" s="3667"/>
      <c r="R41" s="3668">
        <f>E41</f>
        <v>0</v>
      </c>
      <c r="S41" s="3668"/>
      <c r="T41" s="3668">
        <f>G41</f>
        <v>0</v>
      </c>
      <c r="U41" s="3668"/>
      <c r="V41" s="3668">
        <f>I41</f>
        <v>0</v>
      </c>
      <c r="W41" s="3668"/>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89" t="s">
        <v>1141</v>
      </c>
      <c r="D4" s="3690"/>
      <c r="E4" s="3691" t="s">
        <v>1142</v>
      </c>
      <c r="F4" s="3692"/>
      <c r="G4" s="3689" t="s">
        <v>1143</v>
      </c>
      <c r="H4" s="3690"/>
      <c r="I4" s="3689" t="s">
        <v>1144</v>
      </c>
      <c r="J4" s="3690"/>
      <c r="K4" s="1268"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2" t="s">
        <v>1143</v>
      </c>
      <c r="AC4" s="3651" t="s">
        <v>1144</v>
      </c>
    </row>
    <row r="5" spans="1:29" ht="15">
      <c r="A5" s="1123"/>
      <c r="B5" s="1124"/>
      <c r="C5" s="3723" t="s">
        <v>1147</v>
      </c>
      <c r="D5" s="3694"/>
      <c r="E5" s="3724" t="s">
        <v>1602</v>
      </c>
      <c r="F5" s="3696"/>
      <c r="G5" s="3723" t="s">
        <v>1603</v>
      </c>
      <c r="H5" s="3694"/>
      <c r="I5" s="3723" t="s">
        <v>1604</v>
      </c>
      <c r="J5" s="3694"/>
      <c r="K5" s="1268"/>
      <c r="L5" s="1269"/>
      <c r="M5" s="1270"/>
      <c r="N5" s="1270"/>
      <c r="O5" s="1270"/>
      <c r="P5" s="3657"/>
      <c r="Q5" s="3658"/>
      <c r="R5" s="3663"/>
      <c r="S5" s="3664"/>
      <c r="T5" s="3663"/>
      <c r="U5" s="3664"/>
      <c r="V5" s="3654"/>
      <c r="W5" s="3654"/>
      <c r="X5" s="1312"/>
      <c r="Y5" s="3663"/>
      <c r="Z5" s="3664"/>
      <c r="AA5" s="3652"/>
      <c r="AB5" s="3652"/>
      <c r="AC5" s="3652"/>
    </row>
    <row r="6" spans="1:29" ht="15">
      <c r="A6" s="1125"/>
      <c r="B6" s="1126"/>
      <c r="C6" s="3684" t="s">
        <v>1148</v>
      </c>
      <c r="D6" s="3685"/>
      <c r="E6" s="3686" t="s">
        <v>1148</v>
      </c>
      <c r="F6" s="3687"/>
      <c r="G6" s="3684" t="s">
        <v>1148</v>
      </c>
      <c r="H6" s="3685"/>
      <c r="I6" s="3684" t="s">
        <v>1148</v>
      </c>
      <c r="J6" s="3685"/>
      <c r="K6" s="1268" t="s">
        <v>1149</v>
      </c>
      <c r="L6" s="1269"/>
      <c r="M6" s="1270"/>
      <c r="N6" s="1270"/>
      <c r="O6" s="1270"/>
      <c r="P6" s="3659"/>
      <c r="Q6" s="3660"/>
      <c r="R6" s="3663"/>
      <c r="S6" s="3664"/>
      <c r="T6" s="3665"/>
      <c r="U6" s="3666"/>
      <c r="V6" s="3654"/>
      <c r="W6" s="3654"/>
      <c r="X6" s="1312"/>
      <c r="Y6" s="3665"/>
      <c r="Z6" s="3666"/>
      <c r="AA6" s="3653"/>
      <c r="AB6" s="3653"/>
      <c r="AC6" s="3653"/>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72" t="s">
        <v>1151</v>
      </c>
      <c r="Q7" s="3688"/>
      <c r="R7" s="1313" t="s">
        <v>1152</v>
      </c>
      <c r="S7" s="1314">
        <f t="shared" ref="S7:S14" si="0">F7</f>
        <v>0</v>
      </c>
      <c r="T7" s="1313" t="s">
        <v>1152</v>
      </c>
      <c r="U7" s="1314">
        <f t="shared" ref="U7:U14" si="1">H7</f>
        <v>0</v>
      </c>
      <c r="V7" s="1313" t="s">
        <v>1152</v>
      </c>
      <c r="W7" s="1314">
        <f t="shared" ref="W7:W14" si="2">J7</f>
        <v>0</v>
      </c>
      <c r="X7" s="1315"/>
      <c r="Y7" s="3672" t="s">
        <v>1151</v>
      </c>
      <c r="Z7" s="3673"/>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72" t="s">
        <v>1156</v>
      </c>
      <c r="Q8" s="3673"/>
      <c r="R8" s="1313" t="s">
        <v>1152</v>
      </c>
      <c r="S8" s="1314">
        <f t="shared" si="0"/>
        <v>100</v>
      </c>
      <c r="T8" s="1313" t="s">
        <v>1152</v>
      </c>
      <c r="U8" s="1314">
        <f t="shared" si="1"/>
        <v>100</v>
      </c>
      <c r="V8" s="1313" t="s">
        <v>1152</v>
      </c>
      <c r="W8" s="1314">
        <f t="shared" si="2"/>
        <v>100</v>
      </c>
      <c r="X8" s="1315"/>
      <c r="Y8" s="3672" t="s">
        <v>1156</v>
      </c>
      <c r="Z8" s="3673"/>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7" t="s">
        <v>1159</v>
      </c>
      <c r="Q9" s="1317" t="str">
        <f t="shared" ref="Q9:Q14" si="6">B9</f>
        <v>用途</v>
      </c>
      <c r="R9" s="1313" t="s">
        <v>1152</v>
      </c>
      <c r="S9" s="1314">
        <f t="shared" si="0"/>
        <v>100</v>
      </c>
      <c r="T9" s="1313" t="s">
        <v>1152</v>
      </c>
      <c r="U9" s="1314">
        <f t="shared" si="1"/>
        <v>100</v>
      </c>
      <c r="V9" s="1313" t="s">
        <v>1152</v>
      </c>
      <c r="W9" s="1314">
        <f t="shared" si="2"/>
        <v>100</v>
      </c>
      <c r="X9" s="1315"/>
      <c r="Y9" s="3563"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7"/>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7"/>
      <c r="Q11" s="1317">
        <f t="shared" si="6"/>
        <v>111</v>
      </c>
      <c r="R11" s="1313" t="s">
        <v>1152</v>
      </c>
      <c r="S11" s="1314">
        <f t="shared" si="0"/>
        <v>100</v>
      </c>
      <c r="T11" s="1313" t="s">
        <v>1152</v>
      </c>
      <c r="U11" s="1314">
        <f t="shared" si="1"/>
        <v>100</v>
      </c>
      <c r="V11" s="1313" t="s">
        <v>1152</v>
      </c>
      <c r="W11" s="1314">
        <f t="shared" si="2"/>
        <v>100</v>
      </c>
      <c r="X11" s="1315"/>
      <c r="Y11" s="3563"/>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7"/>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7"/>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80" t="s">
        <v>1165</v>
      </c>
      <c r="Q14" s="682" t="str">
        <f t="shared" si="6"/>
        <v>交通便捷度</v>
      </c>
      <c r="R14" s="1318" t="s">
        <v>1152</v>
      </c>
      <c r="S14" s="1319">
        <f t="shared" si="0"/>
        <v>100</v>
      </c>
      <c r="T14" s="1318" t="s">
        <v>1152</v>
      </c>
      <c r="U14" s="1319">
        <f t="shared" si="1"/>
        <v>100</v>
      </c>
      <c r="V14" s="1318" t="s">
        <v>1152</v>
      </c>
      <c r="W14" s="1319">
        <f t="shared" si="2"/>
        <v>100</v>
      </c>
      <c r="X14" s="1312"/>
      <c r="Y14" s="3680"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81"/>
      <c r="Q15" s="682"/>
      <c r="R15" s="1318"/>
      <c r="S15" s="1319"/>
      <c r="T15" s="1318"/>
      <c r="U15" s="1319"/>
      <c r="V15" s="1318"/>
      <c r="W15" s="1319"/>
      <c r="X15" s="1312"/>
      <c r="Y15" s="3681"/>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81"/>
      <c r="Q16" s="682" t="str">
        <f>B16</f>
        <v>公共配套设施</v>
      </c>
      <c r="R16" s="1318" t="s">
        <v>1152</v>
      </c>
      <c r="S16" s="1319">
        <f>F16</f>
        <v>100</v>
      </c>
      <c r="T16" s="1318" t="s">
        <v>1152</v>
      </c>
      <c r="U16" s="1319">
        <f>H16</f>
        <v>100</v>
      </c>
      <c r="V16" s="1318" t="s">
        <v>1152</v>
      </c>
      <c r="W16" s="1319">
        <f>J16</f>
        <v>100</v>
      </c>
      <c r="X16" s="1312"/>
      <c r="Y16" s="3681"/>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81"/>
      <c r="Q17" s="682"/>
      <c r="R17" s="1318"/>
      <c r="S17" s="1319"/>
      <c r="T17" s="1318"/>
      <c r="U17" s="1319"/>
      <c r="V17" s="1318"/>
      <c r="W17" s="1319"/>
      <c r="X17" s="1312"/>
      <c r="Y17" s="3681"/>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81"/>
      <c r="Q18" s="682" t="str">
        <f>B18</f>
        <v>基础设施水平</v>
      </c>
      <c r="R18" s="1318" t="s">
        <v>1152</v>
      </c>
      <c r="S18" s="1319">
        <f>F18</f>
        <v>100</v>
      </c>
      <c r="T18" s="1318" t="s">
        <v>1152</v>
      </c>
      <c r="U18" s="1319">
        <f>H18</f>
        <v>100</v>
      </c>
      <c r="V18" s="1318" t="s">
        <v>1152</v>
      </c>
      <c r="W18" s="1319">
        <f>J18</f>
        <v>100</v>
      </c>
      <c r="X18" s="1312"/>
      <c r="Y18" s="3681"/>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81"/>
      <c r="Q19" s="682"/>
      <c r="R19" s="1318"/>
      <c r="S19" s="1319"/>
      <c r="T19" s="1318"/>
      <c r="U19" s="1319"/>
      <c r="V19" s="1318"/>
      <c r="W19" s="1319"/>
      <c r="X19" s="1312"/>
      <c r="Y19" s="3681"/>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81"/>
      <c r="Q20" s="682" t="str">
        <f>B20</f>
        <v>自然及人文环境</v>
      </c>
      <c r="R20" s="1318" t="s">
        <v>1152</v>
      </c>
      <c r="S20" s="1319">
        <f>F20</f>
        <v>100</v>
      </c>
      <c r="T20" s="1318" t="s">
        <v>1152</v>
      </c>
      <c r="U20" s="1319">
        <f>H20</f>
        <v>100</v>
      </c>
      <c r="V20" s="1318" t="s">
        <v>1152</v>
      </c>
      <c r="W20" s="1319">
        <f>J20</f>
        <v>100</v>
      </c>
      <c r="X20" s="1312"/>
      <c r="Y20" s="3681"/>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81"/>
      <c r="Q21" s="682"/>
      <c r="R21" s="1318"/>
      <c r="S21" s="1319"/>
      <c r="T21" s="1318"/>
      <c r="U21" s="1319"/>
      <c r="V21" s="1318"/>
      <c r="W21" s="1319"/>
      <c r="X21" s="1312"/>
      <c r="Y21" s="3681"/>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81"/>
      <c r="Q22" s="682" t="str">
        <f>B22</f>
        <v>楼层</v>
      </c>
      <c r="R22" s="1318" t="s">
        <v>1152</v>
      </c>
      <c r="S22" s="1319">
        <f>F22</f>
        <v>100</v>
      </c>
      <c r="T22" s="1318" t="s">
        <v>1152</v>
      </c>
      <c r="U22" s="1319">
        <f>H22</f>
        <v>100</v>
      </c>
      <c r="V22" s="1318" t="s">
        <v>1152</v>
      </c>
      <c r="W22" s="1319">
        <f>J22</f>
        <v>100</v>
      </c>
      <c r="X22" s="1312"/>
      <c r="Y22" s="3681"/>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81"/>
      <c r="Q23" s="682">
        <f>B23</f>
        <v>111</v>
      </c>
      <c r="R23" s="1318" t="s">
        <v>1152</v>
      </c>
      <c r="S23" s="1319">
        <f>F23</f>
        <v>100</v>
      </c>
      <c r="T23" s="1318" t="s">
        <v>1152</v>
      </c>
      <c r="U23" s="1319">
        <f>H23</f>
        <v>100</v>
      </c>
      <c r="V23" s="1318" t="s">
        <v>1152</v>
      </c>
      <c r="W23" s="1319">
        <f>J23</f>
        <v>100</v>
      </c>
      <c r="X23" s="1312"/>
      <c r="Y23" s="3681"/>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81"/>
      <c r="Q24" s="682">
        <f t="shared" ref="Q24:Q36" si="11">B24</f>
        <v>111</v>
      </c>
      <c r="R24" s="1318" t="s">
        <v>1152</v>
      </c>
      <c r="S24" s="1319">
        <f>F24</f>
        <v>100</v>
      </c>
      <c r="T24" s="1318" t="s">
        <v>1152</v>
      </c>
      <c r="U24" s="1319">
        <f>H24</f>
        <v>100</v>
      </c>
      <c r="V24" s="1318" t="s">
        <v>1152</v>
      </c>
      <c r="W24" s="1319">
        <f>J24</f>
        <v>100</v>
      </c>
      <c r="X24" s="1312"/>
      <c r="Y24" s="3681"/>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81"/>
      <c r="Q25" s="1317">
        <f t="shared" si="11"/>
        <v>111</v>
      </c>
      <c r="R25" s="1313" t="s">
        <v>1152</v>
      </c>
      <c r="S25" s="1314">
        <f>F25</f>
        <v>100</v>
      </c>
      <c r="T25" s="1313" t="s">
        <v>1152</v>
      </c>
      <c r="U25" s="1314">
        <f>H25</f>
        <v>100</v>
      </c>
      <c r="V25" s="1313" t="s">
        <v>1152</v>
      </c>
      <c r="W25" s="1314">
        <f>J25</f>
        <v>100</v>
      </c>
      <c r="X25" s="1315"/>
      <c r="Y25" s="3681"/>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0"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82"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82"/>
      <c r="Q27" s="1546" t="str">
        <f t="shared" si="11"/>
        <v>项目停车位配比</v>
      </c>
      <c r="R27" s="1320" t="s">
        <v>1152</v>
      </c>
      <c r="S27" s="1321">
        <f t="shared" si="12"/>
        <v>100</v>
      </c>
      <c r="T27" s="1320" t="s">
        <v>1152</v>
      </c>
      <c r="U27" s="1321">
        <f t="shared" si="13"/>
        <v>100</v>
      </c>
      <c r="V27" s="1320" t="s">
        <v>1152</v>
      </c>
      <c r="W27" s="1321">
        <f t="shared" si="14"/>
        <v>100</v>
      </c>
      <c r="X27" s="1322"/>
      <c r="Y27" s="3682"/>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82"/>
      <c r="Q28" s="682" t="str">
        <f t="shared" si="11"/>
        <v>公共部分装修</v>
      </c>
      <c r="R28" s="1318" t="s">
        <v>1152</v>
      </c>
      <c r="S28" s="1319">
        <f t="shared" si="12"/>
        <v>100</v>
      </c>
      <c r="T28" s="1318" t="s">
        <v>1152</v>
      </c>
      <c r="U28" s="1319">
        <f t="shared" si="13"/>
        <v>100</v>
      </c>
      <c r="V28" s="1318" t="s">
        <v>1152</v>
      </c>
      <c r="W28" s="1319">
        <f t="shared" si="14"/>
        <v>100</v>
      </c>
      <c r="X28" s="1312"/>
      <c r="Y28" s="3682"/>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82"/>
      <c r="Q29" s="682" t="str">
        <f t="shared" si="11"/>
        <v>成新率</v>
      </c>
      <c r="R29" s="1318" t="s">
        <v>1152</v>
      </c>
      <c r="S29" s="1319" t="e">
        <f t="shared" si="12"/>
        <v>#N/A</v>
      </c>
      <c r="T29" s="1318" t="s">
        <v>1152</v>
      </c>
      <c r="U29" s="1319" t="e">
        <f t="shared" si="13"/>
        <v>#N/A</v>
      </c>
      <c r="V29" s="1318" t="s">
        <v>1152</v>
      </c>
      <c r="W29" s="1319" t="e">
        <f t="shared" si="14"/>
        <v>#N/A</v>
      </c>
      <c r="X29" s="1312"/>
      <c r="Y29" s="3682"/>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82"/>
      <c r="Q30" s="682" t="str">
        <f t="shared" si="11"/>
        <v>物业等级</v>
      </c>
      <c r="R30" s="1318" t="s">
        <v>1152</v>
      </c>
      <c r="S30" s="1319">
        <f t="shared" si="12"/>
        <v>100</v>
      </c>
      <c r="T30" s="1318" t="s">
        <v>1152</v>
      </c>
      <c r="U30" s="1319">
        <f t="shared" si="13"/>
        <v>100</v>
      </c>
      <c r="V30" s="1318" t="s">
        <v>1152</v>
      </c>
      <c r="W30" s="1319">
        <f t="shared" si="14"/>
        <v>100</v>
      </c>
      <c r="X30" s="1312"/>
      <c r="Y30" s="3682"/>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82"/>
      <c r="Q31" s="1317" t="str">
        <f t="shared" si="11"/>
        <v>停车位面积</v>
      </c>
      <c r="R31" s="1313" t="s">
        <v>1152</v>
      </c>
      <c r="S31" s="1314" t="e">
        <f t="shared" si="12"/>
        <v>#N/A</v>
      </c>
      <c r="T31" s="1313" t="s">
        <v>1152</v>
      </c>
      <c r="U31" s="1314" t="e">
        <f t="shared" si="13"/>
        <v>#N/A</v>
      </c>
      <c r="V31" s="1313" t="s">
        <v>1152</v>
      </c>
      <c r="W31" s="1314" t="e">
        <f t="shared" si="14"/>
        <v>#N/A</v>
      </c>
      <c r="X31" s="1315"/>
      <c r="Y31" s="3682"/>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82" t="s">
        <v>1182</v>
      </c>
      <c r="Q32" s="682" t="str">
        <f t="shared" si="11"/>
        <v>车位类型</v>
      </c>
      <c r="R32" s="1318" t="s">
        <v>1152</v>
      </c>
      <c r="S32" s="1319">
        <f t="shared" si="12"/>
        <v>100</v>
      </c>
      <c r="T32" s="1318" t="s">
        <v>1152</v>
      </c>
      <c r="U32" s="1319">
        <f t="shared" si="13"/>
        <v>100</v>
      </c>
      <c r="V32" s="1318" t="s">
        <v>1152</v>
      </c>
      <c r="W32" s="1319">
        <f t="shared" si="14"/>
        <v>100</v>
      </c>
      <c r="X32" s="1312"/>
      <c r="Y32" s="3682"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82"/>
      <c r="Q33" s="682" t="str">
        <f t="shared" si="11"/>
        <v>是否直接入户</v>
      </c>
      <c r="R33" s="1318" t="s">
        <v>1152</v>
      </c>
      <c r="S33" s="1319">
        <f t="shared" si="12"/>
        <v>100</v>
      </c>
      <c r="T33" s="1318" t="s">
        <v>1152</v>
      </c>
      <c r="U33" s="1319">
        <f t="shared" si="13"/>
        <v>100</v>
      </c>
      <c r="V33" s="1318" t="s">
        <v>1152</v>
      </c>
      <c r="W33" s="1319">
        <f t="shared" si="14"/>
        <v>100</v>
      </c>
      <c r="X33" s="1312"/>
      <c r="Y33" s="3682"/>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82"/>
      <c r="Q34" s="682">
        <f t="shared" si="11"/>
        <v>111</v>
      </c>
      <c r="R34" s="1318" t="s">
        <v>1152</v>
      </c>
      <c r="S34" s="1319">
        <f t="shared" si="12"/>
        <v>100</v>
      </c>
      <c r="T34" s="1318" t="s">
        <v>1152</v>
      </c>
      <c r="U34" s="1319">
        <f t="shared" si="13"/>
        <v>100</v>
      </c>
      <c r="V34" s="1318" t="s">
        <v>1152</v>
      </c>
      <c r="W34" s="1319">
        <f t="shared" si="14"/>
        <v>100</v>
      </c>
      <c r="X34" s="1312"/>
      <c r="Y34" s="3682"/>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82"/>
      <c r="Q35" s="1546">
        <f t="shared" si="11"/>
        <v>111</v>
      </c>
      <c r="R35" s="1320" t="s">
        <v>1152</v>
      </c>
      <c r="S35" s="1321">
        <f t="shared" si="12"/>
        <v>100</v>
      </c>
      <c r="T35" s="1320" t="s">
        <v>1152</v>
      </c>
      <c r="U35" s="1321">
        <f t="shared" si="13"/>
        <v>100</v>
      </c>
      <c r="V35" s="1320" t="s">
        <v>1152</v>
      </c>
      <c r="W35" s="1321">
        <f t="shared" si="14"/>
        <v>100</v>
      </c>
      <c r="X35" s="1322"/>
      <c r="Y35" s="3682"/>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82"/>
      <c r="Q36" s="682">
        <f t="shared" si="11"/>
        <v>111</v>
      </c>
      <c r="R36" s="1318" t="s">
        <v>1152</v>
      </c>
      <c r="S36" s="1319">
        <f t="shared" si="12"/>
        <v>100</v>
      </c>
      <c r="T36" s="1318" t="s">
        <v>1152</v>
      </c>
      <c r="U36" s="1319">
        <f t="shared" si="13"/>
        <v>100</v>
      </c>
      <c r="V36" s="1318" t="s">
        <v>1152</v>
      </c>
      <c r="W36" s="1319">
        <f t="shared" si="14"/>
        <v>100</v>
      </c>
      <c r="X36" s="1312"/>
      <c r="Y36" s="3682"/>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7" t="str">
        <f>A37</f>
        <v>成交单价</v>
      </c>
      <c r="Q37" s="3667"/>
      <c r="R37" s="3668">
        <f>E37</f>
        <v>0</v>
      </c>
      <c r="S37" s="3668"/>
      <c r="T37" s="3668">
        <f>G37</f>
        <v>0</v>
      </c>
      <c r="U37" s="3668"/>
      <c r="V37" s="3668">
        <f>I37</f>
        <v>0</v>
      </c>
      <c r="W37" s="3668"/>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69" t="str">
        <f>A39</f>
        <v>估价对象XX用房的比较价值（楼面单价，元/平方米）</v>
      </c>
      <c r="Q39" s="3670"/>
      <c r="R39" s="3741" t="e">
        <f>IF(F1="售价",ROUND(IF(D38="简单平均",AVERAGE(R38:W38),R38*F38+T38*H38+V38*J38),0),ROUND(IF(D38="简单平均",AVERAGE(R38:V38),R38*F38+T38*H38+V38*J38),1))</f>
        <v>#DIV/0!</v>
      </c>
      <c r="S39" s="3741"/>
      <c r="T39" s="3741"/>
      <c r="U39" s="3741"/>
      <c r="V39" s="3741"/>
      <c r="W39" s="3741"/>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估价对象为北京市房地产,属开发建设的商业项目，该项目尚在开发建设中。根据《国有土地使用证》[]，估价对象（分摊）出让国有建设用地使用权面积为0平方米，规划建筑面积为98.8平方米。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89" t="s">
        <v>1141</v>
      </c>
      <c r="D4" s="3690"/>
      <c r="E4" s="3691" t="s">
        <v>1142</v>
      </c>
      <c r="F4" s="3692"/>
      <c r="G4" s="3689" t="s">
        <v>1143</v>
      </c>
      <c r="H4" s="3690"/>
      <c r="I4" s="3689" t="s">
        <v>1144</v>
      </c>
      <c r="J4" s="3690"/>
      <c r="K4" s="1268"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2" t="s">
        <v>1143</v>
      </c>
      <c r="AC4" s="3651" t="s">
        <v>1144</v>
      </c>
    </row>
    <row r="5" spans="1:29" ht="15">
      <c r="A5" s="1123"/>
      <c r="B5" s="1124"/>
      <c r="C5" s="3723" t="s">
        <v>1147</v>
      </c>
      <c r="D5" s="3694"/>
      <c r="E5" s="3724" t="s">
        <v>1602</v>
      </c>
      <c r="F5" s="3696"/>
      <c r="G5" s="3723" t="s">
        <v>1603</v>
      </c>
      <c r="H5" s="3694"/>
      <c r="I5" s="3723" t="s">
        <v>1604</v>
      </c>
      <c r="J5" s="3694"/>
      <c r="K5" s="1268"/>
      <c r="L5" s="1269"/>
      <c r="M5" s="1270"/>
      <c r="N5" s="1270"/>
      <c r="O5" s="1270"/>
      <c r="P5" s="3657"/>
      <c r="Q5" s="3658"/>
      <c r="R5" s="3663"/>
      <c r="S5" s="3664"/>
      <c r="T5" s="3663"/>
      <c r="U5" s="3664"/>
      <c r="V5" s="3654"/>
      <c r="W5" s="3654"/>
      <c r="X5" s="1312"/>
      <c r="Y5" s="3663"/>
      <c r="Z5" s="3664"/>
      <c r="AA5" s="3652"/>
      <c r="AB5" s="3652"/>
      <c r="AC5" s="3652"/>
    </row>
    <row r="6" spans="1:29" ht="15">
      <c r="A6" s="1125"/>
      <c r="B6" s="1126"/>
      <c r="C6" s="3684" t="s">
        <v>1148</v>
      </c>
      <c r="D6" s="3685"/>
      <c r="E6" s="3686" t="s">
        <v>1148</v>
      </c>
      <c r="F6" s="3687"/>
      <c r="G6" s="3684" t="s">
        <v>1148</v>
      </c>
      <c r="H6" s="3685"/>
      <c r="I6" s="3684" t="s">
        <v>1148</v>
      </c>
      <c r="J6" s="3685"/>
      <c r="K6" s="1268" t="s">
        <v>1149</v>
      </c>
      <c r="L6" s="1269"/>
      <c r="M6" s="1270"/>
      <c r="N6" s="1270"/>
      <c r="O6" s="1270"/>
      <c r="P6" s="3659"/>
      <c r="Q6" s="3660"/>
      <c r="R6" s="3663"/>
      <c r="S6" s="3664"/>
      <c r="T6" s="3665"/>
      <c r="U6" s="3666"/>
      <c r="V6" s="3654"/>
      <c r="W6" s="3654"/>
      <c r="X6" s="1312"/>
      <c r="Y6" s="3665"/>
      <c r="Z6" s="3666"/>
      <c r="AA6" s="3653"/>
      <c r="AB6" s="3653"/>
      <c r="AC6" s="3653"/>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72" t="s">
        <v>1151</v>
      </c>
      <c r="Q7" s="3688"/>
      <c r="R7" s="1313" t="s">
        <v>1152</v>
      </c>
      <c r="S7" s="1314">
        <f t="shared" ref="S7:S14" si="0">F7</f>
        <v>0</v>
      </c>
      <c r="T7" s="1313" t="s">
        <v>1152</v>
      </c>
      <c r="U7" s="1314">
        <f t="shared" ref="U7:U14" si="1">H7</f>
        <v>0</v>
      </c>
      <c r="V7" s="1313" t="s">
        <v>1152</v>
      </c>
      <c r="W7" s="1314">
        <f t="shared" ref="W7:W14" si="2">J7</f>
        <v>0</v>
      </c>
      <c r="X7" s="1315"/>
      <c r="Y7" s="3672" t="s">
        <v>1151</v>
      </c>
      <c r="Z7" s="3673"/>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72" t="s">
        <v>1156</v>
      </c>
      <c r="Q8" s="3673"/>
      <c r="R8" s="1313" t="s">
        <v>1152</v>
      </c>
      <c r="S8" s="1314">
        <f t="shared" si="0"/>
        <v>100</v>
      </c>
      <c r="T8" s="1313" t="s">
        <v>1152</v>
      </c>
      <c r="U8" s="1314">
        <f t="shared" si="1"/>
        <v>100</v>
      </c>
      <c r="V8" s="1313" t="s">
        <v>1152</v>
      </c>
      <c r="W8" s="1314">
        <f t="shared" si="2"/>
        <v>100</v>
      </c>
      <c r="X8" s="1315"/>
      <c r="Y8" s="3672" t="s">
        <v>1156</v>
      </c>
      <c r="Z8" s="3673"/>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7" t="s">
        <v>1159</v>
      </c>
      <c r="Q9" s="1317" t="str">
        <f t="shared" ref="Q9:Q14" si="6">B9</f>
        <v>用途</v>
      </c>
      <c r="R9" s="1313" t="s">
        <v>1152</v>
      </c>
      <c r="S9" s="1314">
        <f t="shared" si="0"/>
        <v>100</v>
      </c>
      <c r="T9" s="1313" t="s">
        <v>1152</v>
      </c>
      <c r="U9" s="1314">
        <f t="shared" si="1"/>
        <v>100</v>
      </c>
      <c r="V9" s="1313" t="s">
        <v>1152</v>
      </c>
      <c r="W9" s="1314">
        <f t="shared" si="2"/>
        <v>100</v>
      </c>
      <c r="X9" s="1315"/>
      <c r="Y9" s="3563"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7"/>
      <c r="Q10" s="1317" t="str">
        <f t="shared" si="6"/>
        <v>土地使用年限（年）</v>
      </c>
      <c r="R10" s="1313" t="s">
        <v>1152</v>
      </c>
      <c r="S10" s="1314">
        <f t="shared" si="0"/>
        <v>100</v>
      </c>
      <c r="T10" s="1313" t="s">
        <v>1152</v>
      </c>
      <c r="U10" s="1314">
        <f t="shared" si="1"/>
        <v>100</v>
      </c>
      <c r="V10" s="1313" t="s">
        <v>1152</v>
      </c>
      <c r="W10" s="1314">
        <f t="shared" si="2"/>
        <v>100</v>
      </c>
      <c r="X10" s="1315"/>
      <c r="Y10" s="3563"/>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7"/>
      <c r="Q11" s="1317">
        <f t="shared" si="6"/>
        <v>111</v>
      </c>
      <c r="R11" s="1313" t="s">
        <v>1152</v>
      </c>
      <c r="S11" s="1314">
        <f t="shared" si="0"/>
        <v>100</v>
      </c>
      <c r="T11" s="1313" t="s">
        <v>1152</v>
      </c>
      <c r="U11" s="1314">
        <f t="shared" si="1"/>
        <v>100</v>
      </c>
      <c r="V11" s="1313" t="s">
        <v>1152</v>
      </c>
      <c r="W11" s="1314">
        <f t="shared" si="2"/>
        <v>100</v>
      </c>
      <c r="X11" s="1315"/>
      <c r="Y11" s="3563"/>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80" t="s">
        <v>1165</v>
      </c>
      <c r="Q14" s="682" t="str">
        <f t="shared" si="6"/>
        <v>交通便捷度</v>
      </c>
      <c r="R14" s="1318" t="s">
        <v>1152</v>
      </c>
      <c r="S14" s="1319">
        <f t="shared" si="0"/>
        <v>100</v>
      </c>
      <c r="T14" s="1318" t="s">
        <v>1152</v>
      </c>
      <c r="U14" s="1319">
        <f t="shared" si="1"/>
        <v>100</v>
      </c>
      <c r="V14" s="1318" t="s">
        <v>1152</v>
      </c>
      <c r="W14" s="1319">
        <f t="shared" si="2"/>
        <v>100</v>
      </c>
      <c r="X14" s="1312"/>
      <c r="Y14" s="3680"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81"/>
      <c r="Q15" s="682"/>
      <c r="R15" s="1318"/>
      <c r="S15" s="1319"/>
      <c r="T15" s="1318"/>
      <c r="U15" s="1319"/>
      <c r="V15" s="1318"/>
      <c r="W15" s="1319"/>
      <c r="X15" s="1312"/>
      <c r="Y15" s="3681"/>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81"/>
      <c r="Q16" s="682" t="str">
        <f>B16</f>
        <v>公共配套设施</v>
      </c>
      <c r="R16" s="1318" t="s">
        <v>1152</v>
      </c>
      <c r="S16" s="1319">
        <f>F16</f>
        <v>100</v>
      </c>
      <c r="T16" s="1318" t="s">
        <v>1152</v>
      </c>
      <c r="U16" s="1319">
        <f>H16</f>
        <v>100</v>
      </c>
      <c r="V16" s="1318" t="s">
        <v>1152</v>
      </c>
      <c r="W16" s="1319">
        <f>J16</f>
        <v>100</v>
      </c>
      <c r="X16" s="1312"/>
      <c r="Y16" s="3681"/>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81"/>
      <c r="Q17" s="682"/>
      <c r="R17" s="1318"/>
      <c r="S17" s="1319"/>
      <c r="T17" s="1318"/>
      <c r="U17" s="1319"/>
      <c r="V17" s="1318"/>
      <c r="W17" s="1319"/>
      <c r="X17" s="1312"/>
      <c r="Y17" s="3681"/>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81"/>
      <c r="Q18" s="682" t="str">
        <f>B18</f>
        <v>基础设施水平</v>
      </c>
      <c r="R18" s="1318" t="s">
        <v>1152</v>
      </c>
      <c r="S18" s="1319">
        <f>F18</f>
        <v>100</v>
      </c>
      <c r="T18" s="1318" t="s">
        <v>1152</v>
      </c>
      <c r="U18" s="1319">
        <f>H18</f>
        <v>100</v>
      </c>
      <c r="V18" s="1318" t="s">
        <v>1152</v>
      </c>
      <c r="W18" s="1319">
        <f>J18</f>
        <v>100</v>
      </c>
      <c r="X18" s="1312"/>
      <c r="Y18" s="3681"/>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81"/>
      <c r="Q19" s="682"/>
      <c r="R19" s="1318"/>
      <c r="S19" s="1319"/>
      <c r="T19" s="1318"/>
      <c r="U19" s="1319"/>
      <c r="V19" s="1318"/>
      <c r="W19" s="1319"/>
      <c r="X19" s="1312"/>
      <c r="Y19" s="3681"/>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81"/>
      <c r="Q20" s="682" t="str">
        <f>B20</f>
        <v>自然及人文环境</v>
      </c>
      <c r="R20" s="1318" t="s">
        <v>1152</v>
      </c>
      <c r="S20" s="1319">
        <f>F20</f>
        <v>100</v>
      </c>
      <c r="T20" s="1318" t="s">
        <v>1152</v>
      </c>
      <c r="U20" s="1319">
        <f>H20</f>
        <v>100</v>
      </c>
      <c r="V20" s="1318" t="s">
        <v>1152</v>
      </c>
      <c r="W20" s="1319">
        <f>J20</f>
        <v>100</v>
      </c>
      <c r="X20" s="1312"/>
      <c r="Y20" s="3681"/>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81"/>
      <c r="Q21" s="682"/>
      <c r="R21" s="1318"/>
      <c r="S21" s="1319"/>
      <c r="T21" s="1318"/>
      <c r="U21" s="1319"/>
      <c r="V21" s="1318"/>
      <c r="W21" s="1319"/>
      <c r="X21" s="1312"/>
      <c r="Y21" s="3681"/>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81"/>
      <c r="Q22" s="682" t="str">
        <f>B22</f>
        <v>楼层</v>
      </c>
      <c r="R22" s="1318" t="s">
        <v>1152</v>
      </c>
      <c r="S22" s="1319">
        <f>F22</f>
        <v>100</v>
      </c>
      <c r="T22" s="1318" t="s">
        <v>1152</v>
      </c>
      <c r="U22" s="1319">
        <f>H22</f>
        <v>100</v>
      </c>
      <c r="V22" s="1318" t="s">
        <v>1152</v>
      </c>
      <c r="W22" s="1319">
        <f>J22</f>
        <v>100</v>
      </c>
      <c r="X22" s="1312"/>
      <c r="Y22" s="3681"/>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81"/>
      <c r="Q23" s="682">
        <f>B23</f>
        <v>111</v>
      </c>
      <c r="R23" s="1318" t="s">
        <v>1152</v>
      </c>
      <c r="S23" s="1319">
        <f>F23</f>
        <v>100</v>
      </c>
      <c r="T23" s="1318" t="s">
        <v>1152</v>
      </c>
      <c r="U23" s="1319">
        <f>H23</f>
        <v>100</v>
      </c>
      <c r="V23" s="1318" t="s">
        <v>1152</v>
      </c>
      <c r="W23" s="1319">
        <f>J23</f>
        <v>100</v>
      </c>
      <c r="X23" s="1312"/>
      <c r="Y23" s="3681"/>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81"/>
      <c r="Q24" s="682">
        <f t="shared" ref="Q24:Q34" si="11">B24</f>
        <v>111</v>
      </c>
      <c r="R24" s="1318" t="s">
        <v>1152</v>
      </c>
      <c r="S24" s="1319">
        <f>F24</f>
        <v>100</v>
      </c>
      <c r="T24" s="1318" t="s">
        <v>1152</v>
      </c>
      <c r="U24" s="1319">
        <f>H24</f>
        <v>100</v>
      </c>
      <c r="V24" s="1318" t="s">
        <v>1152</v>
      </c>
      <c r="W24" s="1319">
        <f>J24</f>
        <v>100</v>
      </c>
      <c r="X24" s="1312"/>
      <c r="Y24" s="3681"/>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81"/>
      <c r="Q25" s="1317">
        <f t="shared" si="11"/>
        <v>111</v>
      </c>
      <c r="R25" s="1313" t="s">
        <v>1152</v>
      </c>
      <c r="S25" s="1314">
        <f>F25</f>
        <v>100</v>
      </c>
      <c r="T25" s="1313" t="s">
        <v>1152</v>
      </c>
      <c r="U25" s="1314">
        <f>H25</f>
        <v>100</v>
      </c>
      <c r="V25" s="1313" t="s">
        <v>1152</v>
      </c>
      <c r="W25" s="1314">
        <f>J25</f>
        <v>100</v>
      </c>
      <c r="X25" s="1315"/>
      <c r="Y25" s="3681"/>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0"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82"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82"/>
      <c r="Q27" s="1546" t="str">
        <f t="shared" si="11"/>
        <v>成新率</v>
      </c>
      <c r="R27" s="1320" t="s">
        <v>1152</v>
      </c>
      <c r="S27" s="1321" t="e">
        <f t="shared" si="12"/>
        <v>#N/A</v>
      </c>
      <c r="T27" s="1320" t="s">
        <v>1152</v>
      </c>
      <c r="U27" s="1321" t="e">
        <f t="shared" si="13"/>
        <v>#N/A</v>
      </c>
      <c r="V27" s="1320" t="s">
        <v>1152</v>
      </c>
      <c r="W27" s="1321" t="e">
        <f t="shared" si="14"/>
        <v>#N/A</v>
      </c>
      <c r="X27" s="1322"/>
      <c r="Y27" s="3682"/>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82"/>
      <c r="Q28" s="682" t="str">
        <f t="shared" si="11"/>
        <v>物业等级</v>
      </c>
      <c r="R28" s="1318" t="s">
        <v>1152</v>
      </c>
      <c r="S28" s="1319">
        <f t="shared" si="12"/>
        <v>100</v>
      </c>
      <c r="T28" s="1318" t="s">
        <v>1152</v>
      </c>
      <c r="U28" s="1319">
        <f t="shared" si="13"/>
        <v>100</v>
      </c>
      <c r="V28" s="1318" t="s">
        <v>1152</v>
      </c>
      <c r="W28" s="1319">
        <f t="shared" si="14"/>
        <v>100</v>
      </c>
      <c r="X28" s="1312"/>
      <c r="Y28" s="3682"/>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82"/>
      <c r="Q29" s="682" t="str">
        <f t="shared" si="11"/>
        <v>有无电梯</v>
      </c>
      <c r="R29" s="1318" t="s">
        <v>1152</v>
      </c>
      <c r="S29" s="1319">
        <f t="shared" si="12"/>
        <v>100</v>
      </c>
      <c r="T29" s="1318" t="s">
        <v>1152</v>
      </c>
      <c r="U29" s="1319">
        <f t="shared" si="13"/>
        <v>100</v>
      </c>
      <c r="V29" s="1318" t="s">
        <v>1152</v>
      </c>
      <c r="W29" s="1319">
        <f t="shared" si="14"/>
        <v>100</v>
      </c>
      <c r="X29" s="1312"/>
      <c r="Y29" s="3682"/>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82"/>
      <c r="Q30" s="682" t="str">
        <f t="shared" si="11"/>
        <v>建筑面积</v>
      </c>
      <c r="R30" s="1318" t="s">
        <v>1152</v>
      </c>
      <c r="S30" s="1319" t="e">
        <f t="shared" si="12"/>
        <v>#N/A</v>
      </c>
      <c r="T30" s="1318" t="s">
        <v>1152</v>
      </c>
      <c r="U30" s="1319" t="e">
        <f t="shared" si="13"/>
        <v>#N/A</v>
      </c>
      <c r="V30" s="1318" t="s">
        <v>1152</v>
      </c>
      <c r="W30" s="1319" t="e">
        <f t="shared" si="14"/>
        <v>#N/A</v>
      </c>
      <c r="X30" s="1312"/>
      <c r="Y30" s="3682"/>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82"/>
      <c r="Q31" s="1317" t="str">
        <f t="shared" si="11"/>
        <v>是否封闭</v>
      </c>
      <c r="R31" s="1313" t="s">
        <v>1152</v>
      </c>
      <c r="S31" s="1314">
        <f t="shared" si="12"/>
        <v>100</v>
      </c>
      <c r="T31" s="1313" t="s">
        <v>1152</v>
      </c>
      <c r="U31" s="1314">
        <f t="shared" si="13"/>
        <v>100</v>
      </c>
      <c r="V31" s="1313" t="s">
        <v>1152</v>
      </c>
      <c r="W31" s="1314">
        <f t="shared" si="14"/>
        <v>100</v>
      </c>
      <c r="X31" s="1315"/>
      <c r="Y31" s="3682"/>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82" t="s">
        <v>1182</v>
      </c>
      <c r="Q32" s="682">
        <f t="shared" si="11"/>
        <v>111</v>
      </c>
      <c r="R32" s="1318" t="s">
        <v>1152</v>
      </c>
      <c r="S32" s="1319">
        <f t="shared" si="12"/>
        <v>100</v>
      </c>
      <c r="T32" s="1318" t="s">
        <v>1152</v>
      </c>
      <c r="U32" s="1319">
        <f t="shared" si="13"/>
        <v>100</v>
      </c>
      <c r="V32" s="1318" t="s">
        <v>1152</v>
      </c>
      <c r="W32" s="1319">
        <f t="shared" si="14"/>
        <v>100</v>
      </c>
      <c r="X32" s="1312"/>
      <c r="Y32" s="3682"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82"/>
      <c r="Q33" s="682">
        <f t="shared" si="11"/>
        <v>111</v>
      </c>
      <c r="R33" s="1318" t="s">
        <v>1152</v>
      </c>
      <c r="S33" s="1319">
        <f t="shared" si="12"/>
        <v>100</v>
      </c>
      <c r="T33" s="1318" t="s">
        <v>1152</v>
      </c>
      <c r="U33" s="1319">
        <f t="shared" si="13"/>
        <v>100</v>
      </c>
      <c r="V33" s="1318" t="s">
        <v>1152</v>
      </c>
      <c r="W33" s="1319">
        <f t="shared" si="14"/>
        <v>100</v>
      </c>
      <c r="X33" s="1312"/>
      <c r="Y33" s="3682"/>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82"/>
      <c r="Q34" s="682">
        <f t="shared" si="11"/>
        <v>111</v>
      </c>
      <c r="R34" s="1318" t="s">
        <v>1152</v>
      </c>
      <c r="S34" s="1319">
        <f t="shared" si="12"/>
        <v>100</v>
      </c>
      <c r="T34" s="1318" t="s">
        <v>1152</v>
      </c>
      <c r="U34" s="1319">
        <f t="shared" si="13"/>
        <v>100</v>
      </c>
      <c r="V34" s="1318" t="s">
        <v>1152</v>
      </c>
      <c r="W34" s="1319">
        <f t="shared" si="14"/>
        <v>100</v>
      </c>
      <c r="X34" s="1312"/>
      <c r="Y34" s="3682"/>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7" t="str">
        <f>A35</f>
        <v>成交单价（元/平方米）</v>
      </c>
      <c r="Q35" s="3667"/>
      <c r="R35" s="3668">
        <f>E35</f>
        <v>0</v>
      </c>
      <c r="S35" s="3668"/>
      <c r="T35" s="3668">
        <f>G35</f>
        <v>0</v>
      </c>
      <c r="U35" s="3668"/>
      <c r="V35" s="3668">
        <f>I35</f>
        <v>0</v>
      </c>
      <c r="W35" s="3668"/>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69" t="str">
        <f>A37</f>
        <v>估价对象XX用房的比较价值（楼面单价，元/平方米）</v>
      </c>
      <c r="Q37" s="3670"/>
      <c r="R37" s="3741" t="e">
        <f>IF(F1="售价",ROUND(IF(D36="简单平均",AVERAGE(R36:W36),R36*F36+T36*H36+V36*J36),0),ROUND(IF(D36="简单平均",AVERAGE(R36:V36),R36*F36+T36*H36+V36*J36),1))</f>
        <v>#DIV/0!</v>
      </c>
      <c r="S37" s="3741"/>
      <c r="T37" s="3741"/>
      <c r="U37" s="3741"/>
      <c r="V37" s="3741"/>
      <c r="W37" s="3741"/>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89" t="s">
        <v>1141</v>
      </c>
      <c r="D4" s="3690"/>
      <c r="E4" s="3691" t="s">
        <v>1142</v>
      </c>
      <c r="F4" s="3692"/>
      <c r="G4" s="3689" t="s">
        <v>1143</v>
      </c>
      <c r="H4" s="3690"/>
      <c r="I4" s="3689" t="s">
        <v>1144</v>
      </c>
      <c r="J4" s="3690"/>
      <c r="K4" s="1268"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2" t="s">
        <v>1143</v>
      </c>
      <c r="AC4" s="3651" t="s">
        <v>1144</v>
      </c>
    </row>
    <row r="5" spans="1:30" ht="15">
      <c r="A5" s="1123"/>
      <c r="B5" s="1124"/>
      <c r="C5" s="3723" t="s">
        <v>1147</v>
      </c>
      <c r="D5" s="3694"/>
      <c r="E5" s="3724" t="s">
        <v>1602</v>
      </c>
      <c r="F5" s="3696"/>
      <c r="G5" s="3723" t="s">
        <v>1603</v>
      </c>
      <c r="H5" s="3694"/>
      <c r="I5" s="3723" t="s">
        <v>1604</v>
      </c>
      <c r="J5" s="3694"/>
      <c r="K5" s="1268"/>
      <c r="L5" s="1269"/>
      <c r="M5" s="1270"/>
      <c r="N5" s="1270"/>
      <c r="O5" s="1270"/>
      <c r="P5" s="3657"/>
      <c r="Q5" s="3658"/>
      <c r="R5" s="3663"/>
      <c r="S5" s="3664"/>
      <c r="T5" s="3663"/>
      <c r="U5" s="3664"/>
      <c r="V5" s="3654"/>
      <c r="W5" s="3654"/>
      <c r="X5" s="1312"/>
      <c r="Y5" s="3663"/>
      <c r="Z5" s="3664"/>
      <c r="AA5" s="3652"/>
      <c r="AB5" s="3652"/>
      <c r="AC5" s="3652"/>
    </row>
    <row r="6" spans="1:30" ht="15">
      <c r="A6" s="1125"/>
      <c r="B6" s="1126"/>
      <c r="C6" s="3684" t="s">
        <v>1148</v>
      </c>
      <c r="D6" s="3685"/>
      <c r="E6" s="3686" t="s">
        <v>1148</v>
      </c>
      <c r="F6" s="3687"/>
      <c r="G6" s="3684" t="s">
        <v>1148</v>
      </c>
      <c r="H6" s="3685"/>
      <c r="I6" s="3684" t="s">
        <v>1148</v>
      </c>
      <c r="J6" s="3685"/>
      <c r="K6" s="1268" t="s">
        <v>1149</v>
      </c>
      <c r="L6" s="1269"/>
      <c r="M6" s="1270"/>
      <c r="N6" s="1270"/>
      <c r="O6" s="1270"/>
      <c r="P6" s="3659"/>
      <c r="Q6" s="3660"/>
      <c r="R6" s="3663"/>
      <c r="S6" s="3664"/>
      <c r="T6" s="3665"/>
      <c r="U6" s="3666"/>
      <c r="V6" s="3654"/>
      <c r="W6" s="3654"/>
      <c r="X6" s="1312"/>
      <c r="Y6" s="3665"/>
      <c r="Z6" s="3666"/>
      <c r="AA6" s="3653"/>
      <c r="AB6" s="3653"/>
      <c r="AC6" s="3653"/>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72" t="s">
        <v>1151</v>
      </c>
      <c r="Q7" s="3688"/>
      <c r="R7" s="1313" t="s">
        <v>1152</v>
      </c>
      <c r="S7" s="1314">
        <f t="shared" ref="S7:S15" si="0">F7</f>
        <v>0</v>
      </c>
      <c r="T7" s="1313" t="s">
        <v>1152</v>
      </c>
      <c r="U7" s="1314">
        <f t="shared" ref="U7:U15" si="1">H7</f>
        <v>0</v>
      </c>
      <c r="V7" s="1313" t="s">
        <v>1152</v>
      </c>
      <c r="W7" s="1314">
        <f t="shared" ref="W7:W15" si="2">J7</f>
        <v>0</v>
      </c>
      <c r="X7" s="1315"/>
      <c r="Y7" s="3672" t="s">
        <v>1151</v>
      </c>
      <c r="Z7" s="3673"/>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72" t="s">
        <v>1156</v>
      </c>
      <c r="Q8" s="3673"/>
      <c r="R8" s="1313" t="s">
        <v>1152</v>
      </c>
      <c r="S8" s="1314">
        <f t="shared" si="0"/>
        <v>0</v>
      </c>
      <c r="T8" s="1313" t="s">
        <v>1152</v>
      </c>
      <c r="U8" s="1314">
        <f t="shared" si="1"/>
        <v>0</v>
      </c>
      <c r="V8" s="1313" t="s">
        <v>1152</v>
      </c>
      <c r="W8" s="1314">
        <f t="shared" si="2"/>
        <v>0</v>
      </c>
      <c r="X8" s="1315"/>
      <c r="Y8" s="3672" t="s">
        <v>1156</v>
      </c>
      <c r="Z8" s="3673"/>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563"/>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563"/>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7"/>
      <c r="Q12" s="1317" t="str">
        <f t="shared" si="6"/>
        <v>配建</v>
      </c>
      <c r="R12" s="1313" t="s">
        <v>1152</v>
      </c>
      <c r="S12" s="1314">
        <f t="shared" si="0"/>
        <v>100</v>
      </c>
      <c r="T12" s="1313" t="s">
        <v>1152</v>
      </c>
      <c r="U12" s="1314">
        <f t="shared" si="1"/>
        <v>100</v>
      </c>
      <c r="V12" s="1313" t="s">
        <v>1152</v>
      </c>
      <c r="W12" s="1314">
        <f t="shared" si="2"/>
        <v>100</v>
      </c>
      <c r="X12" s="1315"/>
      <c r="Y12" s="3563"/>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80" t="s">
        <v>1165</v>
      </c>
      <c r="Q15" s="682" t="str">
        <f t="shared" si="6"/>
        <v>居住社区成熟度</v>
      </c>
      <c r="R15" s="1318" t="s">
        <v>1152</v>
      </c>
      <c r="S15" s="1319">
        <f t="shared" si="0"/>
        <v>100</v>
      </c>
      <c r="T15" s="1318" t="s">
        <v>1152</v>
      </c>
      <c r="U15" s="1319">
        <f t="shared" si="1"/>
        <v>100</v>
      </c>
      <c r="V15" s="1318" t="s">
        <v>1152</v>
      </c>
      <c r="W15" s="1319">
        <f t="shared" si="2"/>
        <v>100</v>
      </c>
      <c r="X15" s="1312"/>
      <c r="Y15" s="3680"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81"/>
      <c r="Q16" s="682"/>
      <c r="R16" s="1318"/>
      <c r="S16" s="1319"/>
      <c r="T16" s="1318"/>
      <c r="U16" s="1319"/>
      <c r="V16" s="1318"/>
      <c r="W16" s="1319"/>
      <c r="X16" s="1312"/>
      <c r="Y16" s="3681"/>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81"/>
      <c r="Q17" s="682" t="str">
        <f>B17</f>
        <v>商业繁华度</v>
      </c>
      <c r="R17" s="1318" t="s">
        <v>1152</v>
      </c>
      <c r="S17" s="1319">
        <f>F17</f>
        <v>100</v>
      </c>
      <c r="T17" s="1318" t="s">
        <v>1152</v>
      </c>
      <c r="U17" s="1319">
        <f>H17</f>
        <v>100</v>
      </c>
      <c r="V17" s="1318" t="s">
        <v>1152</v>
      </c>
      <c r="W17" s="1319">
        <f>J17</f>
        <v>100</v>
      </c>
      <c r="X17" s="1312"/>
      <c r="Y17" s="3681"/>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81"/>
      <c r="Q18" s="682"/>
      <c r="R18" s="1318"/>
      <c r="S18" s="1319"/>
      <c r="T18" s="1318"/>
      <c r="U18" s="1319"/>
      <c r="V18" s="1318"/>
      <c r="W18" s="1319"/>
      <c r="X18" s="1312"/>
      <c r="Y18" s="3681"/>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81"/>
      <c r="Q19" s="682" t="str">
        <f>B19</f>
        <v>办公集聚程度</v>
      </c>
      <c r="R19" s="1318" t="s">
        <v>1152</v>
      </c>
      <c r="S19" s="1319">
        <f>F19</f>
        <v>100</v>
      </c>
      <c r="T19" s="1318" t="s">
        <v>1152</v>
      </c>
      <c r="U19" s="1319">
        <f>H19</f>
        <v>100</v>
      </c>
      <c r="V19" s="1318" t="s">
        <v>1152</v>
      </c>
      <c r="W19" s="1319">
        <f>J19</f>
        <v>100</v>
      </c>
      <c r="X19" s="1312"/>
      <c r="Y19" s="3681"/>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81"/>
      <c r="Q20" s="682"/>
      <c r="R20" s="1318"/>
      <c r="S20" s="1319"/>
      <c r="T20" s="1318"/>
      <c r="U20" s="1319"/>
      <c r="V20" s="1318"/>
      <c r="W20" s="1319"/>
      <c r="X20" s="1312"/>
      <c r="Y20" s="3681"/>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81"/>
      <c r="Q21" s="682" t="str">
        <f>B21</f>
        <v>交通便捷度</v>
      </c>
      <c r="R21" s="1318" t="s">
        <v>1152</v>
      </c>
      <c r="S21" s="1319">
        <f>F21</f>
        <v>100</v>
      </c>
      <c r="T21" s="1318" t="s">
        <v>1152</v>
      </c>
      <c r="U21" s="1319">
        <f>H21</f>
        <v>100</v>
      </c>
      <c r="V21" s="1318" t="s">
        <v>1152</v>
      </c>
      <c r="W21" s="1319">
        <f>J21</f>
        <v>100</v>
      </c>
      <c r="X21" s="1312"/>
      <c r="Y21" s="3681"/>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81"/>
      <c r="Q22" s="682"/>
      <c r="R22" s="1318"/>
      <c r="S22" s="1319"/>
      <c r="T22" s="1318"/>
      <c r="U22" s="1319"/>
      <c r="V22" s="1318"/>
      <c r="W22" s="1319"/>
      <c r="X22" s="1312"/>
      <c r="Y22" s="3681"/>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81"/>
      <c r="Q23" s="682" t="str">
        <f t="shared" ref="Q23:Q38" si="8">B23</f>
        <v>区域土地利用方向</v>
      </c>
      <c r="R23" s="1318" t="s">
        <v>1152</v>
      </c>
      <c r="S23" s="1319">
        <f>F23</f>
        <v>100</v>
      </c>
      <c r="T23" s="1318" t="s">
        <v>1152</v>
      </c>
      <c r="U23" s="1319">
        <f>H23</f>
        <v>100</v>
      </c>
      <c r="V23" s="1318" t="s">
        <v>1152</v>
      </c>
      <c r="W23" s="1319">
        <f>J23</f>
        <v>100</v>
      </c>
      <c r="X23" s="1312"/>
      <c r="Y23" s="3681"/>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81"/>
      <c r="Q24" s="682"/>
      <c r="R24" s="1318"/>
      <c r="S24" s="1319"/>
      <c r="T24" s="1318"/>
      <c r="U24" s="1319"/>
      <c r="V24" s="1318"/>
      <c r="W24" s="1319"/>
      <c r="X24" s="1312"/>
      <c r="Y24" s="3681"/>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81"/>
      <c r="Q25" s="682" t="str">
        <f t="shared" si="8"/>
        <v>自然及人文环境状况</v>
      </c>
      <c r="R25" s="1318" t="s">
        <v>1152</v>
      </c>
      <c r="S25" s="1319">
        <f>F25</f>
        <v>100</v>
      </c>
      <c r="T25" s="1318" t="s">
        <v>1152</v>
      </c>
      <c r="U25" s="1319">
        <f>H25</f>
        <v>100</v>
      </c>
      <c r="V25" s="1318" t="s">
        <v>1152</v>
      </c>
      <c r="W25" s="1319">
        <f>J25</f>
        <v>100</v>
      </c>
      <c r="X25" s="1312"/>
      <c r="Y25" s="3681"/>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81"/>
      <c r="Q26" s="682"/>
      <c r="R26" s="1318"/>
      <c r="S26" s="1319"/>
      <c r="T26" s="1318"/>
      <c r="U26" s="1319"/>
      <c r="V26" s="1318"/>
      <c r="W26" s="1319"/>
      <c r="X26" s="1312"/>
      <c r="Y26" s="3681"/>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81"/>
      <c r="Q27" s="1317" t="str">
        <f t="shared" si="8"/>
        <v>公共配套设施</v>
      </c>
      <c r="R27" s="1313" t="s">
        <v>1152</v>
      </c>
      <c r="S27" s="1314">
        <f>F27</f>
        <v>100</v>
      </c>
      <c r="T27" s="1313" t="s">
        <v>1152</v>
      </c>
      <c r="U27" s="1314">
        <f>H27</f>
        <v>100</v>
      </c>
      <c r="V27" s="1313" t="s">
        <v>1152</v>
      </c>
      <c r="W27" s="1314">
        <f>J27</f>
        <v>100</v>
      </c>
      <c r="X27" s="1315"/>
      <c r="Y27" s="3681"/>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81"/>
      <c r="Q28" s="1317"/>
      <c r="R28" s="1313"/>
      <c r="S28" s="1314"/>
      <c r="T28" s="1313"/>
      <c r="U28" s="1314"/>
      <c r="V28" s="1313"/>
      <c r="W28" s="1314"/>
      <c r="X28" s="1315"/>
      <c r="Y28" s="3681"/>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81"/>
      <c r="Q29" s="1317" t="str">
        <f t="shared" ref="Q29" si="9">B29</f>
        <v>基础设施水平</v>
      </c>
      <c r="R29" s="1313" t="s">
        <v>1152</v>
      </c>
      <c r="S29" s="1314">
        <f>F29</f>
        <v>100</v>
      </c>
      <c r="T29" s="1313" t="s">
        <v>1152</v>
      </c>
      <c r="U29" s="1314">
        <f>H29</f>
        <v>100</v>
      </c>
      <c r="V29" s="1313" t="s">
        <v>1152</v>
      </c>
      <c r="W29" s="1314">
        <f>J29</f>
        <v>100</v>
      </c>
      <c r="X29" s="1315"/>
      <c r="Y29" s="3681"/>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81"/>
      <c r="Q30" s="1317"/>
      <c r="R30" s="1313"/>
      <c r="S30" s="1314"/>
      <c r="T30" s="1313"/>
      <c r="U30" s="1314"/>
      <c r="V30" s="1313"/>
      <c r="W30" s="1314"/>
      <c r="X30" s="1315"/>
      <c r="Y30" s="3681"/>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81"/>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81"/>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81"/>
      <c r="Q32" s="682" t="str">
        <f t="shared" si="8"/>
        <v>毗邻道路的类型与等级</v>
      </c>
      <c r="R32" s="1318" t="s">
        <v>1152</v>
      </c>
      <c r="S32" s="1319">
        <f t="shared" si="10"/>
        <v>100</v>
      </c>
      <c r="T32" s="1318" t="s">
        <v>1152</v>
      </c>
      <c r="U32" s="1319">
        <f t="shared" si="11"/>
        <v>100</v>
      </c>
      <c r="V32" s="1318" t="s">
        <v>1152</v>
      </c>
      <c r="W32" s="1319">
        <f t="shared" si="12"/>
        <v>100</v>
      </c>
      <c r="X32" s="1312"/>
      <c r="Y32" s="3681"/>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81"/>
      <c r="Q33" s="682"/>
      <c r="R33" s="1318"/>
      <c r="S33" s="1319"/>
      <c r="T33" s="1318"/>
      <c r="U33" s="1319"/>
      <c r="V33" s="1318"/>
      <c r="W33" s="1319"/>
      <c r="X33" s="1312"/>
      <c r="Y33" s="3681"/>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81"/>
      <c r="Q34" s="682" t="str">
        <f t="shared" si="8"/>
        <v>土地级别</v>
      </c>
      <c r="R34" s="1318" t="s">
        <v>1152</v>
      </c>
      <c r="S34" s="1319">
        <f t="shared" si="10"/>
        <v>100</v>
      </c>
      <c r="T34" s="1318" t="s">
        <v>1152</v>
      </c>
      <c r="U34" s="1319">
        <f t="shared" si="11"/>
        <v>100</v>
      </c>
      <c r="V34" s="1318" t="s">
        <v>1152</v>
      </c>
      <c r="W34" s="1319">
        <f t="shared" si="12"/>
        <v>100</v>
      </c>
      <c r="X34" s="1312"/>
      <c r="Y34" s="3681"/>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81"/>
      <c r="Q35" s="682">
        <f t="shared" si="8"/>
        <v>111</v>
      </c>
      <c r="R35" s="1318" t="s">
        <v>1152</v>
      </c>
      <c r="S35" s="1319">
        <f t="shared" si="10"/>
        <v>100</v>
      </c>
      <c r="T35" s="1318" t="s">
        <v>1152</v>
      </c>
      <c r="U35" s="1319">
        <f t="shared" si="11"/>
        <v>100</v>
      </c>
      <c r="V35" s="1318" t="s">
        <v>1152</v>
      </c>
      <c r="W35" s="1319">
        <f t="shared" si="12"/>
        <v>100</v>
      </c>
      <c r="X35" s="1312"/>
      <c r="Y35" s="3681"/>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0" t="s">
        <v>1182</v>
      </c>
      <c r="Q36" s="682">
        <f t="shared" si="8"/>
        <v>111</v>
      </c>
      <c r="R36" s="1318" t="s">
        <v>1152</v>
      </c>
      <c r="S36" s="1319">
        <f t="shared" si="10"/>
        <v>100</v>
      </c>
      <c r="T36" s="1318" t="s">
        <v>1152</v>
      </c>
      <c r="U36" s="1319">
        <f t="shared" si="11"/>
        <v>100</v>
      </c>
      <c r="V36" s="1318" t="s">
        <v>1152</v>
      </c>
      <c r="W36" s="1319">
        <f t="shared" si="12"/>
        <v>100</v>
      </c>
      <c r="X36" s="1312"/>
      <c r="Y36" s="3682"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82"/>
      <c r="Q37" s="682">
        <f t="shared" si="8"/>
        <v>111</v>
      </c>
      <c r="R37" s="1320" t="s">
        <v>1152</v>
      </c>
      <c r="S37" s="1321">
        <f t="shared" si="10"/>
        <v>100</v>
      </c>
      <c r="T37" s="1320" t="s">
        <v>1152</v>
      </c>
      <c r="U37" s="1321">
        <f t="shared" si="11"/>
        <v>100</v>
      </c>
      <c r="V37" s="1320" t="s">
        <v>1152</v>
      </c>
      <c r="W37" s="1321">
        <f t="shared" si="12"/>
        <v>100</v>
      </c>
      <c r="X37" s="1322"/>
      <c r="Y37" s="3682"/>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82"/>
      <c r="Q38" s="682" t="str">
        <f t="shared" si="8"/>
        <v>宗地面积</v>
      </c>
      <c r="R38" s="1318" t="s">
        <v>1152</v>
      </c>
      <c r="S38" s="1319" t="e">
        <f t="shared" si="10"/>
        <v>#N/A</v>
      </c>
      <c r="T38" s="1318" t="s">
        <v>1152</v>
      </c>
      <c r="U38" s="1319" t="e">
        <f t="shared" si="11"/>
        <v>#N/A</v>
      </c>
      <c r="V38" s="1318" t="s">
        <v>1152</v>
      </c>
      <c r="W38" s="1319" t="e">
        <f t="shared" si="12"/>
        <v>#N/A</v>
      </c>
      <c r="X38" s="1312"/>
      <c r="Y38" s="3682"/>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82"/>
      <c r="Q39" s="682" t="str">
        <f t="shared" ref="Q39:Q45" si="14">B39</f>
        <v>宗地形状</v>
      </c>
      <c r="R39" s="1318" t="s">
        <v>1152</v>
      </c>
      <c r="S39" s="1319">
        <f t="shared" si="10"/>
        <v>100</v>
      </c>
      <c r="T39" s="1318" t="s">
        <v>1152</v>
      </c>
      <c r="U39" s="1319">
        <f t="shared" si="11"/>
        <v>100</v>
      </c>
      <c r="V39" s="1318" t="s">
        <v>1152</v>
      </c>
      <c r="W39" s="1319">
        <f t="shared" si="12"/>
        <v>100</v>
      </c>
      <c r="X39" s="1312"/>
      <c r="Y39" s="3682"/>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82"/>
      <c r="Q40" s="682" t="str">
        <f t="shared" si="14"/>
        <v>临街宽度及深度</v>
      </c>
      <c r="R40" s="1318" t="s">
        <v>1152</v>
      </c>
      <c r="S40" s="1319">
        <f t="shared" si="10"/>
        <v>100</v>
      </c>
      <c r="T40" s="1318" t="s">
        <v>1152</v>
      </c>
      <c r="U40" s="1319">
        <f t="shared" si="11"/>
        <v>100</v>
      </c>
      <c r="V40" s="1318" t="s">
        <v>1152</v>
      </c>
      <c r="W40" s="1319">
        <f t="shared" si="12"/>
        <v>100</v>
      </c>
      <c r="X40" s="1312"/>
      <c r="Y40" s="3682"/>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82"/>
      <c r="Q41" s="682" t="str">
        <f t="shared" si="14"/>
        <v>宗地开发程度</v>
      </c>
      <c r="R41" s="1313" t="s">
        <v>1152</v>
      </c>
      <c r="S41" s="1314">
        <f t="shared" si="10"/>
        <v>100</v>
      </c>
      <c r="T41" s="1313" t="s">
        <v>1152</v>
      </c>
      <c r="U41" s="1314">
        <f t="shared" si="11"/>
        <v>100</v>
      </c>
      <c r="V41" s="1313" t="s">
        <v>1152</v>
      </c>
      <c r="W41" s="1314">
        <f t="shared" si="12"/>
        <v>100</v>
      </c>
      <c r="X41" s="1315"/>
      <c r="Y41" s="3682"/>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82" t="s">
        <v>1182</v>
      </c>
      <c r="Q42" s="682" t="str">
        <f t="shared" si="14"/>
        <v>工程地质条件</v>
      </c>
      <c r="R42" s="1318" t="s">
        <v>1152</v>
      </c>
      <c r="S42" s="1319">
        <f t="shared" si="10"/>
        <v>100</v>
      </c>
      <c r="T42" s="1318" t="s">
        <v>1152</v>
      </c>
      <c r="U42" s="1319">
        <f t="shared" si="11"/>
        <v>100</v>
      </c>
      <c r="V42" s="1318" t="s">
        <v>1152</v>
      </c>
      <c r="W42" s="1319">
        <f t="shared" si="12"/>
        <v>100</v>
      </c>
      <c r="X42" s="1312"/>
      <c r="Y42" s="3682"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82"/>
      <c r="Q43" s="682">
        <f t="shared" si="14"/>
        <v>111</v>
      </c>
      <c r="R43" s="1318" t="s">
        <v>1152</v>
      </c>
      <c r="S43" s="1319">
        <f t="shared" si="10"/>
        <v>100</v>
      </c>
      <c r="T43" s="1318" t="s">
        <v>1152</v>
      </c>
      <c r="U43" s="1319">
        <f t="shared" si="11"/>
        <v>100</v>
      </c>
      <c r="V43" s="1318" t="s">
        <v>1152</v>
      </c>
      <c r="W43" s="1319">
        <f t="shared" si="12"/>
        <v>100</v>
      </c>
      <c r="X43" s="1312"/>
      <c r="Y43" s="3682"/>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82"/>
      <c r="Q44" s="682">
        <f t="shared" si="14"/>
        <v>111</v>
      </c>
      <c r="R44" s="1318" t="s">
        <v>1152</v>
      </c>
      <c r="S44" s="1319">
        <f t="shared" si="10"/>
        <v>100</v>
      </c>
      <c r="T44" s="1318" t="s">
        <v>1152</v>
      </c>
      <c r="U44" s="1319">
        <f t="shared" si="11"/>
        <v>100</v>
      </c>
      <c r="V44" s="1318" t="s">
        <v>1152</v>
      </c>
      <c r="W44" s="1319">
        <f t="shared" si="12"/>
        <v>100</v>
      </c>
      <c r="X44" s="1312"/>
      <c r="Y44" s="3682"/>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82"/>
      <c r="Q45" s="682">
        <f t="shared" si="14"/>
        <v>111</v>
      </c>
      <c r="R45" s="1320" t="s">
        <v>1152</v>
      </c>
      <c r="S45" s="1321">
        <f t="shared" si="10"/>
        <v>100</v>
      </c>
      <c r="T45" s="1320" t="s">
        <v>1152</v>
      </c>
      <c r="U45" s="1321">
        <f t="shared" si="11"/>
        <v>100</v>
      </c>
      <c r="V45" s="1320" t="s">
        <v>1152</v>
      </c>
      <c r="W45" s="1321">
        <f t="shared" si="12"/>
        <v>100</v>
      </c>
      <c r="X45" s="1322"/>
      <c r="Y45" s="3682"/>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7" t="str">
        <f>A46</f>
        <v>成交单价</v>
      </c>
      <c r="Q46" s="3667"/>
      <c r="R46" s="3654">
        <f>E46</f>
        <v>0</v>
      </c>
      <c r="S46" s="3654"/>
      <c r="T46" s="3654">
        <f>G46</f>
        <v>0</v>
      </c>
      <c r="U46" s="3654"/>
      <c r="V46" s="3654">
        <f>I46</f>
        <v>0</v>
      </c>
      <c r="W46" s="3654"/>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7" t="str">
        <f>A47</f>
        <v>比较价值（元/平方米）</v>
      </c>
      <c r="Q47" s="3667"/>
      <c r="R47" s="3743" t="e">
        <f>ROUND(PRODUCT(R46,AA7:AA45),0)</f>
        <v>#DIV/0!</v>
      </c>
      <c r="S47" s="3743"/>
      <c r="T47" s="3743" t="e">
        <f>ROUND(PRODUCT(T46,AB7:AB45),0)</f>
        <v>#DIV/0!</v>
      </c>
      <c r="U47" s="3743"/>
      <c r="V47" s="3743" t="e">
        <f>ROUND(PRODUCT(V46,AC7:AC45),0)</f>
        <v>#DIV/0!</v>
      </c>
      <c r="W47" s="3743"/>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69" t="str">
        <f>A48</f>
        <v>估价对象XX用房的比较价值（楼面单价，元/平方米）</v>
      </c>
      <c r="Q48" s="3670"/>
      <c r="R48" s="3744" t="e">
        <f>ROUND(IF(D47="简单平均",AVERAGE(R47:W47),R47*F47+T47*H47+V47*J47),0)</f>
        <v>#DIV/0!</v>
      </c>
      <c r="S48" s="3744"/>
      <c r="T48" s="3744"/>
      <c r="U48" s="3744"/>
      <c r="V48" s="3744"/>
      <c r="W48" s="3744"/>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89" t="s">
        <v>1680</v>
      </c>
      <c r="H55" s="3742"/>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98.8</v>
      </c>
      <c r="F56" s="1462" t="e">
        <f t="shared" ref="F56:F64" si="15">ROUND(B56*E56/10000,0)</f>
        <v>#DIV/0!</v>
      </c>
      <c r="G56" s="3674"/>
      <c r="H56" s="3667"/>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98.8</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89" t="s">
        <v>1141</v>
      </c>
      <c r="D4" s="3690"/>
      <c r="E4" s="3691" t="s">
        <v>1142</v>
      </c>
      <c r="F4" s="3692"/>
      <c r="G4" s="3689" t="s">
        <v>1143</v>
      </c>
      <c r="H4" s="3690"/>
      <c r="I4" s="3689" t="s">
        <v>1144</v>
      </c>
      <c r="J4" s="3690"/>
      <c r="K4" s="1268" t="s">
        <v>1145</v>
      </c>
      <c r="L4" s="1269"/>
      <c r="M4" s="1270"/>
      <c r="N4" s="1270"/>
      <c r="O4" s="1270"/>
      <c r="P4" s="3655" t="s">
        <v>1146</v>
      </c>
      <c r="Q4" s="3656"/>
      <c r="R4" s="3661" t="s">
        <v>1142</v>
      </c>
      <c r="S4" s="3662"/>
      <c r="T4" s="3661" t="s">
        <v>1143</v>
      </c>
      <c r="U4" s="3662"/>
      <c r="V4" s="3654" t="s">
        <v>1144</v>
      </c>
      <c r="W4" s="3654"/>
      <c r="X4" s="1312"/>
      <c r="Y4" s="3661" t="s">
        <v>1146</v>
      </c>
      <c r="Z4" s="3662"/>
      <c r="AA4" s="3651" t="s">
        <v>1142</v>
      </c>
      <c r="AB4" s="3652" t="s">
        <v>1143</v>
      </c>
      <c r="AC4" s="3651" t="s">
        <v>1144</v>
      </c>
    </row>
    <row r="5" spans="1:29" ht="15">
      <c r="A5" s="1123"/>
      <c r="B5" s="1124"/>
      <c r="C5" s="3723" t="s">
        <v>1147</v>
      </c>
      <c r="D5" s="3694"/>
      <c r="E5" s="3724" t="s">
        <v>1602</v>
      </c>
      <c r="F5" s="3696"/>
      <c r="G5" s="3723" t="s">
        <v>1603</v>
      </c>
      <c r="H5" s="3694"/>
      <c r="I5" s="3723" t="s">
        <v>1604</v>
      </c>
      <c r="J5" s="3694"/>
      <c r="K5" s="1268"/>
      <c r="L5" s="1269"/>
      <c r="M5" s="1270"/>
      <c r="N5" s="1270"/>
      <c r="O5" s="1270"/>
      <c r="P5" s="3657"/>
      <c r="Q5" s="3658"/>
      <c r="R5" s="3663"/>
      <c r="S5" s="3664"/>
      <c r="T5" s="3663"/>
      <c r="U5" s="3664"/>
      <c r="V5" s="3654"/>
      <c r="W5" s="3654"/>
      <c r="X5" s="1312"/>
      <c r="Y5" s="3663"/>
      <c r="Z5" s="3664"/>
      <c r="AA5" s="3652"/>
      <c r="AB5" s="3652"/>
      <c r="AC5" s="3652"/>
    </row>
    <row r="6" spans="1:29" ht="15">
      <c r="A6" s="1125"/>
      <c r="B6" s="1126"/>
      <c r="C6" s="3745" t="s">
        <v>1704</v>
      </c>
      <c r="D6" s="3746"/>
      <c r="E6" s="3747" t="s">
        <v>1704</v>
      </c>
      <c r="F6" s="3748"/>
      <c r="G6" s="3745" t="s">
        <v>1704</v>
      </c>
      <c r="H6" s="3746"/>
      <c r="I6" s="3745" t="s">
        <v>1704</v>
      </c>
      <c r="J6" s="3746"/>
      <c r="K6" s="1268" t="s">
        <v>1149</v>
      </c>
      <c r="L6" s="1269"/>
      <c r="M6" s="1270"/>
      <c r="N6" s="1270"/>
      <c r="O6" s="1270"/>
      <c r="P6" s="3659"/>
      <c r="Q6" s="3660"/>
      <c r="R6" s="3663"/>
      <c r="S6" s="3664"/>
      <c r="T6" s="3665"/>
      <c r="U6" s="3666"/>
      <c r="V6" s="3654"/>
      <c r="W6" s="3654"/>
      <c r="X6" s="1312"/>
      <c r="Y6" s="3665"/>
      <c r="Z6" s="3666"/>
      <c r="AA6" s="3653"/>
      <c r="AB6" s="3653"/>
      <c r="AC6" s="3653"/>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72" t="s">
        <v>1151</v>
      </c>
      <c r="Q7" s="3688"/>
      <c r="R7" s="1313" t="s">
        <v>1152</v>
      </c>
      <c r="S7" s="1314">
        <f t="shared" ref="S7:S15" si="0">F7</f>
        <v>0</v>
      </c>
      <c r="T7" s="1313" t="s">
        <v>1152</v>
      </c>
      <c r="U7" s="1314">
        <f t="shared" ref="U7:U15" si="1">H7</f>
        <v>0</v>
      </c>
      <c r="V7" s="1313" t="s">
        <v>1152</v>
      </c>
      <c r="W7" s="1314">
        <f t="shared" ref="W7:W15" si="2">J7</f>
        <v>0</v>
      </c>
      <c r="X7" s="1315"/>
      <c r="Y7" s="3672" t="s">
        <v>1151</v>
      </c>
      <c r="Z7" s="3673"/>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72" t="s">
        <v>1156</v>
      </c>
      <c r="Q8" s="3673"/>
      <c r="R8" s="1313" t="s">
        <v>1152</v>
      </c>
      <c r="S8" s="1314">
        <f t="shared" si="0"/>
        <v>0</v>
      </c>
      <c r="T8" s="1313" t="s">
        <v>1152</v>
      </c>
      <c r="U8" s="1314">
        <f t="shared" si="1"/>
        <v>0</v>
      </c>
      <c r="V8" s="1313" t="s">
        <v>1152</v>
      </c>
      <c r="W8" s="1314">
        <f t="shared" si="2"/>
        <v>0</v>
      </c>
      <c r="X8" s="1315"/>
      <c r="Y8" s="3672" t="s">
        <v>1156</v>
      </c>
      <c r="Z8" s="3673"/>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563"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563"/>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56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563"/>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563"/>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563"/>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80" t="s">
        <v>1165</v>
      </c>
      <c r="Q15" s="682" t="str">
        <f t="shared" si="6"/>
        <v>产业集聚程度</v>
      </c>
      <c r="R15" s="1318" t="s">
        <v>1152</v>
      </c>
      <c r="S15" s="1319">
        <f t="shared" si="0"/>
        <v>100</v>
      </c>
      <c r="T15" s="1318" t="s">
        <v>1152</v>
      </c>
      <c r="U15" s="1319">
        <f t="shared" si="1"/>
        <v>100</v>
      </c>
      <c r="V15" s="1318" t="s">
        <v>1152</v>
      </c>
      <c r="W15" s="1319">
        <f t="shared" si="2"/>
        <v>100</v>
      </c>
      <c r="X15" s="1312"/>
      <c r="Y15" s="3680"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81"/>
      <c r="Q16" s="682"/>
      <c r="R16" s="1318"/>
      <c r="S16" s="1319"/>
      <c r="T16" s="1318"/>
      <c r="U16" s="1319"/>
      <c r="V16" s="1318"/>
      <c r="W16" s="1319"/>
      <c r="X16" s="1312"/>
      <c r="Y16" s="3681"/>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81"/>
      <c r="Q17" s="682" t="str">
        <f>B17</f>
        <v>交通便捷度</v>
      </c>
      <c r="R17" s="1318" t="s">
        <v>1152</v>
      </c>
      <c r="S17" s="1319">
        <f>F17</f>
        <v>100</v>
      </c>
      <c r="T17" s="1318" t="s">
        <v>1152</v>
      </c>
      <c r="U17" s="1319">
        <f>H17</f>
        <v>100</v>
      </c>
      <c r="V17" s="1318" t="s">
        <v>1152</v>
      </c>
      <c r="W17" s="1319">
        <f>J17</f>
        <v>100</v>
      </c>
      <c r="X17" s="1312"/>
      <c r="Y17" s="3681"/>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81"/>
      <c r="Q18" s="682"/>
      <c r="R18" s="1318"/>
      <c r="S18" s="1319"/>
      <c r="T18" s="1318"/>
      <c r="U18" s="1319"/>
      <c r="V18" s="1318"/>
      <c r="W18" s="1319"/>
      <c r="X18" s="1312"/>
      <c r="Y18" s="3681"/>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81"/>
      <c r="Q19" s="682" t="str">
        <f t="shared" ref="Q19:Q34" si="8">B19</f>
        <v>区域土地利用方向</v>
      </c>
      <c r="R19" s="1318" t="s">
        <v>1152</v>
      </c>
      <c r="S19" s="1319">
        <f>F19</f>
        <v>100</v>
      </c>
      <c r="T19" s="1318" t="s">
        <v>1152</v>
      </c>
      <c r="U19" s="1319">
        <f>H19</f>
        <v>100</v>
      </c>
      <c r="V19" s="1318" t="s">
        <v>1152</v>
      </c>
      <c r="W19" s="1319">
        <f>J19</f>
        <v>100</v>
      </c>
      <c r="X19" s="1312"/>
      <c r="Y19" s="3681"/>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81"/>
      <c r="Q20" s="682"/>
      <c r="R20" s="1318"/>
      <c r="S20" s="1319"/>
      <c r="T20" s="1318"/>
      <c r="U20" s="1319"/>
      <c r="V20" s="1318"/>
      <c r="W20" s="1319"/>
      <c r="X20" s="1312"/>
      <c r="Y20" s="3681"/>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81"/>
      <c r="Q21" s="682" t="str">
        <f t="shared" si="8"/>
        <v>环境状况</v>
      </c>
      <c r="R21" s="1318" t="s">
        <v>1152</v>
      </c>
      <c r="S21" s="1319">
        <f>F21</f>
        <v>100</v>
      </c>
      <c r="T21" s="1318" t="s">
        <v>1152</v>
      </c>
      <c r="U21" s="1319">
        <f>H21</f>
        <v>100</v>
      </c>
      <c r="V21" s="1318" t="s">
        <v>1152</v>
      </c>
      <c r="W21" s="1319">
        <f>J21</f>
        <v>100</v>
      </c>
      <c r="X21" s="1312"/>
      <c r="Y21" s="3681"/>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81"/>
      <c r="Q22" s="682"/>
      <c r="R22" s="1318"/>
      <c r="S22" s="1319"/>
      <c r="T22" s="1318"/>
      <c r="U22" s="1319"/>
      <c r="V22" s="1318"/>
      <c r="W22" s="1319"/>
      <c r="X22" s="1312"/>
      <c r="Y22" s="3681"/>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81"/>
      <c r="Q23" s="1317" t="str">
        <f t="shared" si="8"/>
        <v>公共配套设施</v>
      </c>
      <c r="R23" s="1313" t="s">
        <v>1152</v>
      </c>
      <c r="S23" s="1314">
        <f>F23</f>
        <v>100</v>
      </c>
      <c r="T23" s="1313" t="s">
        <v>1152</v>
      </c>
      <c r="U23" s="1314">
        <f>H23</f>
        <v>100</v>
      </c>
      <c r="V23" s="1313" t="s">
        <v>1152</v>
      </c>
      <c r="W23" s="1314">
        <f>J23</f>
        <v>100</v>
      </c>
      <c r="X23" s="1315"/>
      <c r="Y23" s="3681"/>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81"/>
      <c r="Q24" s="1317"/>
      <c r="R24" s="1313"/>
      <c r="S24" s="1314"/>
      <c r="T24" s="1313"/>
      <c r="U24" s="1314"/>
      <c r="V24" s="1313"/>
      <c r="W24" s="1314"/>
      <c r="X24" s="1315"/>
      <c r="Y24" s="3681"/>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81"/>
      <c r="Q25" s="1317" t="str">
        <f t="shared" ref="Q25" si="9">B25</f>
        <v>基础设施水平</v>
      </c>
      <c r="R25" s="1313" t="s">
        <v>1152</v>
      </c>
      <c r="S25" s="1314">
        <f>F25</f>
        <v>100</v>
      </c>
      <c r="T25" s="1313" t="s">
        <v>1152</v>
      </c>
      <c r="U25" s="1314">
        <f>H25</f>
        <v>100</v>
      </c>
      <c r="V25" s="1313" t="s">
        <v>1152</v>
      </c>
      <c r="W25" s="1314">
        <f>J25</f>
        <v>100</v>
      </c>
      <c r="X25" s="1315"/>
      <c r="Y25" s="3681"/>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81"/>
      <c r="Q26" s="1317"/>
      <c r="R26" s="1313"/>
      <c r="S26" s="1314"/>
      <c r="T26" s="1313"/>
      <c r="U26" s="1314"/>
      <c r="V26" s="1313"/>
      <c r="W26" s="1314"/>
      <c r="X26" s="1315"/>
      <c r="Y26" s="3681"/>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81"/>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81"/>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81"/>
      <c r="Q28" s="682" t="str">
        <f t="shared" si="8"/>
        <v>毗邻道路的类型与等级</v>
      </c>
      <c r="R28" s="1318" t="s">
        <v>1152</v>
      </c>
      <c r="S28" s="1319">
        <f t="shared" si="10"/>
        <v>100</v>
      </c>
      <c r="T28" s="1318" t="s">
        <v>1152</v>
      </c>
      <c r="U28" s="1319">
        <f t="shared" si="11"/>
        <v>100</v>
      </c>
      <c r="V28" s="1318" t="s">
        <v>1152</v>
      </c>
      <c r="W28" s="1319">
        <f t="shared" si="12"/>
        <v>100</v>
      </c>
      <c r="X28" s="1312"/>
      <c r="Y28" s="3681"/>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81"/>
      <c r="Q29" s="682"/>
      <c r="R29" s="1318"/>
      <c r="S29" s="1319"/>
      <c r="T29" s="1318"/>
      <c r="U29" s="1319"/>
      <c r="V29" s="1318"/>
      <c r="W29" s="1319"/>
      <c r="X29" s="1312"/>
      <c r="Y29" s="3681"/>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81"/>
      <c r="Q30" s="682" t="str">
        <f t="shared" si="8"/>
        <v>土地级别</v>
      </c>
      <c r="R30" s="1318" t="s">
        <v>1152</v>
      </c>
      <c r="S30" s="1319">
        <f t="shared" si="10"/>
        <v>100</v>
      </c>
      <c r="T30" s="1318" t="s">
        <v>1152</v>
      </c>
      <c r="U30" s="1319">
        <f t="shared" si="11"/>
        <v>100</v>
      </c>
      <c r="V30" s="1318" t="s">
        <v>1152</v>
      </c>
      <c r="W30" s="1319">
        <f t="shared" si="12"/>
        <v>100</v>
      </c>
      <c r="X30" s="1312"/>
      <c r="Y30" s="3681"/>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81"/>
      <c r="Q31" s="682">
        <f t="shared" si="8"/>
        <v>111</v>
      </c>
      <c r="R31" s="1318" t="s">
        <v>1152</v>
      </c>
      <c r="S31" s="1319">
        <f t="shared" si="10"/>
        <v>100</v>
      </c>
      <c r="T31" s="1318" t="s">
        <v>1152</v>
      </c>
      <c r="U31" s="1319">
        <f t="shared" si="11"/>
        <v>100</v>
      </c>
      <c r="V31" s="1318" t="s">
        <v>1152</v>
      </c>
      <c r="W31" s="1319">
        <f t="shared" si="12"/>
        <v>100</v>
      </c>
      <c r="X31" s="1312"/>
      <c r="Y31" s="3681"/>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0" t="s">
        <v>1182</v>
      </c>
      <c r="Q32" s="682">
        <f t="shared" si="8"/>
        <v>111</v>
      </c>
      <c r="R32" s="1318" t="s">
        <v>1152</v>
      </c>
      <c r="S32" s="1319">
        <f t="shared" si="10"/>
        <v>100</v>
      </c>
      <c r="T32" s="1318" t="s">
        <v>1152</v>
      </c>
      <c r="U32" s="1319">
        <f t="shared" si="11"/>
        <v>100</v>
      </c>
      <c r="V32" s="1318" t="s">
        <v>1152</v>
      </c>
      <c r="W32" s="1319">
        <f t="shared" si="12"/>
        <v>100</v>
      </c>
      <c r="X32" s="1312"/>
      <c r="Y32" s="3682"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82"/>
      <c r="Q33" s="682">
        <f t="shared" si="8"/>
        <v>111</v>
      </c>
      <c r="R33" s="1320" t="s">
        <v>1152</v>
      </c>
      <c r="S33" s="1321">
        <f t="shared" si="10"/>
        <v>100</v>
      </c>
      <c r="T33" s="1320" t="s">
        <v>1152</v>
      </c>
      <c r="U33" s="1321">
        <f t="shared" si="11"/>
        <v>100</v>
      </c>
      <c r="V33" s="1320" t="s">
        <v>1152</v>
      </c>
      <c r="W33" s="1321">
        <f t="shared" si="12"/>
        <v>100</v>
      </c>
      <c r="X33" s="1322"/>
      <c r="Y33" s="3682"/>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82"/>
      <c r="Q34" s="682" t="str">
        <f t="shared" si="8"/>
        <v>宗地面积</v>
      </c>
      <c r="R34" s="1318" t="s">
        <v>1152</v>
      </c>
      <c r="S34" s="1319" t="e">
        <f t="shared" si="10"/>
        <v>#N/A</v>
      </c>
      <c r="T34" s="1318" t="s">
        <v>1152</v>
      </c>
      <c r="U34" s="1319" t="e">
        <f t="shared" si="11"/>
        <v>#N/A</v>
      </c>
      <c r="V34" s="1318" t="s">
        <v>1152</v>
      </c>
      <c r="W34" s="1319" t="e">
        <f t="shared" si="12"/>
        <v>#N/A</v>
      </c>
      <c r="X34" s="1312"/>
      <c r="Y34" s="3682"/>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82"/>
      <c r="Q35" s="682" t="str">
        <f t="shared" ref="Q35:Q40" si="14">B35</f>
        <v>宗地形状</v>
      </c>
      <c r="R35" s="1318" t="s">
        <v>1152</v>
      </c>
      <c r="S35" s="1319">
        <f t="shared" si="10"/>
        <v>100</v>
      </c>
      <c r="T35" s="1318" t="s">
        <v>1152</v>
      </c>
      <c r="U35" s="1319">
        <f t="shared" si="11"/>
        <v>100</v>
      </c>
      <c r="V35" s="1318" t="s">
        <v>1152</v>
      </c>
      <c r="W35" s="1319">
        <f t="shared" si="12"/>
        <v>100</v>
      </c>
      <c r="X35" s="1312"/>
      <c r="Y35" s="3682"/>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82"/>
      <c r="Q36" s="682" t="str">
        <f t="shared" si="14"/>
        <v>宗地开发程度</v>
      </c>
      <c r="R36" s="1313" t="s">
        <v>1152</v>
      </c>
      <c r="S36" s="1314">
        <f t="shared" si="10"/>
        <v>100</v>
      </c>
      <c r="T36" s="1313" t="s">
        <v>1152</v>
      </c>
      <c r="U36" s="1314">
        <f t="shared" si="11"/>
        <v>100</v>
      </c>
      <c r="V36" s="1313" t="s">
        <v>1152</v>
      </c>
      <c r="W36" s="1314">
        <f t="shared" si="12"/>
        <v>100</v>
      </c>
      <c r="X36" s="1315"/>
      <c r="Y36" s="3682"/>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82" t="s">
        <v>1182</v>
      </c>
      <c r="Q37" s="682" t="str">
        <f t="shared" si="14"/>
        <v>工程地质条件</v>
      </c>
      <c r="R37" s="1318" t="s">
        <v>1152</v>
      </c>
      <c r="S37" s="1319">
        <f t="shared" si="10"/>
        <v>100</v>
      </c>
      <c r="T37" s="1318" t="s">
        <v>1152</v>
      </c>
      <c r="U37" s="1319">
        <f t="shared" si="11"/>
        <v>100</v>
      </c>
      <c r="V37" s="1318" t="s">
        <v>1152</v>
      </c>
      <c r="W37" s="1319">
        <f t="shared" si="12"/>
        <v>100</v>
      </c>
      <c r="X37" s="1312"/>
      <c r="Y37" s="3682"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82"/>
      <c r="Q38" s="682">
        <f t="shared" si="14"/>
        <v>111</v>
      </c>
      <c r="R38" s="1318" t="s">
        <v>1152</v>
      </c>
      <c r="S38" s="1319">
        <f t="shared" si="10"/>
        <v>100</v>
      </c>
      <c r="T38" s="1318" t="s">
        <v>1152</v>
      </c>
      <c r="U38" s="1319">
        <f t="shared" si="11"/>
        <v>100</v>
      </c>
      <c r="V38" s="1318" t="s">
        <v>1152</v>
      </c>
      <c r="W38" s="1319">
        <f t="shared" si="12"/>
        <v>100</v>
      </c>
      <c r="X38" s="1312"/>
      <c r="Y38" s="3682"/>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82"/>
      <c r="Q39" s="682">
        <f t="shared" si="14"/>
        <v>111</v>
      </c>
      <c r="R39" s="1318" t="s">
        <v>1152</v>
      </c>
      <c r="S39" s="1319">
        <f t="shared" si="10"/>
        <v>100</v>
      </c>
      <c r="T39" s="1318" t="s">
        <v>1152</v>
      </c>
      <c r="U39" s="1319">
        <f t="shared" si="11"/>
        <v>100</v>
      </c>
      <c r="V39" s="1318" t="s">
        <v>1152</v>
      </c>
      <c r="W39" s="1319">
        <f t="shared" si="12"/>
        <v>100</v>
      </c>
      <c r="X39" s="1312"/>
      <c r="Y39" s="3682"/>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82"/>
      <c r="Q40" s="682">
        <f t="shared" si="14"/>
        <v>111</v>
      </c>
      <c r="R40" s="1320" t="s">
        <v>1152</v>
      </c>
      <c r="S40" s="1321">
        <f t="shared" si="10"/>
        <v>100</v>
      </c>
      <c r="T40" s="1320" t="s">
        <v>1152</v>
      </c>
      <c r="U40" s="1321">
        <f t="shared" si="11"/>
        <v>100</v>
      </c>
      <c r="V40" s="1320" t="s">
        <v>1152</v>
      </c>
      <c r="W40" s="1321">
        <f t="shared" si="12"/>
        <v>100</v>
      </c>
      <c r="X40" s="1322"/>
      <c r="Y40" s="3682"/>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7" t="str">
        <f>A41</f>
        <v>成交单价</v>
      </c>
      <c r="Q41" s="3667"/>
      <c r="R41" s="3654">
        <f>E41</f>
        <v>0</v>
      </c>
      <c r="S41" s="3654"/>
      <c r="T41" s="3654">
        <f>G41</f>
        <v>0</v>
      </c>
      <c r="U41" s="3654"/>
      <c r="V41" s="3654">
        <f>I41</f>
        <v>0</v>
      </c>
      <c r="W41" s="3654"/>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7" t="str">
        <f>A42</f>
        <v>比较价值（元/平方米）</v>
      </c>
      <c r="Q42" s="3667"/>
      <c r="R42" s="3743" t="e">
        <f>ROUND(PRODUCT(R41,AA7:AA40),0)</f>
        <v>#DIV/0!</v>
      </c>
      <c r="S42" s="3743"/>
      <c r="T42" s="3743" t="e">
        <f>ROUND(PRODUCT(T41,AB7:AB40),0)</f>
        <v>#DIV/0!</v>
      </c>
      <c r="U42" s="3743"/>
      <c r="V42" s="3743" t="e">
        <f>ROUND(PRODUCT(V41,AC7:AC40),0)</f>
        <v>#DIV/0!</v>
      </c>
      <c r="W42" s="3743"/>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69" t="str">
        <f>A43</f>
        <v>估价对象XX用房的比较价值（楼面单价，元/平方米）</v>
      </c>
      <c r="Q43" s="3670"/>
      <c r="R43" s="3744" t="e">
        <f>ROUND(IF(D42="简单平均",AVERAGE(R42:W42),R42*F42+T42*H42+V42*J42),0)</f>
        <v>#DIV/0!</v>
      </c>
      <c r="S43" s="3744"/>
      <c r="T43" s="3744"/>
      <c r="U43" s="3744"/>
      <c r="V43" s="3744"/>
      <c r="W43" s="3744"/>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89" t="s">
        <v>1680</v>
      </c>
      <c r="H50" s="3742"/>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98.8</v>
      </c>
      <c r="F51" s="1237" t="e">
        <f t="shared" ref="F51:F60" si="15">ROUND(B51*E51/10000,0)</f>
        <v>#DIV/0!</v>
      </c>
      <c r="G51" s="3674"/>
      <c r="H51" s="3667"/>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49" t="s">
        <v>1710</v>
      </c>
      <c r="D1" s="3750"/>
      <c r="E1" s="3750"/>
      <c r="F1" s="3750"/>
      <c r="G1" s="3750"/>
      <c r="H1" s="3750"/>
      <c r="I1" s="3750"/>
      <c r="J1" s="3750"/>
      <c r="K1" s="3750"/>
      <c r="L1" s="3750"/>
      <c r="M1" s="3750"/>
      <c r="N1" s="3750"/>
      <c r="O1" s="3750"/>
      <c r="P1" s="3750"/>
      <c r="Q1" s="3750"/>
      <c r="R1" s="3750"/>
      <c r="S1" s="3751"/>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2" t="s">
        <v>124</v>
      </c>
      <c r="D22" s="3753"/>
      <c r="E22" s="3753"/>
      <c r="F22" s="3753"/>
      <c r="G22" s="3753"/>
      <c r="H22" s="3753"/>
      <c r="I22" s="3753"/>
      <c r="J22" s="3753"/>
      <c r="K22" s="3753"/>
      <c r="L22" s="3753"/>
      <c r="M22" s="3753"/>
      <c r="N22" s="3753"/>
      <c r="O22" s="3753"/>
      <c r="P22" s="3753"/>
      <c r="Q22" s="3754"/>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98.8</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98.8</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60.076999999999998</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19760</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19760</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19760</v>
      </c>
      <c r="D10" s="412">
        <f ca="1">IF(B1="",'数据-汇总表'!E6,IF(INDIRECT("'数据-取费表'!c"&amp;$G$1)="住宅",INDIRECT("'数据-取费表'!s"&amp;$G$1),INDIRECT("'数据-取费表'!k"&amp;$G$1)+INDIRECT("'数据-取费表'!s"&amp;$G$1)))</f>
        <v>98.8</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98.8</v>
      </c>
      <c r="E19" s="396">
        <f>'数据-取费表'!B31</f>
        <v>200</v>
      </c>
      <c r="F19" s="421"/>
      <c r="G19" s="958" t="s">
        <v>1739</v>
      </c>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1203</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18</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3053</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26679</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495482</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444600</v>
      </c>
      <c r="D34" s="402"/>
      <c r="E34" s="405"/>
      <c r="F34" s="451"/>
      <c r="G34" s="404"/>
    </row>
    <row r="35" spans="1:7" ht="13.5" customHeight="1">
      <c r="A35" s="430" t="s">
        <v>1048</v>
      </c>
      <c r="B35" s="400" t="s">
        <v>1106</v>
      </c>
      <c r="C35" s="405">
        <f ca="1">ROUND(C34*F35,0)</f>
        <v>22230</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19760</v>
      </c>
      <c r="D37" s="402">
        <f ca="1">D19</f>
        <v>98.8</v>
      </c>
      <c r="E37" s="443">
        <f>'数据-取费表'!B35</f>
        <v>200</v>
      </c>
      <c r="F37" s="452"/>
      <c r="G37" s="454"/>
    </row>
    <row r="38" spans="1:7" ht="13.5" customHeight="1">
      <c r="A38" s="430" t="s">
        <v>1112</v>
      </c>
      <c r="B38" s="400" t="s">
        <v>978</v>
      </c>
      <c r="C38" s="405">
        <f ca="1">ROUND(C34*F38,0)</f>
        <v>8892</v>
      </c>
      <c r="D38" s="405"/>
      <c r="E38" s="405"/>
      <c r="F38" s="452">
        <f>'数据-取费表'!B36</f>
        <v>0.02</v>
      </c>
      <c r="G38" s="404" t="s">
        <v>1107</v>
      </c>
    </row>
    <row r="39" spans="1:7" s="376" customFormat="1" ht="13.5" customHeight="1">
      <c r="A39" s="394" t="s">
        <v>1073</v>
      </c>
      <c r="B39" s="395" t="s">
        <v>1076</v>
      </c>
      <c r="C39" s="422">
        <f ca="1">ROUND(C33*F20,0)</f>
        <v>14864</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15310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14864</v>
      </c>
      <c r="D42" s="432"/>
      <c r="E42" s="432"/>
      <c r="F42" s="433"/>
      <c r="G42" s="3648" t="s">
        <v>1742</v>
      </c>
    </row>
    <row r="43" spans="1:7" ht="13.5" customHeight="1">
      <c r="A43" s="430" t="s">
        <v>1048</v>
      </c>
      <c r="B43" s="400" t="s">
        <v>1086</v>
      </c>
      <c r="C43" s="432">
        <f ca="1">ROUND(IF('数据-取费表'!B22&lt;=1,C39*F22*'数据-取费表'!B20/2,C39*(POWER((1+F22),'数据-取费表'!B20/2)-1)),0)</f>
        <v>446</v>
      </c>
      <c r="D43" s="432"/>
      <c r="E43" s="432"/>
      <c r="F43" s="433"/>
      <c r="G43" s="3649"/>
    </row>
    <row r="44" spans="1:7" ht="13.5" customHeight="1">
      <c r="A44" s="430" t="s">
        <v>1050</v>
      </c>
      <c r="B44" s="400" t="s">
        <v>1088</v>
      </c>
      <c r="C44" s="432">
        <f ca="1">ROUND(IF('数据-取费表'!B22&lt;=1,C40*F22*'数据-取费表'!B20/2,C40*(POWER((1+F22),'数据-取费表'!B20/2)-1)),4)</f>
        <v>5.9999999999999995E-4</v>
      </c>
      <c r="D44" s="432"/>
      <c r="E44" s="432"/>
      <c r="F44" s="433"/>
      <c r="G44" s="3650"/>
    </row>
    <row r="45" spans="1:7" s="376" customFormat="1" ht="13.5" customHeight="1">
      <c r="A45" s="394" t="s">
        <v>1082</v>
      </c>
      <c r="B45" s="438" t="s">
        <v>1093</v>
      </c>
      <c r="C45" s="439">
        <f ca="1">C46</f>
        <v>76552</v>
      </c>
      <c r="D45" s="425">
        <f ca="1">C47</f>
        <v>3.0000000000000001E-3</v>
      </c>
      <c r="E45" s="426" t="s">
        <v>1114</v>
      </c>
      <c r="F45" s="440">
        <f ca="1">F27</f>
        <v>0.15</v>
      </c>
      <c r="G45" s="441" t="s">
        <v>1117</v>
      </c>
    </row>
    <row r="46" spans="1:7" s="376" customFormat="1" ht="13.5" customHeight="1">
      <c r="A46" s="430" t="s">
        <v>1046</v>
      </c>
      <c r="B46" s="442" t="s">
        <v>1118</v>
      </c>
      <c r="C46" s="443">
        <f ca="1">ROUND((C33+C39)*F27,0)</f>
        <v>76552</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652376</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574091</v>
      </c>
      <c r="D51" s="422"/>
      <c r="E51" s="422"/>
      <c r="F51" s="457"/>
      <c r="G51" s="427" t="s">
        <v>1128</v>
      </c>
    </row>
    <row r="52" spans="1:7" s="375" customFormat="1" ht="15.75">
      <c r="A52" s="458" t="s">
        <v>1129</v>
      </c>
      <c r="B52" s="459"/>
      <c r="C52" s="460">
        <f ca="1">C31+C51</f>
        <v>600770</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98.8</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5"/>
      <c r="B4" s="3756"/>
      <c r="C4" s="3756"/>
      <c r="D4" s="3757"/>
      <c r="E4" s="3757"/>
      <c r="F4" s="3757"/>
      <c r="G4" s="3757"/>
      <c r="H4" s="3757"/>
      <c r="I4" s="3757"/>
      <c r="J4" s="3758"/>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59" t="s">
        <v>1777</v>
      </c>
      <c r="X8" s="3760"/>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3"/>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3"/>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5" t="s">
        <v>1826</v>
      </c>
      <c r="B20" s="646" t="s">
        <v>1827</v>
      </c>
      <c r="C20" s="647">
        <f>ROUND(IF(F21="与级别开发程度一致",0,(G21-E21)/C21),0)</f>
        <v>-36</v>
      </c>
      <c r="D20" s="648" t="s">
        <v>1828</v>
      </c>
      <c r="E20" s="649"/>
      <c r="F20" s="3761" t="s">
        <v>1829</v>
      </c>
      <c r="G20" s="3762"/>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6"/>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98.8</v>
      </c>
      <c r="E33" s="713">
        <f>ROUND(C33*D33/10000,0)</f>
        <v>321</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7"/>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8"/>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8"/>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3214556.8</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3" t="s">
        <v>1927</v>
      </c>
      <c r="B103" s="3763"/>
      <c r="C103" s="3763"/>
      <c r="D103" s="3763"/>
      <c r="E103" s="3763"/>
      <c r="F103" s="3763"/>
      <c r="G103" s="3763"/>
      <c r="H103" s="3763"/>
      <c r="I103" s="3763"/>
      <c r="J103" s="3763"/>
      <c r="K103" s="919"/>
      <c r="L103" s="919"/>
      <c r="M103" s="919"/>
      <c r="N103" s="919"/>
    </row>
    <row r="104" spans="1:14">
      <c r="A104" s="3769" t="s">
        <v>1928</v>
      </c>
      <c r="B104" s="3769" t="s">
        <v>1929</v>
      </c>
      <c r="C104" s="921" t="s">
        <v>1930</v>
      </c>
      <c r="D104" s="922"/>
      <c r="E104" s="922"/>
      <c r="F104" s="922"/>
      <c r="G104" s="922"/>
      <c r="H104" s="922"/>
      <c r="I104" s="922"/>
      <c r="J104" s="942"/>
      <c r="K104" s="943"/>
      <c r="L104" s="943"/>
      <c r="M104" s="943"/>
      <c r="N104" s="943"/>
    </row>
    <row r="105" spans="1:14">
      <c r="A105" s="3769"/>
      <c r="B105" s="3769"/>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70"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1"/>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1"/>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1"/>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1"/>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1"/>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2"/>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4" t="s">
        <v>1932</v>
      </c>
      <c r="B113" s="3764"/>
      <c r="C113" s="3764"/>
      <c r="D113" s="3764"/>
      <c r="E113" s="3764"/>
      <c r="F113" s="3764"/>
      <c r="G113" s="3764"/>
      <c r="H113" s="3764"/>
      <c r="I113" s="3764"/>
      <c r="J113" s="3764"/>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8" t="s">
        <v>229</v>
      </c>
      <c r="B20" s="3784" t="s">
        <v>1954</v>
      </c>
      <c r="C20" s="512" t="s">
        <v>244</v>
      </c>
      <c r="D20" s="512"/>
      <c r="E20" s="513">
        <v>1</v>
      </c>
      <c r="F20" s="514" t="s">
        <v>1955</v>
      </c>
      <c r="G20" s="514"/>
    </row>
    <row r="21" spans="1:13" ht="19.5" customHeight="1">
      <c r="A21" s="3779"/>
      <c r="B21" s="3774"/>
      <c r="C21" s="515" t="s">
        <v>259</v>
      </c>
      <c r="D21" s="515"/>
      <c r="E21" s="516">
        <v>1</v>
      </c>
      <c r="F21" s="514" t="s">
        <v>1956</v>
      </c>
      <c r="G21" s="514"/>
    </row>
    <row r="22" spans="1:13" ht="19.5" customHeight="1">
      <c r="A22" s="3779"/>
      <c r="B22" s="3774"/>
      <c r="C22" s="515" t="s">
        <v>270</v>
      </c>
      <c r="D22" s="515"/>
      <c r="E22" s="516">
        <v>0.9</v>
      </c>
      <c r="F22" s="514" t="s">
        <v>1957</v>
      </c>
      <c r="G22" s="514"/>
    </row>
    <row r="23" spans="1:13" ht="19.5" customHeight="1">
      <c r="A23" s="3779"/>
      <c r="B23" s="3774"/>
      <c r="C23" s="515" t="s">
        <v>281</v>
      </c>
      <c r="D23" s="515"/>
      <c r="E23" s="516">
        <v>0.9</v>
      </c>
      <c r="F23" s="514" t="s">
        <v>1958</v>
      </c>
      <c r="G23" s="514"/>
    </row>
    <row r="24" spans="1:13" ht="19.5" customHeight="1">
      <c r="A24" s="3779"/>
      <c r="B24" s="3774"/>
      <c r="C24" s="515" t="s">
        <v>290</v>
      </c>
      <c r="D24" s="515"/>
      <c r="E24" s="516">
        <v>0.8</v>
      </c>
      <c r="F24" s="514" t="s">
        <v>1959</v>
      </c>
      <c r="G24" s="514"/>
    </row>
    <row r="25" spans="1:13" ht="19.5" customHeight="1">
      <c r="A25" s="3779"/>
      <c r="B25" s="3774"/>
      <c r="C25" s="515" t="s">
        <v>298</v>
      </c>
      <c r="D25" s="515"/>
      <c r="E25" s="516">
        <v>0.8</v>
      </c>
      <c r="F25" s="514"/>
      <c r="G25" s="514"/>
    </row>
    <row r="26" spans="1:13" ht="19.5" customHeight="1">
      <c r="A26" s="3779"/>
      <c r="B26" s="3774"/>
      <c r="C26" s="517" t="s">
        <v>306</v>
      </c>
      <c r="D26" s="517"/>
      <c r="E26" s="518">
        <v>0.43</v>
      </c>
      <c r="F26" s="514"/>
      <c r="G26" s="514"/>
    </row>
    <row r="27" spans="1:13" ht="19.5" customHeight="1">
      <c r="A27" s="3780"/>
      <c r="B27" s="3785"/>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81" t="s">
        <v>231</v>
      </c>
      <c r="B29" s="3786" t="s">
        <v>231</v>
      </c>
      <c r="C29" s="526" t="s">
        <v>246</v>
      </c>
      <c r="D29" s="527"/>
      <c r="E29" s="513">
        <v>1</v>
      </c>
      <c r="F29" s="514" t="s">
        <v>1962</v>
      </c>
      <c r="G29" s="514"/>
    </row>
    <row r="30" spans="1:13" ht="19.5" customHeight="1">
      <c r="A30" s="3782"/>
      <c r="B30" s="3777"/>
      <c r="C30" s="528" t="s">
        <v>260</v>
      </c>
      <c r="D30" s="529"/>
      <c r="E30" s="516">
        <v>1</v>
      </c>
      <c r="F30" s="514" t="s">
        <v>1963</v>
      </c>
      <c r="G30" s="514"/>
    </row>
    <row r="31" spans="1:13" ht="19.5" customHeight="1">
      <c r="A31" s="3782"/>
      <c r="B31" s="3777"/>
      <c r="C31" s="528" t="s">
        <v>271</v>
      </c>
      <c r="D31" s="529"/>
      <c r="E31" s="516">
        <v>0.8</v>
      </c>
      <c r="F31" s="514" t="s">
        <v>1964</v>
      </c>
      <c r="G31" s="514"/>
    </row>
    <row r="32" spans="1:13" ht="19.5" customHeight="1">
      <c r="A32" s="3782"/>
      <c r="B32" s="3777"/>
      <c r="C32" s="528" t="s">
        <v>282</v>
      </c>
      <c r="D32" s="529"/>
      <c r="E32" s="516">
        <v>0.8</v>
      </c>
      <c r="F32" s="514" t="s">
        <v>1965</v>
      </c>
      <c r="G32" s="514"/>
    </row>
    <row r="33" spans="1:7" ht="19.5" customHeight="1">
      <c r="A33" s="3782"/>
      <c r="B33" s="3777"/>
      <c r="C33" s="528" t="s">
        <v>291</v>
      </c>
      <c r="D33" s="529"/>
      <c r="E33" s="516">
        <v>0.8</v>
      </c>
      <c r="F33" s="514" t="s">
        <v>1966</v>
      </c>
      <c r="G33" s="514"/>
    </row>
    <row r="34" spans="1:7" ht="19.5" customHeight="1">
      <c r="A34" s="3782"/>
      <c r="B34" s="3777"/>
      <c r="C34" s="528" t="s">
        <v>299</v>
      </c>
      <c r="D34" s="529"/>
      <c r="E34" s="516">
        <v>0.7</v>
      </c>
      <c r="F34" s="514" t="s">
        <v>1967</v>
      </c>
      <c r="G34" s="514"/>
    </row>
    <row r="35" spans="1:7" ht="19.5" customHeight="1">
      <c r="A35" s="3782"/>
      <c r="B35" s="3777"/>
      <c r="C35" s="528" t="s">
        <v>307</v>
      </c>
      <c r="D35" s="529"/>
      <c r="E35" s="516">
        <v>0.8</v>
      </c>
      <c r="F35" s="514" t="s">
        <v>1968</v>
      </c>
      <c r="G35" s="514"/>
    </row>
    <row r="36" spans="1:7" ht="19.5" customHeight="1">
      <c r="A36" s="3782"/>
      <c r="B36" s="3777"/>
      <c r="C36" s="528" t="s">
        <v>314</v>
      </c>
      <c r="D36" s="529"/>
      <c r="E36" s="516">
        <v>0.6</v>
      </c>
      <c r="F36" s="514" t="s">
        <v>1969</v>
      </c>
      <c r="G36" s="514"/>
    </row>
    <row r="37" spans="1:7" ht="19.5" customHeight="1">
      <c r="A37" s="3782"/>
      <c r="B37" s="3777"/>
      <c r="C37" s="528" t="s">
        <v>320</v>
      </c>
      <c r="D37" s="529"/>
      <c r="E37" s="516">
        <v>0.2</v>
      </c>
      <c r="F37" s="514" t="s">
        <v>1970</v>
      </c>
      <c r="G37" s="514"/>
    </row>
    <row r="38" spans="1:7" ht="19.5" customHeight="1">
      <c r="A38" s="3782"/>
      <c r="B38" s="3777"/>
      <c r="C38" s="528" t="s">
        <v>326</v>
      </c>
      <c r="D38" s="529"/>
      <c r="E38" s="516">
        <v>0.2</v>
      </c>
      <c r="F38" s="514" t="s">
        <v>1971</v>
      </c>
      <c r="G38" s="514"/>
    </row>
    <row r="39" spans="1:7" ht="19.5" customHeight="1">
      <c r="A39" s="3782"/>
      <c r="B39" s="3775" t="s">
        <v>1972</v>
      </c>
      <c r="C39" s="528" t="s">
        <v>332</v>
      </c>
      <c r="D39" s="529"/>
      <c r="E39" s="516">
        <v>0.6</v>
      </c>
      <c r="F39" s="514" t="s">
        <v>1973</v>
      </c>
      <c r="G39" s="514"/>
    </row>
    <row r="40" spans="1:7" ht="19.5" customHeight="1">
      <c r="A40" s="3782"/>
      <c r="B40" s="3777"/>
      <c r="C40" s="528" t="s">
        <v>338</v>
      </c>
      <c r="D40" s="529"/>
      <c r="E40" s="516">
        <v>0.6</v>
      </c>
      <c r="F40" s="514" t="s">
        <v>1974</v>
      </c>
      <c r="G40" s="514"/>
    </row>
    <row r="41" spans="1:7" ht="19.5" customHeight="1">
      <c r="A41" s="3783"/>
      <c r="B41" s="3787"/>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8" t="s">
        <v>233</v>
      </c>
      <c r="B43" s="3786" t="s">
        <v>1977</v>
      </c>
      <c r="C43" s="526" t="s">
        <v>248</v>
      </c>
      <c r="D43" s="527"/>
      <c r="E43" s="513">
        <v>1</v>
      </c>
      <c r="F43" s="514" t="s">
        <v>1978</v>
      </c>
      <c r="G43" s="514"/>
    </row>
    <row r="44" spans="1:7" ht="19.5" customHeight="1">
      <c r="A44" s="3779"/>
      <c r="B44" s="3777"/>
      <c r="C44" s="528" t="s">
        <v>261</v>
      </c>
      <c r="D44" s="529"/>
      <c r="E44" s="516">
        <v>1</v>
      </c>
      <c r="F44" s="514" t="s">
        <v>1979</v>
      </c>
      <c r="G44" s="514"/>
    </row>
    <row r="45" spans="1:7" ht="19.5" customHeight="1">
      <c r="A45" s="3779"/>
      <c r="B45" s="3776"/>
      <c r="C45" s="528" t="s">
        <v>272</v>
      </c>
      <c r="D45" s="529"/>
      <c r="E45" s="516">
        <v>1.5</v>
      </c>
      <c r="F45" s="514" t="s">
        <v>1980</v>
      </c>
      <c r="G45" s="514"/>
    </row>
    <row r="46" spans="1:7" ht="19.5" customHeight="1">
      <c r="A46" s="3779"/>
      <c r="B46" s="515" t="s">
        <v>231</v>
      </c>
      <c r="C46" s="528" t="s">
        <v>283</v>
      </c>
      <c r="D46" s="529"/>
      <c r="E46" s="516">
        <v>2</v>
      </c>
      <c r="F46" s="514" t="s">
        <v>1981</v>
      </c>
      <c r="G46" s="514"/>
    </row>
    <row r="47" spans="1:7" ht="19.5" customHeight="1">
      <c r="A47" s="3779"/>
      <c r="B47" s="3775" t="s">
        <v>1982</v>
      </c>
      <c r="C47" s="528" t="s">
        <v>292</v>
      </c>
      <c r="D47" s="529"/>
      <c r="E47" s="516">
        <v>1</v>
      </c>
      <c r="F47" s="514" t="s">
        <v>1983</v>
      </c>
      <c r="G47" s="514"/>
    </row>
    <row r="48" spans="1:7" ht="19.5" customHeight="1">
      <c r="A48" s="3779"/>
      <c r="B48" s="3777"/>
      <c r="C48" s="528" t="s">
        <v>300</v>
      </c>
      <c r="D48" s="529"/>
      <c r="E48" s="516">
        <v>1</v>
      </c>
      <c r="F48" s="514" t="s">
        <v>1984</v>
      </c>
      <c r="G48" s="514"/>
    </row>
    <row r="49" spans="1:7" ht="19.5" customHeight="1">
      <c r="A49" s="3779"/>
      <c r="B49" s="3777"/>
      <c r="C49" s="528" t="s">
        <v>308</v>
      </c>
      <c r="D49" s="529"/>
      <c r="E49" s="516">
        <v>1</v>
      </c>
      <c r="F49" s="514" t="s">
        <v>1985</v>
      </c>
      <c r="G49" s="514"/>
    </row>
    <row r="50" spans="1:7" ht="19.5" customHeight="1">
      <c r="A50" s="3779"/>
      <c r="B50" s="3777"/>
      <c r="C50" s="528" t="s">
        <v>315</v>
      </c>
      <c r="D50" s="529"/>
      <c r="E50" s="516">
        <v>1</v>
      </c>
      <c r="F50" s="514" t="s">
        <v>1986</v>
      </c>
      <c r="G50" s="514"/>
    </row>
    <row r="51" spans="1:7" ht="19.5" customHeight="1">
      <c r="A51" s="3779"/>
      <c r="B51" s="3777"/>
      <c r="C51" s="528" t="s">
        <v>321</v>
      </c>
      <c r="D51" s="529"/>
      <c r="E51" s="516">
        <v>1</v>
      </c>
      <c r="F51" s="514" t="s">
        <v>1987</v>
      </c>
      <c r="G51" s="514"/>
    </row>
    <row r="52" spans="1:7" ht="19.5" customHeight="1">
      <c r="A52" s="3779"/>
      <c r="B52" s="3777"/>
      <c r="C52" s="528" t="s">
        <v>327</v>
      </c>
      <c r="D52" s="529"/>
      <c r="E52" s="516">
        <v>1</v>
      </c>
      <c r="F52" s="514" t="s">
        <v>1988</v>
      </c>
      <c r="G52" s="514"/>
    </row>
    <row r="53" spans="1:7" ht="19.5" customHeight="1">
      <c r="A53" s="3780"/>
      <c r="B53" s="3787"/>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75" t="s">
        <v>1999</v>
      </c>
      <c r="C75" s="504" t="s">
        <v>2000</v>
      </c>
      <c r="D75" s="504" t="s">
        <v>2001</v>
      </c>
      <c r="E75" s="515">
        <v>0.2</v>
      </c>
      <c r="F75" s="515">
        <v>25</v>
      </c>
    </row>
    <row r="76" spans="1:7" ht="24">
      <c r="A76" s="515">
        <v>2</v>
      </c>
      <c r="B76" s="3777"/>
      <c r="C76" s="504" t="s">
        <v>2002</v>
      </c>
      <c r="D76" s="504" t="s">
        <v>2003</v>
      </c>
      <c r="E76" s="515">
        <v>0.2</v>
      </c>
      <c r="F76" s="515">
        <v>25</v>
      </c>
    </row>
    <row r="77" spans="1:7" ht="24">
      <c r="A77" s="515">
        <v>3</v>
      </c>
      <c r="B77" s="3777"/>
      <c r="C77" s="504" t="s">
        <v>2004</v>
      </c>
      <c r="D77" s="504" t="s">
        <v>2005</v>
      </c>
      <c r="E77" s="515">
        <v>0.2</v>
      </c>
      <c r="F77" s="515">
        <v>25</v>
      </c>
    </row>
    <row r="78" spans="1:7" ht="13.5">
      <c r="A78" s="515">
        <v>4</v>
      </c>
      <c r="B78" s="3777"/>
      <c r="C78" s="504" t="s">
        <v>2006</v>
      </c>
      <c r="D78" s="504" t="s">
        <v>2007</v>
      </c>
      <c r="E78" s="515">
        <v>0.15</v>
      </c>
      <c r="F78" s="515">
        <v>20</v>
      </c>
    </row>
    <row r="79" spans="1:7" ht="24">
      <c r="A79" s="515">
        <v>5</v>
      </c>
      <c r="B79" s="3777"/>
      <c r="C79" s="504" t="s">
        <v>2008</v>
      </c>
      <c r="D79" s="504" t="s">
        <v>2009</v>
      </c>
      <c r="E79" s="515">
        <v>0.15</v>
      </c>
      <c r="F79" s="515">
        <v>20</v>
      </c>
    </row>
    <row r="80" spans="1:7" ht="24">
      <c r="A80" s="515">
        <v>6</v>
      </c>
      <c r="B80" s="3777"/>
      <c r="C80" s="504" t="s">
        <v>2010</v>
      </c>
      <c r="D80" s="504" t="s">
        <v>2011</v>
      </c>
      <c r="E80" s="515">
        <v>0.15</v>
      </c>
      <c r="F80" s="515">
        <v>20</v>
      </c>
    </row>
    <row r="81" spans="1:6" ht="24">
      <c r="A81" s="515">
        <v>7</v>
      </c>
      <c r="B81" s="3777"/>
      <c r="C81" s="504" t="s">
        <v>2012</v>
      </c>
      <c r="D81" s="504" t="s">
        <v>2013</v>
      </c>
      <c r="E81" s="515">
        <v>0.15</v>
      </c>
      <c r="F81" s="515">
        <v>20</v>
      </c>
    </row>
    <row r="82" spans="1:6" ht="24">
      <c r="A82" s="515">
        <v>8</v>
      </c>
      <c r="B82" s="3777"/>
      <c r="C82" s="504" t="s">
        <v>2014</v>
      </c>
      <c r="D82" s="504" t="s">
        <v>2015</v>
      </c>
      <c r="E82" s="515">
        <v>0.1</v>
      </c>
      <c r="F82" s="515">
        <v>15</v>
      </c>
    </row>
    <row r="83" spans="1:6" ht="24">
      <c r="A83" s="515">
        <v>9</v>
      </c>
      <c r="B83" s="3777"/>
      <c r="C83" s="504" t="s">
        <v>2016</v>
      </c>
      <c r="D83" s="504" t="s">
        <v>2017</v>
      </c>
      <c r="E83" s="515">
        <v>0.1</v>
      </c>
      <c r="F83" s="515">
        <v>15</v>
      </c>
    </row>
    <row r="84" spans="1:6" ht="24">
      <c r="A84" s="515">
        <v>10</v>
      </c>
      <c r="B84" s="3777"/>
      <c r="C84" s="504" t="s">
        <v>2018</v>
      </c>
      <c r="D84" s="504" t="s">
        <v>2019</v>
      </c>
      <c r="E84" s="515">
        <v>0.1</v>
      </c>
      <c r="F84" s="515">
        <v>15</v>
      </c>
    </row>
    <row r="85" spans="1:6" ht="24">
      <c r="A85" s="515">
        <v>11</v>
      </c>
      <c r="B85" s="3777"/>
      <c r="C85" s="504" t="s">
        <v>2020</v>
      </c>
      <c r="D85" s="504" t="s">
        <v>2021</v>
      </c>
      <c r="E85" s="515">
        <v>0.1</v>
      </c>
      <c r="F85" s="515">
        <v>15</v>
      </c>
    </row>
    <row r="86" spans="1:6" ht="24">
      <c r="A86" s="515">
        <v>12</v>
      </c>
      <c r="B86" s="3777"/>
      <c r="C86" s="504" t="s">
        <v>2022</v>
      </c>
      <c r="D86" s="504" t="s">
        <v>2023</v>
      </c>
      <c r="E86" s="515">
        <v>0.1</v>
      </c>
      <c r="F86" s="515">
        <v>15</v>
      </c>
    </row>
    <row r="87" spans="1:6" ht="13.5">
      <c r="A87" s="515">
        <v>13</v>
      </c>
      <c r="B87" s="3777"/>
      <c r="C87" s="504" t="s">
        <v>2024</v>
      </c>
      <c r="D87" s="504" t="s">
        <v>2025</v>
      </c>
      <c r="E87" s="515">
        <v>0.1</v>
      </c>
      <c r="F87" s="515">
        <v>15</v>
      </c>
    </row>
    <row r="88" spans="1:6" ht="13.5">
      <c r="A88" s="515">
        <v>14</v>
      </c>
      <c r="B88" s="3777"/>
      <c r="C88" s="504" t="s">
        <v>2026</v>
      </c>
      <c r="D88" s="504" t="s">
        <v>2027</v>
      </c>
      <c r="E88" s="515">
        <v>0.1</v>
      </c>
      <c r="F88" s="515">
        <v>15</v>
      </c>
    </row>
    <row r="89" spans="1:6" ht="13.5">
      <c r="A89" s="515">
        <v>15</v>
      </c>
      <c r="B89" s="3777"/>
      <c r="C89" s="504" t="s">
        <v>2028</v>
      </c>
      <c r="D89" s="504" t="s">
        <v>2029</v>
      </c>
      <c r="E89" s="515">
        <v>0.1</v>
      </c>
      <c r="F89" s="515">
        <v>15</v>
      </c>
    </row>
    <row r="90" spans="1:6" ht="24">
      <c r="A90" s="515">
        <v>16</v>
      </c>
      <c r="B90" s="3777"/>
      <c r="C90" s="504" t="s">
        <v>2030</v>
      </c>
      <c r="D90" s="504" t="s">
        <v>2031</v>
      </c>
      <c r="E90" s="515">
        <v>0.1</v>
      </c>
      <c r="F90" s="515">
        <v>15</v>
      </c>
    </row>
    <row r="91" spans="1:6" ht="24">
      <c r="A91" s="515">
        <v>17</v>
      </c>
      <c r="B91" s="3776"/>
      <c r="C91" s="504" t="s">
        <v>2032</v>
      </c>
      <c r="D91" s="504" t="s">
        <v>2033</v>
      </c>
      <c r="E91" s="515">
        <v>0.1</v>
      </c>
      <c r="F91" s="515">
        <v>15</v>
      </c>
    </row>
    <row r="92" spans="1:6" ht="13.5">
      <c r="A92" s="515">
        <v>18</v>
      </c>
      <c r="B92" s="3775" t="s">
        <v>2034</v>
      </c>
      <c r="C92" s="504" t="s">
        <v>2035</v>
      </c>
      <c r="D92" s="504" t="s">
        <v>2036</v>
      </c>
      <c r="E92" s="515">
        <v>0.2</v>
      </c>
      <c r="F92" s="515">
        <v>25</v>
      </c>
    </row>
    <row r="93" spans="1:6" ht="24">
      <c r="A93" s="515">
        <v>19</v>
      </c>
      <c r="B93" s="3777"/>
      <c r="C93" s="504" t="s">
        <v>2037</v>
      </c>
      <c r="D93" s="504" t="s">
        <v>2038</v>
      </c>
      <c r="E93" s="515">
        <v>0.2</v>
      </c>
      <c r="F93" s="515">
        <v>25</v>
      </c>
    </row>
    <row r="94" spans="1:6" ht="13.5">
      <c r="A94" s="515">
        <v>20</v>
      </c>
      <c r="B94" s="3777"/>
      <c r="C94" s="504" t="s">
        <v>2039</v>
      </c>
      <c r="D94" s="504" t="s">
        <v>2040</v>
      </c>
      <c r="E94" s="515">
        <v>0.15</v>
      </c>
      <c r="F94" s="515">
        <v>20</v>
      </c>
    </row>
    <row r="95" spans="1:6" ht="13.5">
      <c r="A95" s="515">
        <v>21</v>
      </c>
      <c r="B95" s="3777"/>
      <c r="C95" s="504" t="s">
        <v>2041</v>
      </c>
      <c r="D95" s="504" t="s">
        <v>2042</v>
      </c>
      <c r="E95" s="515">
        <v>0.15</v>
      </c>
      <c r="F95" s="515">
        <v>20</v>
      </c>
    </row>
    <row r="96" spans="1:6" ht="13.5">
      <c r="A96" s="515">
        <v>22</v>
      </c>
      <c r="B96" s="3777"/>
      <c r="C96" s="504" t="s">
        <v>2043</v>
      </c>
      <c r="D96" s="504" t="s">
        <v>2044</v>
      </c>
      <c r="E96" s="515">
        <v>0.15</v>
      </c>
      <c r="F96" s="515">
        <v>20</v>
      </c>
    </row>
    <row r="97" spans="1:6" ht="36">
      <c r="A97" s="515">
        <v>23</v>
      </c>
      <c r="B97" s="3777"/>
      <c r="C97" s="504" t="s">
        <v>2045</v>
      </c>
      <c r="D97" s="504" t="s">
        <v>2046</v>
      </c>
      <c r="E97" s="515">
        <v>0.15</v>
      </c>
      <c r="F97" s="515">
        <v>20</v>
      </c>
    </row>
    <row r="98" spans="1:6" ht="13.5">
      <c r="A98" s="515">
        <v>24</v>
      </c>
      <c r="B98" s="3777"/>
      <c r="C98" s="504" t="s">
        <v>2047</v>
      </c>
      <c r="D98" s="504" t="s">
        <v>2048</v>
      </c>
      <c r="E98" s="515">
        <v>0.1</v>
      </c>
      <c r="F98" s="515">
        <v>15</v>
      </c>
    </row>
    <row r="99" spans="1:6" ht="13.5">
      <c r="A99" s="515">
        <v>25</v>
      </c>
      <c r="B99" s="3777"/>
      <c r="C99" s="504" t="s">
        <v>2049</v>
      </c>
      <c r="D99" s="504" t="s">
        <v>2050</v>
      </c>
      <c r="E99" s="515">
        <v>0.1</v>
      </c>
      <c r="F99" s="515">
        <v>15</v>
      </c>
    </row>
    <row r="100" spans="1:6" ht="24">
      <c r="A100" s="515">
        <v>26</v>
      </c>
      <c r="B100" s="3777"/>
      <c r="C100" s="504" t="s">
        <v>2051</v>
      </c>
      <c r="D100" s="504" t="s">
        <v>2052</v>
      </c>
      <c r="E100" s="515">
        <v>0.1</v>
      </c>
      <c r="F100" s="515">
        <v>15</v>
      </c>
    </row>
    <row r="101" spans="1:6" ht="24">
      <c r="A101" s="515">
        <v>27</v>
      </c>
      <c r="B101" s="3777"/>
      <c r="C101" s="504" t="s">
        <v>2053</v>
      </c>
      <c r="D101" s="504" t="s">
        <v>2054</v>
      </c>
      <c r="E101" s="515">
        <v>0.1</v>
      </c>
      <c r="F101" s="515">
        <v>15</v>
      </c>
    </row>
    <row r="102" spans="1:6" ht="13.5">
      <c r="A102" s="515">
        <v>28</v>
      </c>
      <c r="B102" s="3777"/>
      <c r="C102" s="504" t="s">
        <v>2055</v>
      </c>
      <c r="D102" s="504" t="s">
        <v>2056</v>
      </c>
      <c r="E102" s="515">
        <v>0.1</v>
      </c>
      <c r="F102" s="515">
        <v>15</v>
      </c>
    </row>
    <row r="103" spans="1:6" ht="13.5">
      <c r="A103" s="515">
        <v>29</v>
      </c>
      <c r="B103" s="3777"/>
      <c r="C103" s="504" t="s">
        <v>2057</v>
      </c>
      <c r="D103" s="504" t="s">
        <v>2058</v>
      </c>
      <c r="E103" s="515">
        <v>0.1</v>
      </c>
      <c r="F103" s="515">
        <v>15</v>
      </c>
    </row>
    <row r="104" spans="1:6" ht="13.5">
      <c r="A104" s="515">
        <v>30</v>
      </c>
      <c r="B104" s="3777"/>
      <c r="C104" s="504" t="s">
        <v>2059</v>
      </c>
      <c r="D104" s="504" t="s">
        <v>2060</v>
      </c>
      <c r="E104" s="515">
        <v>0.1</v>
      </c>
      <c r="F104" s="515">
        <v>15</v>
      </c>
    </row>
    <row r="105" spans="1:6" ht="24">
      <c r="A105" s="515">
        <v>31</v>
      </c>
      <c r="B105" s="3777"/>
      <c r="C105" s="504" t="s">
        <v>2061</v>
      </c>
      <c r="D105" s="504" t="s">
        <v>2062</v>
      </c>
      <c r="E105" s="515">
        <v>0.1</v>
      </c>
      <c r="F105" s="515">
        <v>15</v>
      </c>
    </row>
    <row r="106" spans="1:6" ht="24">
      <c r="A106" s="515">
        <v>32</v>
      </c>
      <c r="B106" s="3777"/>
      <c r="C106" s="504" t="s">
        <v>2063</v>
      </c>
      <c r="D106" s="504" t="s">
        <v>2064</v>
      </c>
      <c r="E106" s="515">
        <v>0.1</v>
      </c>
      <c r="F106" s="515">
        <v>15</v>
      </c>
    </row>
    <row r="107" spans="1:6" ht="24">
      <c r="A107" s="515">
        <v>33</v>
      </c>
      <c r="B107" s="3777"/>
      <c r="C107" s="504" t="s">
        <v>2065</v>
      </c>
      <c r="D107" s="504" t="s">
        <v>2066</v>
      </c>
      <c r="E107" s="515">
        <v>0.1</v>
      </c>
      <c r="F107" s="515">
        <v>15</v>
      </c>
    </row>
    <row r="108" spans="1:6" ht="24">
      <c r="A108" s="515">
        <v>34</v>
      </c>
      <c r="B108" s="3776"/>
      <c r="C108" s="504" t="s">
        <v>2067</v>
      </c>
      <c r="D108" s="504" t="s">
        <v>2068</v>
      </c>
      <c r="E108" s="515">
        <v>0.1</v>
      </c>
      <c r="F108" s="515">
        <v>15</v>
      </c>
    </row>
    <row r="109" spans="1:6" ht="24">
      <c r="A109" s="515">
        <v>35</v>
      </c>
      <c r="B109" s="3775" t="s">
        <v>2069</v>
      </c>
      <c r="C109" s="515" t="s">
        <v>2070</v>
      </c>
      <c r="D109" s="504" t="s">
        <v>2071</v>
      </c>
      <c r="E109" s="515">
        <v>0.15</v>
      </c>
      <c r="F109" s="515">
        <v>20</v>
      </c>
    </row>
    <row r="110" spans="1:6" ht="13.5">
      <c r="A110" s="515">
        <v>36</v>
      </c>
      <c r="B110" s="3777"/>
      <c r="C110" s="515" t="s">
        <v>2072</v>
      </c>
      <c r="D110" s="504" t="s">
        <v>2073</v>
      </c>
      <c r="E110" s="515">
        <v>0.15</v>
      </c>
      <c r="F110" s="515">
        <v>20</v>
      </c>
    </row>
    <row r="111" spans="1:6" ht="13.5">
      <c r="A111" s="515">
        <v>37</v>
      </c>
      <c r="B111" s="3777"/>
      <c r="C111" s="515" t="s">
        <v>2074</v>
      </c>
      <c r="D111" s="504" t="s">
        <v>2075</v>
      </c>
      <c r="E111" s="515">
        <v>0.15</v>
      </c>
      <c r="F111" s="515">
        <v>20</v>
      </c>
    </row>
    <row r="112" spans="1:6" ht="13.5">
      <c r="A112" s="515">
        <v>38</v>
      </c>
      <c r="B112" s="3777"/>
      <c r="C112" s="515" t="s">
        <v>2076</v>
      </c>
      <c r="D112" s="504" t="s">
        <v>2077</v>
      </c>
      <c r="E112" s="515">
        <v>0.1</v>
      </c>
      <c r="F112" s="515">
        <v>15</v>
      </c>
    </row>
    <row r="113" spans="1:6" ht="24">
      <c r="A113" s="515">
        <v>39</v>
      </c>
      <c r="B113" s="3777"/>
      <c r="C113" s="515" t="s">
        <v>2078</v>
      </c>
      <c r="D113" s="504" t="s">
        <v>2079</v>
      </c>
      <c r="E113" s="515">
        <v>0.1</v>
      </c>
      <c r="F113" s="515">
        <v>15</v>
      </c>
    </row>
    <row r="114" spans="1:6" ht="24">
      <c r="A114" s="515">
        <v>40</v>
      </c>
      <c r="B114" s="3776"/>
      <c r="C114" s="515" t="s">
        <v>2080</v>
      </c>
      <c r="D114" s="504" t="s">
        <v>2081</v>
      </c>
      <c r="E114" s="515">
        <v>0.1</v>
      </c>
      <c r="F114" s="515">
        <v>15</v>
      </c>
    </row>
    <row r="115" spans="1:6" ht="13.5">
      <c r="A115" s="515">
        <v>41</v>
      </c>
      <c r="B115" s="3774" t="s">
        <v>2082</v>
      </c>
      <c r="C115" s="515" t="s">
        <v>2083</v>
      </c>
      <c r="D115" s="504" t="s">
        <v>2084</v>
      </c>
      <c r="E115" s="515">
        <v>0.1</v>
      </c>
      <c r="F115" s="515">
        <v>15</v>
      </c>
    </row>
    <row r="116" spans="1:6" ht="13.5">
      <c r="A116" s="515">
        <v>42</v>
      </c>
      <c r="B116" s="3774"/>
      <c r="C116" s="515" t="s">
        <v>2085</v>
      </c>
      <c r="D116" s="504" t="s">
        <v>2086</v>
      </c>
      <c r="E116" s="515">
        <v>0.1</v>
      </c>
      <c r="F116" s="515">
        <v>15</v>
      </c>
    </row>
    <row r="117" spans="1:6" ht="24">
      <c r="A117" s="515">
        <v>43</v>
      </c>
      <c r="B117" s="3774"/>
      <c r="C117" s="515" t="s">
        <v>2087</v>
      </c>
      <c r="D117" s="504" t="s">
        <v>2088</v>
      </c>
      <c r="E117" s="515">
        <v>0.1</v>
      </c>
      <c r="F117" s="515">
        <v>15</v>
      </c>
    </row>
    <row r="118" spans="1:6" ht="13.5">
      <c r="A118" s="515">
        <v>44</v>
      </c>
      <c r="B118" s="3775" t="s">
        <v>2089</v>
      </c>
      <c r="C118" s="515" t="s">
        <v>2090</v>
      </c>
      <c r="D118" s="504" t="s">
        <v>2091</v>
      </c>
      <c r="E118" s="515">
        <v>0.1</v>
      </c>
      <c r="F118" s="515">
        <v>15</v>
      </c>
    </row>
    <row r="119" spans="1:6" ht="24">
      <c r="A119" s="515">
        <v>45</v>
      </c>
      <c r="B119" s="3776"/>
      <c r="C119" s="504" t="s">
        <v>2092</v>
      </c>
      <c r="D119" s="504" t="s">
        <v>2093</v>
      </c>
      <c r="E119" s="515">
        <v>0.1</v>
      </c>
      <c r="F119" s="515">
        <v>15</v>
      </c>
    </row>
    <row r="120" spans="1:6" ht="24">
      <c r="A120" s="515">
        <v>46</v>
      </c>
      <c r="B120" s="3775" t="s">
        <v>2094</v>
      </c>
      <c r="C120" s="515" t="s">
        <v>2095</v>
      </c>
      <c r="D120" s="504" t="s">
        <v>2096</v>
      </c>
      <c r="E120" s="515">
        <v>0.1</v>
      </c>
      <c r="F120" s="515">
        <v>15</v>
      </c>
    </row>
    <row r="121" spans="1:6" ht="24">
      <c r="A121" s="515">
        <v>47</v>
      </c>
      <c r="B121" s="3776"/>
      <c r="C121" s="515" t="s">
        <v>2097</v>
      </c>
      <c r="D121" s="504" t="s">
        <v>2098</v>
      </c>
      <c r="E121" s="515">
        <v>0.1</v>
      </c>
      <c r="F121" s="515">
        <v>15</v>
      </c>
    </row>
    <row r="122" spans="1:6" ht="13.5">
      <c r="A122" s="515">
        <v>48</v>
      </c>
      <c r="B122" s="3775" t="s">
        <v>2099</v>
      </c>
      <c r="C122" s="515" t="s">
        <v>2100</v>
      </c>
      <c r="D122" s="504" t="s">
        <v>2101</v>
      </c>
      <c r="E122" s="515">
        <v>0.1</v>
      </c>
      <c r="F122" s="515">
        <v>15</v>
      </c>
    </row>
    <row r="123" spans="1:6" ht="13.5">
      <c r="A123" s="515">
        <v>49</v>
      </c>
      <c r="B123" s="3776"/>
      <c r="C123" s="515" t="s">
        <v>2102</v>
      </c>
      <c r="D123" s="504" t="s">
        <v>2103</v>
      </c>
      <c r="E123" s="515">
        <v>0.1</v>
      </c>
      <c r="F123" s="515">
        <v>15</v>
      </c>
    </row>
    <row r="124" spans="1:6" ht="24">
      <c r="A124" s="515">
        <v>50</v>
      </c>
      <c r="B124" s="3774" t="s">
        <v>2104</v>
      </c>
      <c r="C124" s="515" t="s">
        <v>2105</v>
      </c>
      <c r="D124" s="504" t="s">
        <v>2106</v>
      </c>
      <c r="E124" s="515">
        <v>0.1</v>
      </c>
      <c r="F124" s="515">
        <v>15</v>
      </c>
    </row>
    <row r="125" spans="1:6" ht="24">
      <c r="A125" s="515">
        <v>51</v>
      </c>
      <c r="B125" s="3774"/>
      <c r="C125" s="515" t="s">
        <v>2107</v>
      </c>
      <c r="D125" s="504" t="s">
        <v>2108</v>
      </c>
      <c r="E125" s="515">
        <v>0.1</v>
      </c>
      <c r="F125" s="515">
        <v>15</v>
      </c>
    </row>
    <row r="126" spans="1:6" ht="24">
      <c r="A126" s="515">
        <v>52</v>
      </c>
      <c r="B126" s="3774" t="s">
        <v>2109</v>
      </c>
      <c r="C126" s="515" t="s">
        <v>2110</v>
      </c>
      <c r="D126" s="504" t="s">
        <v>2111</v>
      </c>
      <c r="E126" s="515">
        <v>0.1</v>
      </c>
      <c r="F126" s="515">
        <v>15</v>
      </c>
    </row>
    <row r="127" spans="1:6" ht="24">
      <c r="A127" s="515">
        <v>53</v>
      </c>
      <c r="B127" s="3774"/>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74" t="s">
        <v>2117</v>
      </c>
      <c r="C129" s="515" t="s">
        <v>2118</v>
      </c>
      <c r="D129" s="504" t="s">
        <v>2119</v>
      </c>
      <c r="E129" s="515">
        <v>0.1</v>
      </c>
      <c r="F129" s="515">
        <v>15</v>
      </c>
    </row>
    <row r="130" spans="1:6" ht="13.5">
      <c r="A130" s="515">
        <v>56</v>
      </c>
      <c r="B130" s="3774"/>
      <c r="C130" s="515" t="s">
        <v>2120</v>
      </c>
      <c r="D130" s="504" t="s">
        <v>2121</v>
      </c>
      <c r="E130" s="515">
        <v>0.1</v>
      </c>
      <c r="F130" s="515">
        <v>15</v>
      </c>
    </row>
    <row r="131" spans="1:6" ht="24">
      <c r="A131" s="515">
        <v>57</v>
      </c>
      <c r="B131" s="3774"/>
      <c r="C131" s="515" t="s">
        <v>2122</v>
      </c>
      <c r="D131" s="504" t="s">
        <v>2123</v>
      </c>
      <c r="E131" s="515">
        <v>0.1</v>
      </c>
      <c r="F131" s="515">
        <v>15</v>
      </c>
    </row>
    <row r="132" spans="1:6" ht="24">
      <c r="A132" s="515">
        <v>58</v>
      </c>
      <c r="B132" s="3774" t="s">
        <v>2124</v>
      </c>
      <c r="C132" s="515" t="s">
        <v>2125</v>
      </c>
      <c r="D132" s="504" t="s">
        <v>2126</v>
      </c>
      <c r="E132" s="515">
        <v>0.1</v>
      </c>
      <c r="F132" s="515">
        <v>15</v>
      </c>
    </row>
    <row r="133" spans="1:6" ht="13.5">
      <c r="A133" s="515">
        <v>59</v>
      </c>
      <c r="B133" s="3774"/>
      <c r="C133" s="515" t="s">
        <v>2127</v>
      </c>
      <c r="D133" s="504" t="s">
        <v>2128</v>
      </c>
      <c r="E133" s="515">
        <v>0.1</v>
      </c>
      <c r="F133" s="515">
        <v>15</v>
      </c>
    </row>
    <row r="134" spans="1:6" ht="13.5">
      <c r="A134" s="515">
        <v>60</v>
      </c>
      <c r="B134" s="3775" t="s">
        <v>2129</v>
      </c>
      <c r="C134" s="515" t="s">
        <v>2130</v>
      </c>
      <c r="D134" s="504" t="s">
        <v>2131</v>
      </c>
      <c r="E134" s="515">
        <v>0.1</v>
      </c>
      <c r="F134" s="515">
        <v>15</v>
      </c>
    </row>
    <row r="135" spans="1:6" ht="13.5">
      <c r="A135" s="515">
        <v>61</v>
      </c>
      <c r="B135" s="3776"/>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74" t="s">
        <v>2137</v>
      </c>
      <c r="C137" s="515" t="s">
        <v>2138</v>
      </c>
      <c r="D137" s="504" t="s">
        <v>2139</v>
      </c>
      <c r="E137" s="515">
        <v>0.1</v>
      </c>
      <c r="F137" s="515">
        <v>15</v>
      </c>
    </row>
    <row r="138" spans="1:6" ht="13.5">
      <c r="A138" s="515">
        <v>64</v>
      </c>
      <c r="B138" s="3774"/>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2"/>
      <c r="B4" s="3475" t="s">
        <v>95</v>
      </c>
      <c r="C4" s="3475"/>
      <c r="D4" s="3475"/>
      <c r="E4" s="3412"/>
    </row>
    <row r="5" spans="1:5" ht="15.75">
      <c r="A5" s="3411"/>
      <c r="B5" s="3467" t="s">
        <v>96</v>
      </c>
      <c r="C5" s="3413" t="s">
        <v>97</v>
      </c>
      <c r="D5" s="3414">
        <f ca="1">结果表!H101</f>
        <v>287</v>
      </c>
      <c r="E5" s="3411"/>
    </row>
    <row r="6" spans="1:5" ht="15.75">
      <c r="A6" s="3411"/>
      <c r="B6" s="3467"/>
      <c r="C6" s="3413" t="s">
        <v>98</v>
      </c>
      <c r="D6" s="3414" t="str">
        <f ca="1">NUMBERSTRING(INT(D5*10000),2)&amp;"元整"</f>
        <v>贰佰捌拾柒万元整</v>
      </c>
      <c r="E6" s="3411"/>
    </row>
    <row r="7" spans="1:5" ht="15.75">
      <c r="A7" s="3411"/>
      <c r="B7" s="3468"/>
      <c r="C7" s="3415" t="s">
        <v>99</v>
      </c>
      <c r="D7" s="3416">
        <f ca="1">结果表!H102</f>
        <v>29059</v>
      </c>
      <c r="E7" s="3411"/>
    </row>
    <row r="8" spans="1:5" ht="15.75">
      <c r="A8" s="3411"/>
      <c r="B8" s="3469" t="str">
        <f>结果表!E103</f>
        <v>2.估价师知悉的法定优先受偿款</v>
      </c>
      <c r="C8" s="3417" t="s">
        <v>100</v>
      </c>
      <c r="D8" s="3416">
        <f>结果表!H103</f>
        <v>0</v>
      </c>
      <c r="E8" s="3411"/>
    </row>
    <row r="9" spans="1:5" ht="15.75">
      <c r="A9" s="3411"/>
      <c r="B9" s="3471"/>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6" t="str">
        <f>结果表!E107</f>
        <v>3.房地产抵押价值</v>
      </c>
      <c r="C13" s="3421" t="s">
        <v>97</v>
      </c>
      <c r="D13" s="3422">
        <f ca="1">结果表!H107</f>
        <v>287</v>
      </c>
      <c r="E13" s="3411"/>
    </row>
    <row r="14" spans="1:5" ht="15.75">
      <c r="A14" s="3411"/>
      <c r="B14" s="3467"/>
      <c r="C14" s="3413" t="s">
        <v>98</v>
      </c>
      <c r="D14" s="3414" t="str">
        <f ca="1">NUMBERSTRING(INT(D13*10000),2)&amp;"元整"</f>
        <v>贰佰捌拾柒万元整</v>
      </c>
      <c r="E14" s="3411"/>
    </row>
    <row r="15" spans="1:5" ht="15">
      <c r="A15" s="3411"/>
      <c r="B15" s="3468"/>
      <c r="C15" s="3415" t="s">
        <v>99</v>
      </c>
      <c r="D15" s="3423">
        <f ca="1">结果表!H108</f>
        <v>29059</v>
      </c>
      <c r="E15" s="3411"/>
    </row>
    <row r="16" spans="1:5" ht="15">
      <c r="A16" s="3411"/>
      <c r="B16" s="3469" t="str">
        <f>结果表!E109</f>
        <v>——</v>
      </c>
      <c r="C16" s="3421" t="s">
        <v>97</v>
      </c>
      <c r="D16" s="3424" t="str">
        <f>结果表!H109</f>
        <v>——</v>
      </c>
      <c r="E16" s="3411"/>
    </row>
    <row r="17" spans="1:5" ht="15.75">
      <c r="A17" s="3411"/>
      <c r="B17" s="3470"/>
      <c r="C17" s="3413" t="s">
        <v>98</v>
      </c>
      <c r="D17" s="3414" t="e">
        <f>NUMBERSTRING(INT(D16*10000),2)&amp;"元整"</f>
        <v>#VALUE!</v>
      </c>
      <c r="E17" s="3411"/>
    </row>
    <row r="18" spans="1:5" ht="15">
      <c r="A18" s="3411"/>
      <c r="B18" s="3471"/>
      <c r="C18" s="3415" t="s">
        <v>99</v>
      </c>
      <c r="D18" s="3423" t="str">
        <f>结果表!H110</f>
        <v>——</v>
      </c>
      <c r="E18" s="3411"/>
    </row>
    <row r="19" spans="1:5" ht="15.75">
      <c r="A19" s="3411"/>
      <c r="B19" s="3466"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2"/>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27886</v>
      </c>
      <c r="C2" s="388" t="s">
        <v>1473</v>
      </c>
      <c r="D2" s="385"/>
      <c r="E2" s="385"/>
      <c r="F2" s="385"/>
      <c r="G2" s="385"/>
    </row>
    <row r="3" spans="1:7" s="374" customFormat="1" ht="18" customHeight="1">
      <c r="A3" s="389" t="s">
        <v>2159</v>
      </c>
      <c r="B3" s="390">
        <f ca="1">ROUND(B2*10000/'数据-汇总表'!E3,0)</f>
        <v>2822470</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98.8</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98.8</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49</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44</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98.8</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1</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1</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1</v>
      </c>
      <c r="D42" s="432"/>
      <c r="E42" s="432"/>
      <c r="F42" s="433"/>
      <c r="G42" s="3648" t="s">
        <v>2218</v>
      </c>
    </row>
    <row r="43" spans="1:7" ht="13.5" customHeight="1">
      <c r="A43" s="430" t="s">
        <v>1048</v>
      </c>
      <c r="B43" s="400" t="s">
        <v>2190</v>
      </c>
      <c r="C43" s="432">
        <f ca="1">ROUND(IF('数据-取费表'!B22&lt;=1,C39*F22*'数据-取费表'!B21/2,C39*(POWER((1+F22),'数据-取费表'!B21/2)-1)),0)</f>
        <v>0</v>
      </c>
      <c r="D43" s="432"/>
      <c r="E43" s="432"/>
      <c r="F43" s="433"/>
      <c r="G43" s="3649"/>
    </row>
    <row r="44" spans="1:7" ht="13.5" customHeight="1">
      <c r="A44" s="430" t="s">
        <v>1050</v>
      </c>
      <c r="B44" s="400" t="s">
        <v>2192</v>
      </c>
      <c r="C44" s="432">
        <f ca="1">ROUND(IF('数据-取费表'!B22&lt;=1,C40*F22*'数据-取费表'!B21/2,C40*(POWER((1+F22),'数据-取费表'!B21/2)-1)),4)</f>
        <v>5.9999999999999995E-4</v>
      </c>
      <c r="D44" s="432"/>
      <c r="E44" s="432"/>
      <c r="F44" s="433"/>
      <c r="G44" s="3650"/>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64</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56</v>
      </c>
      <c r="D51" s="422"/>
      <c r="E51" s="422"/>
      <c r="F51" s="457"/>
      <c r="G51" s="427" t="s">
        <v>2231</v>
      </c>
    </row>
    <row r="52" spans="1:7" s="375" customFormat="1" ht="15.75">
      <c r="A52" s="458" t="s">
        <v>2232</v>
      </c>
      <c r="B52" s="459"/>
      <c r="C52" s="460">
        <f ca="1">C31+C51</f>
        <v>27886</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2236</v>
      </c>
      <c r="B1" s="3788"/>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2618</v>
      </c>
      <c r="B1" s="3789"/>
      <c r="C1" s="3789"/>
      <c r="D1" s="3789"/>
      <c r="E1" s="3789"/>
      <c r="F1" s="3790"/>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91" t="s">
        <v>2625</v>
      </c>
      <c r="S1" s="3792"/>
      <c r="T1" s="3792"/>
      <c r="U1" s="3792"/>
      <c r="V1" s="3792"/>
      <c r="W1" s="3792"/>
      <c r="X1" s="275"/>
      <c r="Y1" s="3791" t="s">
        <v>2626</v>
      </c>
      <c r="Z1" s="3792"/>
      <c r="AA1" s="3792"/>
      <c r="AB1" s="3792"/>
      <c r="AC1" s="3792"/>
      <c r="AD1" s="3792"/>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1" t="s">
        <v>2625</v>
      </c>
      <c r="S29" s="3792"/>
      <c r="T29" s="3792"/>
      <c r="U29" s="3792"/>
      <c r="V29" s="3792"/>
      <c r="W29" s="3792"/>
      <c r="X29" s="275"/>
      <c r="Y29" s="3791" t="s">
        <v>2626</v>
      </c>
      <c r="Z29" s="3792"/>
      <c r="AA29" s="3792"/>
      <c r="AB29" s="3792"/>
      <c r="AC29" s="3792"/>
      <c r="AD29" s="3792"/>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3" t="s">
        <v>2652</v>
      </c>
      <c r="C1" s="3803"/>
      <c r="D1" s="3803"/>
      <c r="E1" s="3803"/>
      <c r="F1" s="3803"/>
      <c r="G1" s="3800" t="s">
        <v>2653</v>
      </c>
      <c r="H1" s="3800"/>
      <c r="I1" s="3800"/>
      <c r="J1" s="3800"/>
      <c r="K1" s="3800"/>
      <c r="L1" s="3800"/>
      <c r="N1" s="3800" t="s">
        <v>2624</v>
      </c>
      <c r="O1" s="3800"/>
      <c r="P1" s="3800"/>
      <c r="Q1" s="3800"/>
      <c r="S1" s="3800" t="s">
        <v>2654</v>
      </c>
      <c r="T1" s="3800"/>
      <c r="U1" s="3800"/>
      <c r="V1" s="3800"/>
      <c r="X1" s="3799" t="s">
        <v>2625</v>
      </c>
      <c r="Y1" s="3800"/>
      <c r="Z1" s="3800"/>
      <c r="AA1" s="3800"/>
      <c r="AB1" s="3800"/>
      <c r="AD1" s="3799" t="s">
        <v>2626</v>
      </c>
      <c r="AE1" s="3800"/>
      <c r="AF1" s="3800"/>
      <c r="AG1" s="3800"/>
      <c r="AH1" s="3800"/>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80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80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80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4">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4">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4">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4">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2743</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6"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7"/>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6" t="s">
        <v>110</v>
      </c>
      <c r="E3" s="3406" t="s">
        <v>111</v>
      </c>
      <c r="F3" s="3406" t="s">
        <v>110</v>
      </c>
      <c r="G3" s="3406" t="s">
        <v>111</v>
      </c>
      <c r="H3" s="3406" t="s">
        <v>110</v>
      </c>
      <c r="I3" s="3406" t="s">
        <v>111</v>
      </c>
    </row>
    <row r="4" spans="1:9" ht="15">
      <c r="A4" s="3407" t="str">
        <f>项目基本情况!S2</f>
        <v>北京市房地产</v>
      </c>
      <c r="B4" s="3406">
        <f>项目基本情况!C17</f>
        <v>98.8</v>
      </c>
      <c r="C4" s="3406">
        <f>项目基本情况!C18</f>
        <v>0</v>
      </c>
      <c r="D4" s="3406">
        <f>结果表!D118</f>
        <v>0</v>
      </c>
      <c r="E4" s="3406">
        <f>结果表!E118</f>
        <v>0</v>
      </c>
      <c r="F4" s="3406">
        <f>结果表!F118</f>
        <v>0</v>
      </c>
      <c r="G4" s="3406">
        <f>结果表!G118</f>
        <v>0</v>
      </c>
      <c r="H4" s="3406">
        <f ca="1">结果表!H118</f>
        <v>287</v>
      </c>
      <c r="I4" s="3406">
        <f ca="1">结果表!I118</f>
        <v>29059</v>
      </c>
    </row>
    <row r="5" spans="1:9" ht="30" customHeight="1">
      <c r="A5" s="3479" t="s">
        <v>112</v>
      </c>
      <c r="B5" s="3479"/>
      <c r="C5" s="3479"/>
      <c r="D5" s="3479" t="str">
        <f>结果表!D119</f>
        <v>零元整</v>
      </c>
      <c r="E5" s="3479"/>
      <c r="F5" s="3479" t="str">
        <f>结果表!F119</f>
        <v>零元整</v>
      </c>
      <c r="G5" s="3479"/>
      <c r="H5" s="3479" t="str">
        <f ca="1">结果表!H119</f>
        <v>贰佰捌拾柒万元整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287</v>
      </c>
      <c r="E8" s="3476"/>
      <c r="F8" s="3476"/>
      <c r="G8" s="3476"/>
      <c r="H8" s="3476"/>
      <c r="I8" s="3476"/>
    </row>
    <row r="9" spans="1:9" ht="15">
      <c r="A9" s="3479" t="s">
        <v>112</v>
      </c>
      <c r="B9" s="3479"/>
      <c r="C9" s="3479"/>
      <c r="D9" s="3479" t="str">
        <f ca="1">结果表!D123</f>
        <v>贰佰捌拾柒万元整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91" t="s">
        <v>114</v>
      </c>
      <c r="B1" s="3491"/>
      <c r="C1" s="3491"/>
      <c r="D1" s="3491"/>
    </row>
    <row r="2" spans="1:4" ht="18">
      <c r="A2" s="3492" t="s">
        <v>115</v>
      </c>
      <c r="B2" s="3492"/>
      <c r="C2" s="3492"/>
      <c r="D2" s="3492"/>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2" t="s">
        <v>121</v>
      </c>
      <c r="B6" s="3492"/>
      <c r="C6" s="3492"/>
      <c r="D6" s="3492"/>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6" t="s">
        <v>146</v>
      </c>
      <c r="B15" s="3501" t="s">
        <v>147</v>
      </c>
      <c r="C15" s="3495"/>
    </row>
    <row r="16" spans="1:7" ht="13.5">
      <c r="A16" s="3497"/>
      <c r="B16" s="3501" t="s">
        <v>148</v>
      </c>
      <c r="C16" s="3495"/>
    </row>
    <row r="17" spans="1:3" ht="13.5">
      <c r="A17" s="3497"/>
      <c r="B17" s="3500" t="s">
        <v>149</v>
      </c>
      <c r="C17" s="3383" t="s">
        <v>146</v>
      </c>
    </row>
    <row r="18" spans="1:3" ht="13.5">
      <c r="A18" s="3497"/>
      <c r="B18" s="3500"/>
      <c r="C18" s="3383" t="s">
        <v>150</v>
      </c>
    </row>
    <row r="19" spans="1:3" ht="13.5">
      <c r="A19" s="3497"/>
      <c r="B19" s="3500"/>
      <c r="C19" s="3383" t="s">
        <v>151</v>
      </c>
    </row>
    <row r="20" spans="1:3" ht="13.5">
      <c r="A20" s="3498"/>
      <c r="B20" s="3494" t="s">
        <v>152</v>
      </c>
      <c r="C20" s="3495"/>
    </row>
    <row r="21" spans="1:3" ht="13.5">
      <c r="A21" s="3384" t="s">
        <v>153</v>
      </c>
      <c r="B21" s="3385"/>
      <c r="C21" s="3386"/>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3" t="s">
        <v>159</v>
      </c>
    </row>
    <row r="26" spans="1:3" ht="13.5">
      <c r="A26" s="3499"/>
      <c r="B26" s="3500"/>
      <c r="C26" s="3383" t="s">
        <v>160</v>
      </c>
    </row>
    <row r="27" spans="1:3" ht="13.5">
      <c r="A27" s="3499"/>
      <c r="B27" s="3500"/>
      <c r="C27" s="3383" t="s">
        <v>161</v>
      </c>
    </row>
    <row r="28" spans="1:3" ht="13.5">
      <c r="A28" s="3499"/>
      <c r="B28" s="3500"/>
      <c r="C28" s="3383" t="s">
        <v>162</v>
      </c>
    </row>
    <row r="29" spans="1:3" ht="13.5">
      <c r="A29" s="3499"/>
      <c r="B29" s="3500"/>
      <c r="C29" s="3383" t="s">
        <v>163</v>
      </c>
    </row>
    <row r="30" spans="1:3" ht="13.5">
      <c r="A30" s="3499"/>
      <c r="B30" s="3500"/>
      <c r="C30" s="3383" t="s">
        <v>164</v>
      </c>
    </row>
    <row r="31" spans="1:3" ht="13.5">
      <c r="A31" s="3499"/>
      <c r="B31" s="3500"/>
      <c r="C31" s="3383" t="s">
        <v>165</v>
      </c>
    </row>
    <row r="32" spans="1:3" ht="13.5">
      <c r="A32" s="3499"/>
      <c r="B32" s="3500"/>
      <c r="C32" s="3383" t="s">
        <v>166</v>
      </c>
    </row>
    <row r="33" spans="1:3" ht="13.5">
      <c r="A33" s="3499"/>
      <c r="B33" s="3500"/>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45853</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0"/>
      <c r="E18" s="3504" t="s">
        <v>199</v>
      </c>
      <c r="F18" s="3503"/>
      <c r="G18" s="3503"/>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2025-07-15T09:05:53Z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