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汇总）" sheetId="70" state="hidden" r:id="rId23"/>
    <sheet name="收益法-出租" sheetId="79"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7" r:id="rId46"/>
    <sheet name="Sheet1" sheetId="78"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C34" i="9"/>
  <c r="D118" i="9"/>
  <c r="N6" i="1"/>
  <c r="B2" i="49"/>
  <c r="B11" i="49"/>
  <c r="E4" i="4"/>
  <c r="B5" i="62"/>
  <c r="B8" i="49"/>
  <c r="C4" i="4"/>
  <c r="B4" i="62"/>
  <c r="M6" i="1"/>
  <c r="M16" i="1"/>
  <c r="N16" i="1"/>
  <c r="F50" i="68"/>
  <c r="C17" i="9"/>
  <c r="D17" i="9"/>
  <c r="C18" i="9"/>
  <c r="D18" i="9"/>
  <c r="F118" i="9"/>
  <c r="F119" i="9"/>
  <c r="F5" i="52"/>
  <c r="G118" i="9"/>
  <c r="G4" i="52"/>
  <c r="F4" i="52"/>
  <c r="D119" i="9"/>
  <c r="D5" i="52"/>
  <c r="H118" i="9"/>
  <c r="I118" i="9"/>
  <c r="E118" i="9"/>
  <c r="E4" i="52"/>
  <c r="D4" i="52"/>
  <c r="H101" i="9"/>
  <c r="E109" i="9"/>
  <c r="H109" i="9"/>
  <c r="D16" i="53"/>
  <c r="D17" i="53"/>
  <c r="H110" i="9"/>
  <c r="D18" i="53"/>
  <c r="E107" i="9"/>
  <c r="H107" i="9"/>
  <c r="D13" i="53"/>
  <c r="D14" i="53"/>
  <c r="H108" i="9"/>
  <c r="D15" i="53"/>
  <c r="D5" i="53"/>
  <c r="D6" i="53"/>
  <c r="H102" i="9"/>
  <c r="D7" i="53"/>
  <c r="A10" i="51"/>
  <c r="A7" i="51"/>
  <c r="K4" i="4"/>
  <c r="B46" i="48"/>
  <c r="E111" i="9"/>
  <c r="A126" i="9"/>
  <c r="A12" i="52"/>
  <c r="A124" i="9"/>
  <c r="A10" i="52"/>
  <c r="A122" i="9"/>
  <c r="A8" i="52"/>
  <c r="H111" i="9"/>
  <c r="D19" i="53"/>
  <c r="D20" i="53"/>
  <c r="H112" i="9"/>
  <c r="D21" i="53"/>
  <c r="B19" i="53"/>
  <c r="B16" i="53"/>
  <c r="B13" i="53"/>
  <c r="A20" i="51"/>
  <c r="A19" i="51"/>
  <c r="A18" i="51"/>
  <c r="C11" i="4"/>
  <c r="F19" i="6"/>
  <c r="I41" i="40"/>
  <c r="G41" i="40"/>
  <c r="E41" i="40"/>
  <c r="D8" i="77"/>
  <c r="A6" i="1"/>
  <c r="A7" i="1"/>
  <c r="G1" i="79"/>
  <c r="E19" i="6"/>
  <c r="K6" i="1"/>
  <c r="E20" i="6"/>
  <c r="BB13" i="3"/>
  <c r="BB14" i="3"/>
  <c r="BB15" i="3"/>
  <c r="BB5" i="3"/>
  <c r="BD13" i="3"/>
  <c r="BD14" i="3"/>
  <c r="BD15" i="3"/>
  <c r="BD5" i="3"/>
  <c r="BC10" i="3"/>
  <c r="BD10" i="3"/>
  <c r="E8" i="6"/>
  <c r="F27" i="6"/>
  <c r="BC13" i="3"/>
  <c r="BA13" i="3"/>
  <c r="BC14" i="3"/>
  <c r="BA14" i="3"/>
  <c r="BC15" i="3"/>
  <c r="BA15" i="3"/>
  <c r="BA5" i="3"/>
  <c r="E21" i="6"/>
  <c r="E27" i="6"/>
  <c r="K19" i="6"/>
  <c r="S6" i="1"/>
  <c r="T6" i="1"/>
  <c r="K7" i="1"/>
  <c r="M7" i="1"/>
  <c r="K20" i="6"/>
  <c r="S7" i="1"/>
  <c r="T7" i="1"/>
  <c r="C14" i="79"/>
  <c r="F15" i="79"/>
  <c r="C15" i="79"/>
  <c r="F16" i="79"/>
  <c r="C16" i="79"/>
  <c r="F17" i="79"/>
  <c r="F43" i="79"/>
  <c r="C17" i="79"/>
  <c r="F18" i="79"/>
  <c r="C18" i="79"/>
  <c r="C19" i="79"/>
  <c r="F20" i="79"/>
  <c r="C20" i="79"/>
  <c r="E1" i="73"/>
  <c r="K1" i="73"/>
  <c r="F24" i="79"/>
  <c r="F23" i="79"/>
  <c r="C23" i="79"/>
  <c r="F26" i="79"/>
  <c r="C26" i="79"/>
  <c r="F21" i="79"/>
  <c r="C24" i="79"/>
  <c r="C27" i="79"/>
  <c r="F28" i="79"/>
  <c r="C28" i="79"/>
  <c r="C29" i="79"/>
  <c r="F13" i="79"/>
  <c r="C13" i="79"/>
  <c r="F6" i="79"/>
  <c r="F8" i="79"/>
  <c r="F7" i="79"/>
  <c r="F9" i="79"/>
  <c r="C6" i="79"/>
  <c r="F11" i="79"/>
  <c r="C10" i="79"/>
  <c r="C5" i="79"/>
  <c r="F32" i="79"/>
  <c r="C32" i="79"/>
  <c r="F33" i="79"/>
  <c r="C33" i="79"/>
  <c r="B52" i="1"/>
  <c r="F34" i="79"/>
  <c r="L19" i="6"/>
  <c r="M19" i="6"/>
  <c r="I19" i="6"/>
  <c r="AZ13" i="3"/>
  <c r="AZ14" i="3"/>
  <c r="AZ15" i="3"/>
  <c r="AZ5" i="3"/>
  <c r="H13" i="3"/>
  <c r="G13" i="3"/>
  <c r="H14" i="3"/>
  <c r="G14" i="3"/>
  <c r="H15" i="3"/>
  <c r="G15" i="3"/>
  <c r="G5" i="3"/>
  <c r="B3" i="3"/>
  <c r="AY6" i="3"/>
  <c r="D3" i="6"/>
  <c r="E3" i="6"/>
  <c r="H19" i="6"/>
  <c r="D19" i="6"/>
  <c r="R19" i="6"/>
  <c r="D20" i="6"/>
  <c r="L20" i="6"/>
  <c r="M20" i="6"/>
  <c r="I20" i="6"/>
  <c r="H20" i="6"/>
  <c r="R20" i="6"/>
  <c r="R7" i="1"/>
  <c r="F35" i="79"/>
  <c r="C34" i="79"/>
  <c r="C31" i="79"/>
  <c r="F36" i="79"/>
  <c r="C36" i="79"/>
  <c r="F37" i="79"/>
  <c r="C37" i="79"/>
  <c r="F38" i="79"/>
  <c r="C38" i="79"/>
  <c r="C30" i="79"/>
  <c r="C39" i="79"/>
  <c r="F42" i="79"/>
  <c r="F40" i="79"/>
  <c r="M47" i="15"/>
  <c r="G1" i="15"/>
  <c r="F41" i="79"/>
  <c r="C40" i="79"/>
  <c r="C83" i="79"/>
  <c r="C82" i="79"/>
  <c r="C76" i="79"/>
  <c r="C75" i="79"/>
  <c r="C80" i="79"/>
  <c r="C79" i="79"/>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M47" i="79"/>
  <c r="L48" i="79"/>
  <c r="J53" i="79"/>
  <c r="F1" i="79"/>
  <c r="AE7" i="1"/>
  <c r="AG7" i="1"/>
  <c r="M27" i="79"/>
  <c r="J26" i="79"/>
  <c r="J29" i="79"/>
  <c r="Q65" i="79"/>
  <c r="J50" i="79"/>
  <c r="J51"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AG6" i="1"/>
  <c r="M18" i="79"/>
  <c r="M19" i="79"/>
  <c r="M20" i="79"/>
  <c r="D24" i="79"/>
  <c r="D23" i="79"/>
  <c r="D22" i="79"/>
  <c r="M17" i="79"/>
  <c r="B2" i="79"/>
  <c r="B3" i="79"/>
  <c r="D7" i="1"/>
  <c r="F7" i="1"/>
  <c r="G7" i="1"/>
  <c r="K8" i="1"/>
  <c r="K9" i="1"/>
  <c r="K10" i="1"/>
  <c r="K11" i="1"/>
  <c r="K12" i="1"/>
  <c r="K13" i="1"/>
  <c r="G16" i="1"/>
  <c r="F10" i="40"/>
  <c r="AA10" i="40"/>
  <c r="F31" i="6"/>
  <c r="D21" i="6"/>
  <c r="D22" i="6"/>
  <c r="D23" i="6"/>
  <c r="D24" i="6"/>
  <c r="D25" i="6"/>
  <c r="D26" i="6"/>
  <c r="D27" i="6"/>
  <c r="D28" i="6"/>
  <c r="D29" i="6"/>
  <c r="D30" i="6"/>
  <c r="D31" i="6"/>
  <c r="I6" i="6"/>
  <c r="C11" i="40"/>
  <c r="D76" i="40"/>
  <c r="F11" i="40"/>
  <c r="AA11" i="40"/>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P24" i="43"/>
  <c r="B66" i="40"/>
  <c r="F7" i="40"/>
  <c r="AA7" i="40"/>
  <c r="R41" i="40"/>
  <c r="R42" i="40"/>
  <c r="H10" i="40"/>
  <c r="AB10" i="40"/>
  <c r="H11" i="40"/>
  <c r="AB11" i="40"/>
  <c r="H7" i="40"/>
  <c r="AB7" i="40"/>
  <c r="T41" i="40"/>
  <c r="T42" i="40"/>
  <c r="J10" i="40"/>
  <c r="AC10" i="40"/>
  <c r="J11" i="40"/>
  <c r="AC11" i="40"/>
  <c r="J7" i="40"/>
  <c r="AC7" i="40"/>
  <c r="V41" i="40"/>
  <c r="V42" i="40"/>
  <c r="R43" i="40"/>
  <c r="C43" i="40"/>
  <c r="B51" i="40"/>
  <c r="E51" i="40"/>
  <c r="F51" i="40"/>
  <c r="B52" i="40"/>
  <c r="F52" i="40"/>
  <c r="B53" i="40"/>
  <c r="F53" i="40"/>
  <c r="B54" i="40"/>
  <c r="F54" i="40"/>
  <c r="B55" i="40"/>
  <c r="F55" i="40"/>
  <c r="B56" i="40"/>
  <c r="BC5" i="3"/>
  <c r="BC11" i="3"/>
  <c r="BD11" i="3"/>
  <c r="E11" i="6"/>
  <c r="E56" i="40"/>
  <c r="F56" i="40"/>
  <c r="B57" i="40"/>
  <c r="E12" i="6"/>
  <c r="E57" i="40"/>
  <c r="F57" i="40"/>
  <c r="B58" i="40"/>
  <c r="E13" i="6"/>
  <c r="E58" i="40"/>
  <c r="F58" i="40"/>
  <c r="B59" i="40"/>
  <c r="E14" i="6"/>
  <c r="E59" i="40"/>
  <c r="F59" i="40"/>
  <c r="B60" i="40"/>
  <c r="E15" i="6"/>
  <c r="E60" i="40"/>
  <c r="F60" i="40"/>
  <c r="E61" i="40"/>
  <c r="F61" i="40"/>
  <c r="B2" i="40"/>
  <c r="C6" i="68"/>
  <c r="D66" i="40"/>
  <c r="E66" i="40"/>
  <c r="F66" i="40"/>
  <c r="G66" i="40"/>
  <c r="H66" i="40"/>
  <c r="I66" i="40"/>
  <c r="J66" i="40"/>
  <c r="K66" i="40"/>
  <c r="L66" i="40"/>
  <c r="M66" i="40"/>
  <c r="N66" i="40"/>
  <c r="O66" i="40"/>
  <c r="I34" i="40"/>
  <c r="G34" i="40"/>
  <c r="E34" i="40"/>
  <c r="C34" i="40"/>
  <c r="C10" i="40"/>
  <c r="I7" i="40"/>
  <c r="G7" i="40"/>
  <c r="E7" i="40"/>
  <c r="K33" i="78"/>
  <c r="K32" i="78"/>
  <c r="K31" i="78"/>
  <c r="K30" i="78"/>
  <c r="K29" i="78"/>
  <c r="K28" i="78"/>
  <c r="K27" i="78"/>
  <c r="K26" i="78"/>
  <c r="K25" i="78"/>
  <c r="K24" i="78"/>
  <c r="K23" i="78"/>
  <c r="K22" i="78"/>
  <c r="K21" i="78"/>
  <c r="K20" i="78"/>
  <c r="K19" i="78"/>
  <c r="K18" i="78"/>
  <c r="K17" i="78"/>
  <c r="K16" i="78"/>
  <c r="K15" i="78"/>
  <c r="K14" i="78"/>
  <c r="K13" i="78"/>
  <c r="K12" i="78"/>
  <c r="K11" i="78"/>
  <c r="K10" i="78"/>
  <c r="K9" i="78"/>
  <c r="K8" i="78"/>
  <c r="K7" i="78"/>
  <c r="K6" i="78"/>
  <c r="K5" i="78"/>
  <c r="K4" i="78"/>
  <c r="K3" i="78"/>
  <c r="K2" i="78"/>
  <c r="I5" i="40"/>
  <c r="G5" i="40"/>
  <c r="E5" i="40"/>
  <c r="K14" i="1"/>
  <c r="K15" i="1"/>
  <c r="K16" i="1"/>
  <c r="C4" i="77"/>
  <c r="C5" i="77"/>
  <c r="C6" i="77"/>
  <c r="C7" i="77"/>
  <c r="C8" i="77"/>
  <c r="Y6" i="1"/>
  <c r="D3" i="4"/>
  <c r="B2" i="1"/>
  <c r="M20" i="43"/>
  <c r="C19" i="43"/>
  <c r="I20" i="43"/>
  <c r="G20" i="43"/>
  <c r="C20" i="43"/>
  <c r="G2" i="43"/>
  <c r="I2" i="43"/>
  <c r="M7"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I5" i="3"/>
  <c r="M5" i="3"/>
  <c r="I4" i="6"/>
  <c r="G3" i="43"/>
  <c r="F33" i="43"/>
  <c r="C33" i="43"/>
  <c r="G33" i="43"/>
  <c r="I33" i="43"/>
  <c r="E33" i="43"/>
  <c r="E7" i="76"/>
  <c r="E8" i="76"/>
  <c r="E9" i="76"/>
  <c r="E10" i="76"/>
  <c r="E11" i="76"/>
  <c r="E12" i="76"/>
  <c r="E13" i="76"/>
  <c r="D7" i="71"/>
  <c r="AH5" i="71"/>
  <c r="AG5" i="71"/>
  <c r="AE5" i="71"/>
  <c r="AF5" i="71"/>
  <c r="AD5" i="71"/>
  <c r="Q5" i="71"/>
  <c r="P5" i="71"/>
  <c r="O5" i="71"/>
  <c r="N5" i="71"/>
  <c r="L3" i="71"/>
  <c r="K3" i="71"/>
  <c r="I3" i="71"/>
  <c r="J3" i="71"/>
  <c r="BE13" i="3"/>
  <c r="BF13" i="3"/>
  <c r="BG13" i="3"/>
  <c r="BH13" i="3"/>
  <c r="BI13" i="3"/>
  <c r="BJ13" i="3"/>
  <c r="BK13" i="3"/>
  <c r="BM13" i="3"/>
  <c r="BN13" i="3"/>
  <c r="BO13" i="3"/>
  <c r="BP13" i="3"/>
  <c r="BQ13" i="3"/>
  <c r="BR13" i="3"/>
  <c r="BS13" i="3"/>
  <c r="BT13" i="3"/>
  <c r="BL13" i="3"/>
  <c r="BE14" i="3"/>
  <c r="BF14" i="3"/>
  <c r="BG14" i="3"/>
  <c r="BH14" i="3"/>
  <c r="BI14" i="3"/>
  <c r="BJ14" i="3"/>
  <c r="BK14" i="3"/>
  <c r="BM14" i="3"/>
  <c r="BN14" i="3"/>
  <c r="BO14" i="3"/>
  <c r="BP14" i="3"/>
  <c r="BQ14" i="3"/>
  <c r="BR14" i="3"/>
  <c r="BS14" i="3"/>
  <c r="BT14" i="3"/>
  <c r="BL14" i="3"/>
  <c r="BE15" i="3"/>
  <c r="BF15" i="3"/>
  <c r="BG15" i="3"/>
  <c r="BH15" i="3"/>
  <c r="BI15" i="3"/>
  <c r="BJ15" i="3"/>
  <c r="BK15" i="3"/>
  <c r="BM15" i="3"/>
  <c r="BN15" i="3"/>
  <c r="BO15" i="3"/>
  <c r="BP15" i="3"/>
  <c r="BQ15" i="3"/>
  <c r="BR15" i="3"/>
  <c r="BS15" i="3"/>
  <c r="BT15" i="3"/>
  <c r="BL15" i="3"/>
  <c r="M19" i="9"/>
  <c r="C118" i="9"/>
  <c r="C14" i="74"/>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B44" i="72"/>
  <c r="B42" i="72"/>
  <c r="B69" i="72"/>
  <c r="B68" i="72"/>
  <c r="B63" i="72"/>
  <c r="B62" i="72"/>
  <c r="B16" i="72"/>
  <c r="B65" i="72"/>
  <c r="B60" i="72"/>
  <c r="B59" i="72"/>
  <c r="B58" i="72"/>
  <c r="B67" i="72"/>
  <c r="B66" i="72"/>
  <c r="B12" i="72"/>
  <c r="B10" i="72"/>
  <c r="C53" i="10"/>
  <c r="B51" i="10"/>
  <c r="B19" i="72"/>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B55" i="72"/>
  <c r="K4" i="9"/>
  <c r="B61" i="72"/>
  <c r="A5" i="62"/>
  <c r="B72" i="72"/>
  <c r="A4" i="62"/>
  <c r="B70" i="72"/>
  <c r="F33" i="9"/>
  <c r="B37" i="48"/>
  <c r="B2" i="72"/>
  <c r="B29" i="72"/>
  <c r="R35" i="4"/>
  <c r="Q35" i="4"/>
  <c r="P35" i="4"/>
  <c r="O35" i="4"/>
  <c r="N35" i="4"/>
  <c r="M35" i="4"/>
  <c r="L35" i="4"/>
  <c r="K34" i="4"/>
  <c r="T34" i="4"/>
  <c r="G13" i="1"/>
  <c r="G11" i="1"/>
  <c r="I15" i="4"/>
  <c r="H15" i="4"/>
  <c r="G15" i="4"/>
  <c r="E15" i="4"/>
  <c r="D15" i="4"/>
  <c r="F19" i="4"/>
  <c r="F2" i="52"/>
  <c r="B50" i="72"/>
  <c r="D2" i="52"/>
  <c r="B46" i="72"/>
  <c r="B8" i="53"/>
  <c r="B23" i="72"/>
  <c r="L4" i="9"/>
  <c r="B17" i="72"/>
  <c r="B15" i="72"/>
  <c r="A3" i="51"/>
  <c r="C8" i="11"/>
  <c r="B23" i="49"/>
  <c r="B40" i="48"/>
  <c r="B3" i="72"/>
  <c r="N1" i="43"/>
  <c r="F35" i="4"/>
  <c r="J55" i="39"/>
  <c r="H34" i="43"/>
  <c r="H35" i="43"/>
  <c r="H36" i="43"/>
  <c r="H37" i="43"/>
  <c r="H38" i="43"/>
  <c r="H39" i="43"/>
  <c r="H33" i="43"/>
  <c r="J20" i="43"/>
  <c r="P17" i="43"/>
  <c r="O17" i="43"/>
  <c r="N17"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33" i="72"/>
  <c r="C7" i="37"/>
  <c r="C7" i="34"/>
  <c r="C7" i="36"/>
  <c r="W35" i="40"/>
  <c r="A118" i="9"/>
  <c r="A4" i="52"/>
  <c r="B41" i="72"/>
  <c r="J11" i="39"/>
  <c r="W11" i="39"/>
  <c r="F11" i="39"/>
  <c r="AA11" i="39"/>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R5" i="3"/>
  <c r="G28" i="6"/>
  <c r="AZ380" i="3"/>
  <c r="AZ384" i="3"/>
  <c r="AZ388" i="3"/>
  <c r="AZ392" i="3"/>
  <c r="AZ396" i="3"/>
  <c r="AZ394" i="3"/>
  <c r="AZ499" i="3"/>
  <c r="AZ509" i="3"/>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61" i="39"/>
  <c r="BL17" i="3"/>
  <c r="AZ17" i="3"/>
  <c r="E65" i="39"/>
  <c r="G30" i="6"/>
  <c r="G31" i="6"/>
  <c r="J56" i="9"/>
  <c r="J57" i="9"/>
  <c r="A24" i="51"/>
  <c r="B18" i="72"/>
  <c r="U29" i="34"/>
  <c r="C106" i="43"/>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37" i="72"/>
  <c r="C7" i="39"/>
  <c r="C68" i="39"/>
  <c r="C70" i="39"/>
  <c r="C7" i="35"/>
  <c r="C7" i="33"/>
  <c r="C58" i="33"/>
  <c r="D58" i="33"/>
  <c r="E58" i="33"/>
  <c r="F58" i="33"/>
  <c r="G58" i="33"/>
  <c r="H58" i="33"/>
  <c r="I58" i="33"/>
  <c r="J58" i="33"/>
  <c r="K58" i="33"/>
  <c r="L58" i="33"/>
  <c r="M58" i="33"/>
  <c r="N58" i="33"/>
  <c r="O58" i="33"/>
  <c r="C7" i="21"/>
  <c r="M47" i="9"/>
  <c r="T35" i="4"/>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B4" i="72"/>
  <c r="B73" i="72"/>
  <c r="B71" i="72"/>
  <c r="S21" i="6"/>
  <c r="L27" i="6"/>
  <c r="S26" i="6"/>
  <c r="S22" i="6"/>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W10" i="40"/>
  <c r="C5" i="68"/>
  <c r="C5" i="67"/>
  <c r="C32" i="67"/>
  <c r="S20"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AA10" i="39"/>
  <c r="D10" i="11"/>
  <c r="C10" i="11"/>
  <c r="D20" i="12"/>
  <c r="C20" i="12"/>
  <c r="C18" i="12"/>
  <c r="D15" i="6"/>
  <c r="C18" i="4"/>
  <c r="D8" i="6"/>
  <c r="D14" i="6"/>
  <c r="D5" i="6"/>
  <c r="D6" i="6"/>
  <c r="D12" i="6"/>
  <c r="D9" i="6"/>
  <c r="D11" i="6"/>
  <c r="D10" i="6"/>
  <c r="D13" i="6"/>
  <c r="L19" i="9"/>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B7" i="72"/>
  <c r="C4" i="52"/>
  <c r="B45" i="72"/>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C14" i="12"/>
  <c r="C23" i="12"/>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C20" i="68"/>
  <c r="J20" i="15"/>
  <c r="F63" i="15"/>
  <c r="C62" i="15"/>
  <c r="R16" i="1"/>
  <c r="C22" i="12"/>
  <c r="C30" i="12"/>
  <c r="C28" i="12"/>
  <c r="C39" i="11"/>
  <c r="C43" i="11"/>
  <c r="C41" i="11"/>
  <c r="I70" i="39"/>
  <c r="C27" i="12"/>
  <c r="C25" i="12"/>
  <c r="C32" i="12"/>
  <c r="B2" i="12"/>
  <c r="B3" i="12"/>
  <c r="C46" i="11"/>
  <c r="C45" i="11"/>
  <c r="C49" i="11"/>
  <c r="C51" i="11"/>
  <c r="C52" i="11"/>
  <c r="B2" i="11"/>
  <c r="B3" i="11"/>
  <c r="J70" i="39"/>
  <c r="K70" i="39"/>
  <c r="C56" i="11"/>
  <c r="C57" i="11"/>
  <c r="C56" i="68"/>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I42" i="40"/>
  <c r="G42" i="40"/>
  <c r="U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3"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C56" i="15"/>
  <c r="C48" i="15"/>
  <c r="C64" i="15"/>
  <c r="Q70" i="15"/>
  <c r="C75" i="15"/>
  <c r="J13" i="15"/>
  <c r="J23" i="15"/>
  <c r="J16" i="15"/>
  <c r="J25" i="15"/>
  <c r="AE8" i="1"/>
  <c r="C66" i="15"/>
  <c r="C60" i="15"/>
  <c r="C59" i="15"/>
  <c r="C65" i="15"/>
  <c r="L57" i="15"/>
  <c r="L60" i="15"/>
  <c r="M27" i="67"/>
  <c r="F41" i="67"/>
  <c r="M27" i="15"/>
  <c r="J26" i="67"/>
  <c r="J29" i="67"/>
  <c r="C58" i="15"/>
  <c r="C67" i="15"/>
  <c r="F69" i="15"/>
  <c r="Q57" i="15"/>
  <c r="Q66" i="15"/>
  <c r="F69" i="67"/>
  <c r="C68" i="67"/>
  <c r="C71" i="67"/>
  <c r="C40" i="67"/>
  <c r="C83" i="67"/>
  <c r="C82" i="67"/>
  <c r="C68" i="15"/>
  <c r="C71" i="15"/>
  <c r="C43" i="67"/>
  <c r="C45" i="67"/>
  <c r="C46" i="67"/>
  <c r="Q65" i="67"/>
  <c r="Q75" i="67"/>
  <c r="Q56" i="67"/>
  <c r="Q62" i="67"/>
  <c r="Q47" i="67"/>
  <c r="Q53" i="67"/>
  <c r="D2" i="67"/>
  <c r="B2" i="67"/>
  <c r="AO8" i="1"/>
  <c r="E2" i="69"/>
  <c r="AO7" i="1"/>
  <c r="B8" i="70"/>
  <c r="B7" i="70"/>
  <c r="B2" i="69"/>
  <c r="B3" i="69"/>
  <c r="B3" i="67"/>
  <c r="D2" i="37"/>
  <c r="D2" i="36"/>
  <c r="D2" i="21"/>
  <c r="F20" i="31"/>
  <c r="D2" i="34"/>
  <c r="D2" i="33"/>
  <c r="E2" i="68"/>
  <c r="D2" i="35"/>
  <c r="B20" i="31"/>
  <c r="B2" i="36"/>
  <c r="B3" i="36"/>
  <c r="B2" i="35"/>
  <c r="B3" i="35"/>
  <c r="B2" i="37"/>
  <c r="B3" i="37"/>
  <c r="B2" i="34"/>
  <c r="B3" i="34"/>
  <c r="B2" i="21"/>
  <c r="B3" i="21"/>
  <c r="C102" i="9"/>
  <c r="C21" i="9"/>
  <c r="C20" i="9"/>
  <c r="C103" i="9"/>
  <c r="D34" i="9"/>
  <c r="B35" i="72"/>
  <c r="D124" i="9"/>
  <c r="B34" i="72"/>
  <c r="D10" i="52"/>
  <c r="H14" i="74"/>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B39" i="72"/>
  <c r="D126" i="9"/>
  <c r="D59" i="9"/>
  <c r="M55" i="9"/>
  <c r="B38" i="72"/>
  <c r="B40" i="72"/>
  <c r="I14" i="74"/>
  <c r="B8" i="74"/>
  <c r="D127" i="9"/>
  <c r="D13" i="52"/>
  <c r="D12" i="52"/>
  <c r="D8" i="74"/>
  <c r="C8" i="74"/>
  <c r="AD3" i="71"/>
  <c r="P21" i="43"/>
  <c r="P22" i="43"/>
  <c r="P23" i="43"/>
  <c r="B71" i="39"/>
  <c r="P25" i="43"/>
  <c r="C23" i="43"/>
  <c r="C21" i="43"/>
  <c r="C29" i="43"/>
  <c r="E29" i="43"/>
  <c r="C26" i="43"/>
  <c r="B2" i="43"/>
  <c r="B3" i="43"/>
  <c r="B6" i="76"/>
  <c r="B2" i="76"/>
  <c r="C30" i="43"/>
  <c r="E30" i="43"/>
  <c r="C27" i="43"/>
  <c r="E6" i="76"/>
  <c r="E2" i="76"/>
  <c r="B3" i="76"/>
  <c r="AO6" i="1"/>
  <c r="B6" i="70"/>
  <c r="B2" i="70"/>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B30" i="72"/>
  <c r="B32" i="72"/>
  <c r="D14" i="74"/>
  <c r="B5" i="74"/>
  <c r="C5" i="74"/>
  <c r="D5" i="74"/>
  <c r="B22" i="72"/>
  <c r="D52" i="9"/>
  <c r="F14" i="74"/>
  <c r="E14" i="74"/>
  <c r="B31" i="72"/>
  <c r="B48" i="72"/>
  <c r="B21" i="72"/>
  <c r="B20" i="72"/>
  <c r="I4" i="52"/>
  <c r="D53" i="9"/>
  <c r="B47" i="72"/>
  <c r="H4" i="52"/>
  <c r="B53" i="72"/>
  <c r="B51" i="72"/>
  <c r="H119" i="9"/>
  <c r="H5" i="52"/>
  <c r="C105" i="9"/>
  <c r="M48" i="9"/>
  <c r="C104" i="9"/>
  <c r="B49" i="72"/>
  <c r="B52" i="72"/>
  <c r="L63" i="9"/>
  <c r="M63" i="9"/>
  <c r="L64" i="9"/>
  <c r="M64" i="9"/>
  <c r="L65" i="9"/>
  <c r="M65" i="9"/>
  <c r="L66" i="9"/>
  <c r="M66" i="9"/>
  <c r="L67" i="9"/>
  <c r="M67" i="9"/>
  <c r="L68" i="9"/>
  <c r="M68" i="9"/>
  <c r="M69" i="9"/>
  <c r="N69" i="9"/>
  <c r="G21" i="9"/>
  <c r="B3" i="70"/>
  <c r="B3" i="15"/>
  <c r="D20" i="9"/>
  <c r="G20" i="9"/>
  <c r="D103" i="9"/>
  <c r="D21" i="9"/>
  <c r="D22" i="9"/>
  <c r="D102" i="9"/>
  <c r="C46" i="15"/>
  <c r="Q56" i="15"/>
  <c r="Q62" i="15"/>
  <c r="Q47" i="15"/>
  <c r="Q53" i="15"/>
  <c r="Q65" i="15"/>
  <c r="Q75" i="15"/>
  <c r="C83" i="15"/>
  <c r="C82" i="15"/>
  <c r="C43" i="15"/>
  <c r="L51" i="15"/>
  <c r="Q67" i="15"/>
  <c r="Q69" i="15"/>
  <c r="Q68" i="15"/>
  <c r="C80" i="15"/>
  <c r="C79"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<sst xmlns="http://schemas.openxmlformats.org/spreadsheetml/2006/main" count="8024" uniqueCount="3238">
  <si>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</si>
  <si>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</si>
  <si>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</si>
  <si>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</si>
  <si>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</si>
  <si>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</si>
  <si>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</si>
  <si>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</si>
  <si>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</si>
  <si>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</si>
  <si>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</si>
  <si>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</si>
  <si>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</si>
  <si>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</si>
  <si>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</si>
  <si>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</si>
  <si>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</si>
  <si>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</si>
  <si>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</si>
  <si>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</si>
  <si>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</si>
  <si>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</si>
  <si>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</si>
  <si>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</si>
  <si>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</si>
  <si>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</si>
  <si>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</si>
  <si>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</si>
  <si>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</si>
  <si>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</si>
  <si>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</si>
  <si>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</si>
  <si>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</si>
  <si>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</si>
  <si>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</si>
  <si>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</si>
  <si>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</si>
  <si>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</si>
  <si>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</si>
  <si>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</si>
  <si>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</si>
  <si>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</si>
  <si>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</si>
  <si>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</si>
  <si>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</si>
  <si>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</si>
  <si>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</si>
  <si>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</si>
  <si>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</si>
  <si>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</si>
  <si>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</si>
  <si>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</si>
  <si>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</si>
  <si>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</si>
  <si>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</si>
  <si>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</si>
  <si>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</si>
  <si>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</si>
  <si>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</si>
  <si>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</si>
  <si>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</si>
  <si>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</si>
  <si>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</si>
  <si>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</si>
  <si>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</si>
  <si>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</si>
  <si>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</si>
  <si>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</si>
  <si>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</si>
  <si>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</si>
  <si>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</si>
  <si>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</si>
  <si>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</si>
  <si>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</si>
  <si>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</si>
  <si>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</si>
  <si>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</si>
  <si>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</si>
  <si>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</si>
  <si>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</si>
  <si>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</si>
  <si>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</si>
  <si>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</si>
  <si>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</si>
  <si>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</si>
  <si>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</si>
  <si>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</si>
  <si>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</si>
  <si>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</si>
  <si>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</si>
  <si>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</si>
  <si>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</si>
  <si>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</si>
  <si>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</si>
  <si>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</si>
  <si>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</si>
  <si>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</si>
  <si>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</si>
  <si>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</si>
  <si>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</si>
  <si>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</si>
  <si>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</si>
  <si>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</si>
  <si>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</si>
  <si>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</si>
  <si>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</si>
  <si>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</si>
  <si>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</si>
  <si>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</si>
  <si>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</si>
  <si>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</si>
  <si>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</si>
  <si>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</si>
  <si>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</si>
  <si>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</si>
  <si>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</si>
  <si>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</si>
  <si>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</si>
  <si>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</si>
  <si>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</si>
  <si>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</si>
  <si>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</si>
  <si>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</si>
  <si>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</si>
  <si>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</si>
  <si>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</si>
  <si>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</si>
  <si>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</si>
  <si>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</si>
  <si>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</si>
  <si>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</si>
  <si>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</si>
  <si>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</si>
  <si>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</si>
  <si>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</si>
  <si>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</si>
  <si>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</si>
  <si>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</si>
  <si>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</si>
  <si>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</si>
  <si>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</si>
  <si>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</si>
  <si>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</si>
  <si>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</si>
  <si>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</si>
  <si>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</si>
  <si>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</si>
  <si>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</si>
  <si>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</si>
  <si>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</si>
  <si>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</si>
  <si>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</si>
  <si>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</si>
  <si>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</si>
  <si>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</si>
  <si>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</si>
  <si>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</si>
  <si>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</si>
  <si>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</si>
  <si>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</si>
  <si>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</si>
  <si>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</si>
  <si>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</si>
  <si>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</si>
  <si>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</si>
  <si>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</si>
  <si>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</si>
  <si>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</si>
  <si>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</si>
  <si>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</si>
  <si>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</si>
  <si>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</si>
  <si>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</si>
  <si>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</si>
  <si>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</si>
  <si>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</si>
  <si>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</si>
  <si>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</si>
  <si>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</si>
  <si>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</si>
  <si>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</si>
  <si>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</si>
  <si>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</si>
  <si>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</si>
  <si>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</si>
  <si>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</si>
  <si>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</si>
  <si>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</si>
  <si>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</si>
  <si>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</si>
  <si>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</si>
  <si>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</si>
  <si>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</si>
  <si>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</si>
  <si>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</si>
  <si>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</si>
  <si>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</si>
  <si>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</si>
  <si>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</si>
  <si>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</si>
  <si>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</si>
  <si>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</si>
  <si>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</si>
  <si>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</si>
  <si>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</si>
  <si>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</si>
  <si>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</si>
  <si>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</si>
  <si>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</si>
  <si>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</si>
  <si>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</si>
  <si>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</si>
  <si>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</si>
  <si>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</si>
  <si>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</si>
  <si>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</si>
  <si>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</si>
  <si>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</si>
  <si>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</si>
  <si>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</si>
  <si>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</si>
  <si>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</si>
  <si>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</si>
  <si>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</si>
  <si>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</si>
  <si>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</si>
  <si>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</si>
  <si>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</si>
  <si>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</si>
  <si>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</si>
  <si>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</si>
  <si>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</si>
  <si>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</si>
  <si>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</si>
  <si>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</si>
  <si>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</si>
  <si>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</si>
  <si>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</si>
  <si>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</si>
  <si>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</si>
  <si>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</si>
  <si>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</si>
  <si>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</si>
  <si>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</si>
  <si>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</si>
  <si>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</si>
  <si>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</si>
  <si>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</si>
  <si>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</si>
  <si>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</si>
  <si>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</si>
  <si>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</si>
  <si>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</si>
  <si>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</si>
  <si>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</si>
  <si>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</si>
  <si>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</si>
  <si>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</si>
  <si>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</si>
  <si>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</si>
  <si>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</si>
  <si>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</si>
  <si>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</si>
  <si>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</si>
  <si>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</si>
  <si>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</si>
  <si>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</si>
  <si>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</si>
  <si>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</si>
  <si>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</si>
  <si>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</si>
  <si>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</si>
  <si>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</si>
  <si>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</si>
  <si>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</si>
  <si>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</si>
  <si>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</si>
  <si>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</si>
  <si>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</si>
  <si>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</si>
  <si>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</si>
  <si>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</si>
  <si>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</si>
  <si>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</si>
  <si>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</si>
  <si>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</si>
  <si>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</si>
  <si>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</si>
  <si>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</si>
  <si>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</si>
  <si>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</si>
  <si>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</si>
  <si>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</si>
  <si>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</si>
  <si>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</si>
  <si>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</si>
  <si>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</si>
  <si>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</si>
  <si>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</si>
  <si>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</si>
  <si>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</si>
  <si>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</si>
  <si>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</si>
  <si>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</si>
  <si>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</si>
  <si>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</si>
  <si>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</si>
  <si>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</si>
  <si>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</si>
  <si>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</si>
  <si>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</si>
  <si>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</si>
  <si>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</si>
  <si>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</si>
  <si>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</si>
  <si>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</si>
  <si>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</si>
  <si>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</si>
  <si>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</si>
  <si>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</si>
  <si>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</si>
  <si>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</si>
  <si>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</si>
  <si>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</si>
  <si>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</si>
  <si>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</si>
  <si>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</si>
  <si>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</si>
  <si>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</si>
  <si>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</si>
  <si>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</si>
  <si>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</si>
  <si>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</si>
  <si>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</si>
  <si>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</si>
  <si>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</si>
  <si>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</si>
  <si>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</si>
  <si>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</si>
  <si>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</si>
  <si>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</si>
  <si>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</si>
  <si>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</si>
  <si>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</si>
  <si>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</si>
  <si>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</si>
  <si>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</si>
  <si>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</si>
  <si>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</si>
  <si>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</si>
  <si>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</si>
  <si>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</si>
  <si>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</si>
  <si>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</si>
  <si>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</si>
  <si>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</si>
  <si>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</si>
  <si>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</si>
  <si>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</si>
  <si>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</si>
  <si>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</si>
  <si>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</si>
  <si>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</si>
  <si>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</si>
  <si>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</si>
  <si>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</si>
  <si>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</si>
  <si>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</si>
  <si>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</si>
  <si>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</si>
  <si>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</si>
  <si>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</si>
  <si>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</si>
  <si>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</si>
  <si>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</si>
  <si>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</si>
  <si>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</si>
  <si>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</si>
  <si>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</si>
  <si>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</si>
  <si>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</si>
  <si>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</si>
  <si>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</si>
  <si>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</si>
  <si>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</si>
  <si>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</si>
  <si>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</si>
  <si>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</si>
  <si>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</si>
  <si>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</si>
  <si>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</si>
  <si>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</si>
  <si>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</si>
  <si>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</si>
  <si>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</si>
  <si>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</si>
  <si>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</si>
  <si>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</si>
  <si>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</si>
  <si>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</si>
  <si>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</si>
  <si>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</si>
  <si>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</si>
  <si>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</si>
  <si>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</si>
  <si>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</si>
  <si>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</si>
  <si>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</si>
  <si>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</si>
  <si>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</si>
  <si>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</si>
  <si>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</si>
  <si>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</si>
  <si>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</si>
  <si>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</si>
  <si>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</si>
  <si>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</si>
  <si>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</si>
  <si>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</si>
  <si>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</si>
  <si>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</si>
  <si>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</si>
  <si>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</si>
  <si>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</si>
  <si>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</si>
  <si>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</si>
  <si>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</si>
  <si>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</si>
  <si>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</si>
  <si>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</si>
  <si>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</si>
  <si>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</si>
  <si>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</si>
  <si>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</si>
  <si>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</si>
  <si>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</si>
  <si>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</si>
  <si>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</si>
  <si>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</si>
  <si>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</si>
  <si>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</si>
  <si>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</si>
  <si>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</si>
  <si>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</si>
  <si>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</si>
  <si>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</si>
  <si>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</si>
  <si>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</si>
  <si>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</si>
  <si>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</si>
  <si>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</si>
  <si>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</si>
  <si>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</si>
  <si>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</si>
  <si>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</si>
  <si>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</si>
  <si>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</si>
  <si>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</si>
  <si>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</si>
  <si>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</si>
  <si>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</si>
  <si>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</si>
  <si>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</si>
  <si>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</si>
  <si>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</si>
  <si>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</si>
  <si>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</si>
  <si>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</si>
  <si>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</si>
  <si>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</si>
  <si>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</si>
  <si>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</si>
  <si>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</si>
  <si>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</si>
  <si>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</si>
  <si>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</si>
  <si>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</si>
  <si>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</si>
  <si>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</si>
  <si>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</si>
  <si>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</si>
  <si>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</si>
  <si>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</si>
  <si>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</si>
  <si>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</si>
  <si>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</si>
  <si>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</si>
  <si>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</si>
  <si>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</si>
  <si>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</si>
  <si>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</si>
  <si>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</si>
  <si>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</si>
  <si>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</si>
  <si>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</si>
  <si>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</si>
  <si>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</si>
  <si>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</si>
  <si>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</si>
  <si>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</si>
  <si>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</si>
  <si>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</si>
  <si>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</si>
  <si>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</si>
  <si>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</si>
  <si>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</si>
  <si>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</si>
  <si>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</si>
  <si>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</si>
  <si>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</si>
  <si>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</si>
  <si>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</si>
  <si>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</si>
  <si>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</si>
  <si>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</si>
  <si>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</si>
  <si>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</si>
  <si>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</si>
  <si>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</si>
  <si>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</si>
  <si>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</si>
  <si>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</si>
  <si>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</si>
  <si>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</si>
  <si>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</si>
  <si>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</si>
  <si>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</si>
  <si>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</si>
  <si>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</si>
  <si>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</si>
  <si>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</si>
  <si>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</si>
  <si>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</si>
  <si>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</si>
  <si>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</si>
  <si>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</si>
  <si>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</si>
  <si>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</si>
  <si>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</si>
  <si>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</si>
  <si>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</si>
  <si>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</si>
  <si>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</si>
  <si>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</si>
  <si>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</si>
  <si>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</si>
  <si>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</si>
  <si>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</si>
  <si>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</si>
  <si>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</si>
  <si>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</si>
  <si>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</si>
  <si>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</si>
  <si>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</si>
  <si>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</si>
  <si>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</si>
  <si>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</si>
  <si>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</si>
  <si>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</si>
  <si>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</si>
  <si>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</si>
  <si>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</si>
  <si>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</si>
  <si>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</si>
  <si>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</si>
  <si>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</si>
  <si>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</si>
  <si>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</si>
  <si>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</si>
  <si>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</si>
  <si>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</si>
  <si>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</si>
  <si>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</si>
  <si>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</si>
  <si>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</si>
  <si>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</si>
  <si>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</si>
  <si>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</si>
  <si>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</si>
  <si>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</si>
  <si>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</si>
  <si>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</si>
  <si>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</si>
  <si>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</si>
  <si>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</si>
  <si>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</si>
  <si>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</si>
  <si>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</si>
  <si>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</si>
  <si>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</si>
  <si>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</si>
  <si>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</si>
  <si>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</si>
  <si>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</si>
  <si>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</si>
  <si>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</si>
  <si>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</si>
  <si>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</si>
  <si>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</si>
  <si>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</si>
  <si>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</si>
  <si>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</si>
  <si>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</si>
  <si>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</si>
  <si>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</si>
  <si>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</si>
  <si>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</si>
  <si>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</si>
  <si>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</si>
  <si>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</si>
  <si>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</si>
  <si>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</si>
  <si>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</si>
  <si>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</si>
  <si>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</si>
  <si>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</si>
  <si>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</si>
  <si>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</si>
  <si>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</si>
  <si>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</si>
  <si>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</si>
  <si>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</si>
  <si>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</si>
  <si>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</si>
  <si>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</si>
  <si>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</si>
  <si>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</si>
  <si>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</si>
  <si>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</si>
  <si>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</si>
  <si>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</si>
  <si>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</si>
  <si>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</si>
  <si>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</si>
  <si>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</si>
  <si>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</si>
  <si>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</si>
  <si>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</si>
  <si>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</si>
  <si>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</si>
  <si>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</si>
  <si>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</si>
  <si>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</si>
  <si>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</si>
  <si>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</si>
  <si>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</si>
  <si>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</si>
  <si>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</si>
  <si>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</si>
  <si>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</si>
  <si>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</si>
  <si>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</si>
  <si>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</si>
  <si>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</si>
  <si>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</si>
  <si>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</si>
  <si>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</si>
  <si>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</si>
  <si>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</si>
  <si>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</si>
  <si>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</si>
  <si>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</si>
  <si>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</si>
  <si>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</si>
  <si>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</si>
  <si>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</si>
  <si>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</si>
  <si>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</si>
  <si>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</si>
  <si>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</si>
  <si>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</si>
  <si>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</si>
  <si>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</si>
  <si>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</si>
  <si>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</si>
  <si>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</si>
  <si>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</si>
  <si>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</si>
  <si>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</si>
  <si>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</si>
  <si>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</si>
  <si>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</si>
  <si>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</si>
  <si>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</si>
  <si>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</si>
  <si>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</si>
  <si>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</si>
  <si>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</si>
  <si>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</si>
  <si>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</si>
  <si>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</si>
  <si>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</si>
  <si>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</si>
  <si>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</si>
  <si>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</si>
  <si>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</si>
  <si>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</si>
  <si>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</si>
  <si>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</si>
  <si>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</si>
  <si>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</si>
  <si>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</si>
  <si>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</si>
  <si>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</si>
  <si>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</si>
  <si>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</si>
  <si>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</si>
  <si>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</si>
  <si>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</si>
  <si>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</si>
  <si>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</si>
  <si>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</si>
  <si>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</si>
  <si>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</si>
  <si>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</si>
  <si>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</si>
  <si>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</si>
  <si>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</si>
  <si>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</si>
  <si>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</si>
  <si>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</si>
  <si>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</si>
  <si>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</si>
  <si>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</si>
  <si>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</si>
  <si>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</si>
  <si>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</si>
  <si>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</si>
  <si>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</si>
  <si>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</si>
  <si>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</si>
  <si>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</si>
  <si>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</si>
  <si>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</si>
  <si>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</si>
  <si>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</si>
  <si>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</si>
  <si>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</si>
  <si>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</si>
  <si>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</si>
  <si>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</si>
  <si>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</si>
  <si>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</si>
  <si>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</si>
  <si>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</si>
  <si>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</si>
  <si>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</si>
  <si>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</si>
  <si>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</si>
  <si>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</si>
  <si>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</si>
  <si>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</si>
  <si>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</si>
  <si>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</si>
  <si>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</si>
  <si>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</si>
  <si>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</si>
  <si>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</si>
  <si>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</si>
  <si>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</si>
  <si>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</si>
  <si>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</si>
  <si>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</si>
  <si>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</si>
  <si>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</si>
  <si>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</si>
  <si>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</si>
  <si>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</si>
  <si>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</si>
  <si>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</si>
  <si>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</si>
  <si>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</si>
  <si>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</si>
  <si>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</si>
  <si>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</si>
  <si>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</si>
  <si>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</si>
  <si>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</si>
  <si>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</si>
  <si>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</si>
  <si>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</si>
  <si>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</si>
  <si>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</si>
  <si>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</si>
  <si>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</si>
  <si>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</si>
  <si>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</si>
  <si>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</si>
  <si>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</si>
  <si>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</si>
  <si>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</si>
  <si>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</si>
  <si>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</si>
  <si>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</si>
  <si>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</si>
  <si>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</si>
  <si>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</si>
  <si>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</si>
  <si>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</si>
  <si>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</si>
  <si>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</si>
  <si>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</si>
  <si>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</si>
  <si>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</si>
  <si>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</si>
  <si>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</si>
  <si>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</si>
  <si>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</si>
  <si>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</si>
  <si>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</si>
  <si>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</si>
  <si>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</si>
  <si>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</si>
  <si>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</si>
  <si>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</si>
  <si>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</si>
  <si>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</si>
  <si>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</si>
  <si>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</si>
  <si>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</si>
  <si>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</si>
  <si>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</si>
  <si>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</si>
  <si>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</si>
  <si>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</si>
  <si>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</si>
  <si>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</si>
  <si>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</si>
  <si>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</si>
  <si>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</si>
  <si>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</si>
  <si>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</si>
  <si>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</si>
  <si>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</si>
  <si>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</si>
  <si>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</si>
  <si>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</si>
  <si>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</si>
  <si>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</si>
  <si>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</si>
  <si>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</si>
  <si>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</si>
  <si>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</si>
  <si>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</si>
  <si>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</si>
  <si>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</si>
  <si>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</si>
  <si>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</si>
  <si>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</si>
  <si>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</si>
  <si>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</si>
  <si>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</si>
  <si>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</si>
  <si>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</si>
  <si>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</si>
  <si>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</si>
  <si>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</si>
  <si>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</si>
  <si>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</si>
  <si>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</si>
  <si>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</si>
  <si>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</si>
  <si>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</si>
  <si>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</si>
  <si>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</si>
  <si>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</si>
  <si>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</si>
  <si>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</si>
  <si>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</si>
  <si>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</si>
  <si>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</si>
  <si>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</si>
  <si>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</si>
  <si>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</si>
  <si>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</si>
  <si>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</si>
  <si>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</si>
  <si>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</si>
  <si>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</si>
  <si>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</si>
  <si>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</si>
  <si>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</si>
  <si>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</si>
  <si>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</si>
  <si>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</si>
  <si>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</si>
  <si>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</si>
  <si>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</si>
  <si>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</si>
  <si>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</si>
  <si>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</si>
  <si>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</si>
  <si>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</si>
  <si>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</si>
  <si>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</si>
  <si>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</si>
  <si>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</si>
  <si>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</si>
  <si>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</si>
  <si>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</si>
  <si>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</si>
  <si>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</si>
  <si>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</si>
  <si>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</si>
  <si>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</si>
  <si>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</si>
  <si>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</si>
  <si>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</si>
  <si>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</si>
  <si>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</si>
  <si>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</si>
  <si>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</si>
  <si>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</si>
  <si>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</si>
  <si>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</si>
  <si>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</si>
  <si>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</si>
  <si>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</si>
  <si>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</si>
  <si>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</si>
  <si>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</si>
  <si>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</si>
  <si>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</si>
  <si>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</si>
  <si>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</si>
  <si>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</si>
  <si>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</si>
  <si>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</si>
  <si>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</si>
  <si>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</si>
  <si>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</si>
  <si>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</si>
  <si>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</si>
  <si>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</si>
  <si>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</si>
  <si>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</si>
  <si>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</si>
  <si>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</si>
  <si>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</si>
  <si>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</si>
  <si>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</si>
  <si>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</si>
  <si>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</si>
  <si>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</si>
  <si>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</si>
  <si>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</si>
  <si>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</si>
  <si>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</si>
  <si>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</si>
  <si>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</si>
  <si>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</si>
  <si>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</si>
  <si>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</si>
  <si>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</si>
  <si>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</si>
  <si>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</si>
  <si>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</si>
  <si>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</si>
  <si>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</si>
  <si>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</si>
  <si>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</si>
  <si>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</si>
  <si>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</si>
  <si>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</si>
  <si>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</si>
  <si>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</si>
  <si>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</si>
  <si>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</si>
  <si>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</si>
  <si>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</si>
  <si>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</si>
  <si>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</si>
  <si>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</si>
  <si>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</si>
  <si>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</si>
  <si>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</si>
  <si>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</si>
  <si>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</si>
  <si>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</si>
  <si>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</si>
  <si>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</si>
  <si>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</si>
  <si>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</si>
  <si>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</si>
  <si>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</si>
  <si>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</si>
  <si>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</si>
  <si>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</si>
  <si>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</si>
  <si>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</si>
  <si>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</si>
  <si>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</si>
  <si>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</si>
  <si>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</si>
  <si>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</si>
  <si>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</si>
  <si>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</si>
  <si>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</si>
  <si>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</si>
  <si>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</si>
  <si>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</si>
  <si>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</si>
  <si>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</si>
  <si>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</si>
  <si>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</si>
  <si>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</si>
  <si>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</si>
  <si>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</si>
  <si>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</si>
  <si>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</si>
  <si>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</si>
  <si>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</si>
  <si>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</si>
  <si>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</si>
  <si>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</si>
  <si>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</si>
  <si>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</si>
  <si>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</si>
  <si>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</si>
  <si>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</si>
  <si>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</si>
  <si>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</si>
  <si>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</si>
  <si>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</si>
  <si>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</si>
  <si>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</si>
  <si>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</si>
  <si>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</si>
  <si>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</si>
  <si>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</si>
  <si>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</si>
  <si>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</si>
  <si>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</si>
  <si>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</si>
  <si>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</si>
  <si>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</si>
  <si>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</si>
  <si>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</si>
  <si>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</si>
  <si>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</si>
  <si>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</si>
  <si>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</si>
  <si>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</si>
  <si>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</si>
  <si>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</si>
  <si>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</si>
  <si>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</si>
  <si>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</si>
  <si>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</si>
  <si>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</si>
  <si>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</si>
  <si>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</si>
  <si>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</si>
  <si>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</si>
  <si>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</si>
  <si>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</si>
  <si>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</si>
  <si>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</si>
  <si>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</si>
  <si>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</si>
  <si>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</si>
  <si>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</si>
  <si>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</si>
  <si>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</si>
  <si>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</si>
  <si>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</si>
  <si>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</si>
  <si>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</si>
  <si>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</si>
  <si>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</si>
  <si>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</si>
  <si>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</si>
  <si>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</si>
  <si>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</si>
  <si>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</si>
  <si>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</si>
  <si>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</si>
  <si>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</si>
  <si>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</si>
  <si>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</si>
  <si>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</si>
  <si>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</si>
  <si>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</si>
  <si>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</si>
  <si>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</si>
  <si>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</si>
  <si>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</si>
  <si>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</si>
  <si>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</si>
  <si>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</si>
  <si>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</si>
  <si>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</si>
  <si>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</si>
  <si>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</si>
  <si>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</si>
  <si>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</si>
  <si>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</si>
  <si>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</si>
  <si>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</si>
  <si>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</si>
  <si>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</si>
  <si>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</si>
  <si>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</si>
  <si>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</si>
  <si>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</si>
  <si>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</si>
  <si>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</si>
  <si>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</si>
  <si>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</si>
  <si>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</si>
  <si>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</si>
  <si>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</si>
  <si>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</si>
  <si>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</si>
  <si>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</si>
  <si>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</si>
  <si>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</si>
  <si>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</si>
  <si>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</si>
  <si>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</si>
  <si>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</si>
  <si>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</si>
  <si>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</si>
  <si>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</si>
  <si>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</si>
  <si>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</si>
  <si>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</si>
  <si>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</si>
  <si>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</si>
  <si>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</si>
  <si>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</si>
  <si>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</si>
  <si>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</si>
  <si>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</si>
  <si>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</si>
  <si>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</si>
  <si>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</si>
  <si>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</si>
  <si>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</si>
  <si>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</si>
  <si>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</si>
  <si>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</si>
  <si>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</si>
  <si>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</si>
  <si>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</si>
  <si>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</si>
  <si>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</si>
  <si>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</si>
  <si>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</si>
  <si>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</si>
  <si>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</si>
  <si>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</si>
  <si>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</si>
  <si>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</si>
  <si>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</si>
  <si>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</si>
  <si>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</si>
  <si>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</si>
  <si>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</si>
  <si>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</si>
  <si>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</si>
  <si>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</si>
  <si>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</si>
  <si>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</si>
  <si>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</si>
  <si>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</si>
  <si>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</si>
  <si>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</si>
  <si>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</si>
  <si>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</si>
  <si>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</si>
  <si>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</si>
  <si>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</si>
  <si>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</si>
  <si>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</si>
  <si>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</si>
  <si>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</si>
  <si>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</si>
  <si>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</si>
  <si>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</si>
  <si>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</si>
  <si>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</si>
  <si>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</si>
  <si>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</si>
  <si>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</si>
  <si>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</si>
  <si>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</si>
  <si>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</si>
  <si>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</si>
  <si>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</si>
  <si>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</si>
  <si>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</si>
  <si>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</si>
  <si>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</si>
  <si>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</si>
  <si>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</si>
  <si>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</si>
  <si>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</si>
  <si>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</si>
  <si>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</si>
  <si>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</si>
  <si>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</si>
  <si>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</si>
  <si>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</si>
  <si>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</si>
  <si>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</si>
  <si>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</si>
  <si>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</si>
  <si>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</si>
  <si>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</si>
  <si>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</si>
  <si>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</si>
  <si>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</si>
  <si>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</si>
  <si>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</si>
  <si>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</si>
  <si>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</si>
  <si>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</si>
  <si>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</si>
  <si>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</si>
  <si>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</si>
  <si>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</si>
  <si>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</si>
  <si>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</si>
  <si>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</si>
  <si>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</si>
  <si>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</si>
  <si>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</si>
  <si>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</si>
  <si>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</si>
  <si>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</si>
  <si>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</si>
  <si>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</si>
  <si>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</si>
  <si>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</si>
  <si>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</si>
  <si>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</si>
  <si>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</si>
  <si>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</si>
  <si>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</si>
  <si>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</si>
  <si>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</si>
  <si>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</si>
  <si>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</si>
  <si>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</si>
  <si>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</si>
  <si>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</si>
  <si>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</si>
  <si>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</si>
  <si>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</si>
  <si>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</si>
  <si>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</si>
  <si>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</si>
  <si>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</si>
  <si>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</si>
  <si>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</si>
  <si>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</si>
  <si>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</si>
  <si>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</si>
  <si>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</si>
  <si>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</si>
  <si>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</si>
  <si>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</si>
  <si>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</si>
  <si>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</si>
  <si>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</si>
  <si>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</si>
  <si>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</si>
  <si>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</si>
  <si>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</si>
  <si>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</si>
  <si>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</si>
  <si>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</si>
  <si>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</si>
  <si>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</si>
  <si>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</si>
  <si>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</si>
  <si>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</si>
  <si>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</si>
  <si>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</si>
  <si>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</si>
  <si>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</si>
  <si>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</si>
  <si>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</si>
  <si>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</si>
  <si>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</si>
  <si>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</si>
  <si>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</si>
  <si>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</si>
  <si>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</si>
  <si>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</si>
  <si>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</si>
  <si>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</si>
  <si>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</si>
  <si>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</si>
  <si>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</si>
  <si>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</si>
  <si>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</si>
  <si>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</si>
  <si>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</si>
  <si>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</si>
  <si>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</si>
  <si>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</si>
  <si>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</si>
  <si>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</si>
  <si>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</si>
  <si>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</si>
  <si>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</si>
  <si>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</si>
  <si>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</si>
  <si>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</si>
  <si>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</si>
  <si>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</si>
  <si>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</si>
  <si>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</si>
  <si>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</si>
  <si>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</si>
  <si>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</si>
  <si>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</si>
  <si>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</si>
  <si>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</si>
  <si>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</si>
  <si>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</si>
  <si>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</si>
  <si>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</si>
  <si>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</si>
  <si>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</si>
  <si>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</si>
  <si>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</si>
  <si>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</si>
  <si>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</si>
  <si>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</si>
  <si>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</si>
  <si>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</si>
  <si>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</si>
  <si>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</si>
  <si>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</si>
  <si>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</si>
  <si>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</si>
  <si>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</si>
  <si>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</si>
  <si>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</si>
  <si>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</si>
  <si>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</si>
  <si>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</si>
  <si>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</si>
  <si>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</si>
  <si>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</si>
  <si>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</si>
  <si>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</si>
  <si>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</si>
  <si>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</si>
  <si>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</si>
  <si>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</si>
  <si>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</si>
  <si>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</si>
  <si>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</si>
  <si>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</si>
  <si>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</si>
  <si>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</si>
  <si>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</si>
  <si>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</si>
  <si>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</si>
  <si>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</si>
  <si>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</si>
  <si>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</si>
  <si>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</si>
  <si>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</si>
  <si>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</si>
  <si>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</si>
  <si>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</si>
  <si>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</si>
  <si>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</si>
  <si>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</si>
  <si>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</si>
  <si>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</si>
  <si>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</si>
  <si>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</si>
  <si>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</si>
  <si>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</si>
  <si>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</si>
  <si>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</si>
  <si>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</si>
  <si>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</si>
  <si>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</si>
  <si>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</si>
  <si>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</si>
  <si>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</si>
  <si>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</si>
  <si>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</si>
  <si>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</si>
  <si>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</si>
  <si>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</si>
  <si>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</si>
  <si>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</si>
  <si>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</si>
  <si>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</si>
  <si>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</si>
  <si>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</si>
  <si>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</si>
  <si>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</si>
  <si>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</si>
  <si>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</si>
  <si>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</si>
  <si>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</si>
  <si>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</si>
  <si>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</si>
  <si>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</si>
  <si>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</si>
  <si>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</si>
  <si>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</si>
  <si>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</si>
  <si>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</si>
  <si>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</si>
  <si>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</si>
  <si>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</si>
  <si>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</si>
  <si>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</si>
  <si>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</si>
  <si>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</si>
  <si>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</si>
  <si>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</si>
  <si>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</si>
  <si>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</si>
  <si>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</si>
  <si>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</si>
  <si>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</si>
  <si>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</si>
  <si>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</si>
  <si>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</si>
  <si>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</si>
  <si>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</si>
  <si>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</si>
  <si>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</si>
  <si>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</si>
  <si>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</si>
  <si>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</si>
  <si>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</si>
  <si>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</si>
  <si>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</si>
  <si>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</si>
  <si>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</si>
  <si>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</si>
  <si>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</si>
  <si>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</si>
  <si>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</si>
  <si>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</si>
  <si>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</si>
  <si>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</si>
  <si>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</si>
  <si>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</si>
  <si>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</si>
  <si>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</si>
  <si>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</si>
  <si>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</si>
  <si>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</si>
  <si>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</si>
  <si>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</si>
  <si>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</si>
  <si>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</si>
  <si>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</si>
  <si>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</si>
  <si>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</si>
  <si>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</si>
  <si>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</si>
  <si>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</si>
  <si>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</si>
  <si>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</si>
  <si>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</si>
  <si>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</si>
  <si>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</si>
  <si>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</si>
  <si>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</si>
  <si>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</si>
  <si>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</si>
  <si>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</si>
  <si>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</si>
  <si>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</si>
  <si>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</si>
  <si>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</si>
  <si>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</si>
  <si>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</si>
  <si>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</si>
  <si>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</si>
  <si>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</si>
  <si>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</si>
  <si>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</si>
  <si>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</si>
  <si>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</si>
  <si>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</si>
  <si>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</si>
  <si>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</si>
  <si>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</si>
  <si>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</si>
  <si>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</si>
  <si>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</si>
  <si>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</si>
  <si>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</si>
  <si>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</si>
  <si>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</si>
  <si>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</si>
  <si>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</si>
  <si>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</si>
  <si>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</si>
  <si>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</si>
  <si>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</si>
  <si>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</si>
  <si>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</si>
  <si>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</si>
  <si>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</si>
  <si>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</si>
  <si>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</si>
  <si>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</si>
  <si>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</si>
  <si>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</si>
  <si>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</si>
  <si>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</si>
  <si>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</si>
  <si>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</si>
  <si>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</si>
  <si>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</si>
  <si>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</si>
  <si>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</si>
  <si>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</si>
  <si>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</si>
  <si>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</si>
  <si>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</si>
  <si>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</si>
  <si>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</si>
  <si>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</si>
  <si>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</si>
  <si>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</si>
  <si>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</si>
  <si>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</si>
  <si>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</si>
  <si>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</si>
  <si>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</si>
  <si>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</si>
  <si>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</si>
  <si>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</si>
  <si>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</si>
  <si>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</si>
  <si>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</si>
  <si>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</si>
  <si>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</si>
  <si>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</si>
  <si>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</si>
  <si>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</si>
  <si>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</si>
  <si>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</si>
  <si>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</si>
  <si>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</si>
  <si>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</si>
  <si>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</si>
  <si>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</si>
  <si>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</si>
  <si>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</si>
  <si>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</si>
  <si>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</si>
  <si>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</si>
  <si>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</si>
  <si>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</si>
  <si>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</si>
  <si>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</si>
  <si>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</si>
  <si>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</si>
  <si>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</si>
  <si>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</si>
  <si>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</si>
  <si>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</si>
  <si>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</si>
  <si>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</si>
  <si>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</si>
  <si>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</si>
  <si>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</si>
  <si>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</si>
  <si>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</si>
  <si>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</si>
  <si>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</si>
  <si>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</si>
  <si>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</si>
  <si>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</si>
  <si>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</si>
  <si>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</si>
  <si>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</si>
  <si>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</si>
  <si>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</si>
  <si>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</si>
  <si>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</si>
  <si>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</si>
  <si>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</si>
  <si>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</si>
  <si>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</si>
  <si>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</si>
  <si>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</si>
  <si>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</si>
  <si>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</si>
  <si>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</si>
  <si>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</si>
  <si>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</si>
  <si>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</si>
  <si>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</si>
  <si>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</si>
  <si>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</si>
  <si>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</si>
  <si>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</si>
  <si>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</si>
  <si>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</si>
  <si>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</si>
  <si>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</si>
  <si>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</si>
  <si>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</si>
  <si>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</si>
  <si>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</si>
  <si>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</si>
  <si>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</si>
  <si>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</si>
  <si>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</si>
  <si>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</si>
  <si>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</si>
  <si>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</si>
  <si>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</si>
  <si>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</si>
  <si>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</si>
  <si>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</si>
  <si>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</si>
  <si>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</si>
  <si>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</si>
  <si>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</si>
  <si>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</si>
  <si>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</si>
  <si>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</si>
  <si>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</si>
  <si>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</si>
  <si>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</si>
  <si>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</si>
  <si>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</si>
  <si>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</si>
  <si>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</si>
  <si>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</si>
  <si>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</si>
  <si>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</si>
  <si>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</si>
  <si>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</si>
  <si>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</si>
  <si>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</si>
  <si>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</si>
  <si>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</si>
  <si>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</si>
  <si>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</si>
  <si>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</si>
  <si>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</si>
  <si>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</si>
  <si>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</si>
  <si>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</si>
  <si>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</si>
  <si>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</si>
  <si>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</si>
  <si>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</si>
  <si>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</si>
  <si>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</si>
  <si>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</si>
  <si>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</si>
  <si>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</si>
  <si>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</si>
  <si>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</si>
  <si>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</si>
  <si>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</si>
  <si>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</si>
  <si>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</si>
  <si>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</si>
  <si>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</si>
  <si>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</si>
  <si>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</si>
  <si>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</si>
  <si>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</si>
  <si>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</si>
  <si>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</si>
  <si>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</si>
  <si>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</si>
  <si>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</si>
  <si>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</si>
  <si>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</si>
  <si>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</si>
  <si>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</si>
  <si>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</si>
  <si>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</si>
  <si>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</si>
  <si>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</si>
  <si>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</si>
  <si>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</si>
  <si>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</si>
  <si>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</si>
  <si>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</si>
  <si>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</si>
  <si>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</si>
  <si>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</si>
  <si>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</si>
  <si>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</si>
  <si>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</si>
  <si>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</si>
  <si>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</si>
  <si>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</si>
  <si>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</si>
  <si>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</si>
  <si>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</si>
  <si>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</si>
  <si>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</si>
  <si>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</si>
  <si>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</si>
  <si>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</si>
  <si>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</si>
  <si>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</si>
  <si>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</si>
  <si>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</si>
  <si>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</si>
  <si>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</si>
  <si>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</si>
  <si>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</si>
  <si>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</si>
  <si>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</si>
  <si>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</si>
  <si>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</si>
  <si>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</si>
  <si>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</si>
  <si>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</si>
  <si>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</si>
  <si>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</si>
  <si>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</si>
  <si>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</si>
  <si>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</si>
  <si>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</si>
  <si>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</si>
  <si>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</si>
  <si>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</si>
  <si>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</si>
  <si>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</si>
  <si>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</si>
  <si>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</si>
  <si>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</si>
  <si>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</si>
  <si>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</si>
  <si>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</si>
  <si>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</si>
  <si>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</si>
  <si>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</si>
  <si>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</si>
  <si>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</si>
  <si>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</si>
  <si>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</si>
  <si>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</si>
  <si>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</si>
  <si>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</si>
  <si>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</si>
  <si>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</si>
  <si>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</si>
  <si>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</si>
  <si>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</si>
  <si>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</si>
  <si>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</si>
  <si>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</si>
  <si>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</si>
  <si>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</si>
  <si>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</si>
  <si>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</si>
  <si>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</si>
  <si>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</si>
  <si>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</si>
  <si>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</si>
  <si>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</si>
  <si>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</si>
  <si>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</si>
  <si>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</si>
  <si>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</si>
  <si>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</si>
  <si>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</si>
  <si>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</si>
  <si>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</si>
  <si>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</si>
  <si>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</si>
  <si>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</si>
  <si>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</si>
  <si>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</si>
  <si>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</si>
  <si>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</si>
  <si>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</si>
  <si>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</si>
  <si>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</si>
  <si>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</si>
  <si>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</si>
  <si>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</si>
  <si>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</si>
  <si>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</si>
  <si>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</si>
  <si>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</si>
  <si>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</si>
  <si>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</si>
  <si>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</si>
  <si>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</si>
  <si>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</si>
  <si>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</si>
  <si>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</si>
  <si>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</si>
  <si>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</si>
  <si>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</si>
  <si>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</si>
  <si>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</si>
  <si>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</si>
  <si>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</si>
  <si>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</si>
  <si>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</si>
  <si>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</si>
  <si>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</si>
  <si>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</si>
  <si>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</si>
  <si>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</si>
  <si>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</si>
  <si>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</si>
  <si>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</si>
  <si>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</si>
  <si>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</si>
  <si>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</si>
  <si>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</si>
  <si>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</si>
  <si>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</si>
  <si>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</si>
  <si>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</si>
  <si>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</si>
  <si>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</si>
  <si>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</si>
  <si>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</si>
  <si>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</si>
  <si>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</si>
  <si>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</si>
  <si>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</si>
  <si>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</si>
  <si>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</si>
  <si>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</si>
  <si>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</si>
  <si>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</si>
  <si>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</si>
  <si>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</si>
  <si>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</si>
  <si>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</si>
  <si>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</si>
  <si>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</si>
  <si>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</si>
  <si>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</si>
  <si>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</si>
  <si>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</si>
  <si>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</si>
  <si>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</si>
  <si>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</si>
  <si>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</si>
  <si>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</si>
  <si>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</si>
  <si>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</si>
  <si>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</si>
  <si>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</si>
  <si>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</si>
  <si>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</si>
  <si>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</si>
  <si>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</si>
  <si>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</si>
  <si>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</si>
  <si>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</si>
  <si>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</si>
  <si>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</si>
  <si>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</si>
  <si>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</si>
  <si>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</si>
  <si>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</si>
  <si>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</si>
  <si>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</si>
  <si>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</si>
  <si>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</si>
  <si>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</si>
  <si>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</si>
  <si>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</si>
  <si>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</si>
  <si>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</si>
  <si>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</si>
  <si>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</si>
  <si>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</si>
  <si>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</si>
  <si>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</si>
  <si>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</si>
  <si>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</si>
  <si>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</si>
  <si>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</si>
  <si>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</si>
  <si>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</si>
  <si>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</si>
  <si>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</si>
  <si>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</si>
  <si>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</si>
  <si>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</si>
  <si>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</si>
  <si>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</si>
  <si>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</si>
  <si>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</si>
  <si>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</si>
  <si>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</si>
  <si>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</si>
  <si>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</si>
  <si>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</si>
  <si>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</si>
  <si>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</si>
  <si>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</si>
  <si>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</si>
  <si>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</si>
  <si>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</si>
  <si>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</si>
  <si>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</si>
  <si>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</si>
  <si>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</si>
  <si>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</si>
  <si>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</si>
  <si>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</si>
  <si>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</si>
  <si>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</si>
  <si>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</si>
  <si>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</si>
  <si>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</si>
  <si>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</si>
  <si>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</si>
  <si>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</si>
  <si>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</si>
  <si>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</si>
  <si>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</si>
  <si>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</si>
  <si>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</si>
  <si>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</si>
  <si>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</si>
  <si>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</si>
  <si>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</si>
  <si>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</si>
  <si>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</si>
  <si>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</si>
  <si>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</si>
  <si>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</si>
  <si>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</si>
  <si>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</si>
  <si>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</si>
  <si>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</si>
  <si>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</si>
  <si>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</si>
  <si>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</si>
  <si>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</si>
  <si>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</si>
  <si>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</si>
  <si>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</si>
  <si>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</si>
  <si>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</si>
  <si>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</si>
  <si>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</si>
  <si>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</si>
  <si>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</si>
  <si>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</si>
  <si>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</si>
  <si>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</si>
  <si>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</si>
  <si>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</si>
  <si>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</si>
  <si>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</si>
  <si>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</si>
  <si>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</si>
  <si>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</si>
  <si>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</si>
  <si>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</si>
  <si>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</si>
  <si>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</si>
  <si>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</si>
  <si>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</si>
  <si>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</si>
  <si>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</si>
  <si>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</si>
  <si>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</si>
  <si>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</si>
  <si>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</si>
  <si>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</si>
  <si>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</si>
  <si>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</si>
  <si>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</si>
  <si>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</si>
  <si>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</si>
  <si>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</si>
  <si>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</si>
  <si>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</si>
  <si>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</si>
  <si>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</si>
  <si>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</si>
  <si>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</si>
  <si>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</si>
  <si>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</si>
  <si>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</si>
  <si>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</si>
  <si>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</si>
  <si>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</si>
  <si>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</si>
  <si>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</si>
  <si>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</si>
  <si>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</si>
  <si>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</si>
  <si>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</si>
  <si>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</si>
  <si>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</si>
  <si>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</si>
  <si>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</si>
  <si>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</si>
  <si>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</si>
  <si>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</si>
  <si>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</si>
  <si>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</si>
  <si>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</si>
  <si>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</si>
  <si>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</si>
  <si>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</si>
  <si>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</si>
  <si>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</si>
  <si>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</si>
  <si>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</si>
  <si>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</si>
  <si>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</si>
  <si>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</si>
  <si>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</si>
  <si>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</si>
  <si>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</si>
  <si>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</si>
  <si>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</si>
  <si>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</si>
  <si>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</si>
  <si>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</si>
  <si>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</si>
  <si>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</si>
  <si>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</si>
  <si>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</si>
  <si>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</si>
  <si>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</si>
  <si>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</si>
  <si>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</si>
  <si>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</si>
  <si>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</si>
  <si>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</si>
  <si>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</si>
  <si>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</si>
  <si>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</si>
  <si>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</si>
  <si>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</si>
  <si>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</si>
  <si>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</si>
  <si>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</si>
  <si>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</si>
  <si>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</si>
  <si>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</si>
  <si>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</si>
  <si>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</si>
  <si>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</si>
  <si>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</si>
  <si>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</si>
  <si>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</si>
  <si>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</si>
  <si>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</si>
  <si>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</si>
  <si>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</si>
  <si>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</si>
  <si>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</si>
  <si>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</si>
  <si>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</si>
  <si>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</si>
  <si>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</si>
  <si>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</si>
  <si>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</si>
  <si>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</si>
  <si>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</si>
  <si>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</si>
  <si>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</si>
  <si>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</si>
  <si>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</si>
  <si>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</si>
  <si>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</si>
  <si>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</si>
  <si>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</si>
  <si>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</si>
  <si>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</si>
  <si>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</si>
  <si>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</si>
  <si>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</si>
  <si>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</si>
  <si>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</si>
  <si>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</si>
  <si>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</si>
  <si>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</si>
  <si>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</si>
  <si>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</si>
  <si>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</si>
  <si>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</si>
  <si>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</si>
  <si>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</si>
  <si>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</si>
  <si>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</si>
  <si>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</si>
  <si>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</si>
  <si>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</si>
  <si>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</si>
  <si>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</si>
  <si>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</si>
  <si>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</si>
  <si>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</si>
  <si>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</si>
  <si>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</si>
  <si>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</si>
  <si>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</si>
  <si>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</si>
  <si>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</si>
  <si>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</si>
  <si>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</si>
  <si>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</si>
  <si>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</si>
  <si>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</si>
  <si>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</si>
  <si>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</si>
  <si>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</si>
  <si>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</si>
  <si>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</si>
  <si>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</si>
  <si>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</si>
  <si>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</si>
  <si>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</si>
  <si>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</si>
  <si>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</si>
  <si>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</si>
  <si>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</si>
  <si>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</si>
  <si>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</si>
  <si>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</si>
  <si>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</si>
  <si>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</si>
  <si>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</si>
  <si>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</si>
  <si>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</si>
  <si>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</si>
  <si>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</si>
  <si>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</si>
  <si>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</si>
  <si>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</si>
  <si>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</si>
  <si>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</si>
  <si>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</si>
  <si>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</si>
  <si>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</si>
  <si>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</si>
  <si>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</si>
  <si>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</si>
  <si>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</si>
  <si>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</si>
  <si>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</si>
  <si>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</si>
  <si>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</si>
  <si>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</si>
  <si>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</si>
  <si>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</si>
  <si>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</si>
  <si>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</si>
  <si>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</si>
  <si>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</si>
  <si>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</si>
  <si>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</si>
  <si>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</si>
  <si>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</si>
  <si>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</si>
  <si>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</si>
  <si>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</si>
  <si>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</si>
  <si>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</si>
  <si>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</si>
  <si>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</si>
  <si>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</si>
  <si>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</si>
  <si>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</si>
  <si>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</si>
  <si>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</si>
  <si>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</si>
  <si>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</si>
  <si>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</si>
  <si>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</si>
  <si>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</si>
  <si>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</si>
  <si>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</si>
  <si>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</si>
  <si>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</si>
  <si>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</si>
  <si>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</si>
  <si>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</si>
  <si>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</si>
  <si>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</si>
  <si>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</si>
  <si>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</si>
  <si>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</si>
  <si>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</si>
  <si>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</si>
  <si>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</si>
  <si>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</si>
  <si>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</si>
  <si>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</si>
  <si>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</si>
  <si>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</si>
  <si>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</si>
  <si>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</si>
  <si>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</si>
  <si>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</si>
  <si>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</si>
  <si>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</si>
  <si>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</si>
  <si>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</si>
  <si>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</si>
  <si>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</si>
  <si>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</si>
  <si>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</si>
  <si>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</si>
  <si>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</si>
  <si>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</si>
  <si>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</si>
  <si>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</si>
  <si>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</si>
  <si>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</si>
  <si>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</si>
  <si>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</si>
  <si>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</si>
  <si>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</si>
  <si>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</si>
  <si>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</si>
  <si>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</si>
  <si>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</si>
  <si>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</si>
  <si>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</si>
  <si>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</si>
  <si>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</si>
  <si>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</si>
  <si>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</si>
  <si>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</si>
  <si>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</si>
  <si>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</si>
  <si>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</si>
  <si>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</si>
  <si>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</si>
  <si>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</si>
  <si>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</si>
  <si>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</si>
  <si>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</si>
  <si>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</si>
  <si>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</si>
  <si>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</si>
  <si>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</si>
  <si>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</si>
  <si>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</si>
  <si>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</si>
  <si>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</si>
  <si>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</si>
  <si>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</si>
  <si>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</si>
  <si>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</si>
  <si>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</si>
  <si>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</si>
  <si>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</si>
  <si>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</si>
  <si>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</si>
  <si>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</si>
  <si>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</si>
  <si>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</si>
  <si>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</si>
  <si>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</si>
  <si>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</si>
  <si>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</si>
  <si>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</si>
  <si>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</si>
  <si>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</si>
  <si>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</si>
  <si>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</si>
  <si>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</si>
  <si>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</si>
  <si>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</si>
  <si>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</si>
  <si>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</si>
  <si>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</si>
  <si>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</si>
  <si>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</si>
  <si>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</si>
  <si>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</si>
  <si>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</si>
  <si>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</si>
  <si>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</si>
  <si>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</si>
  <si>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</si>
  <si>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</si>
  <si>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</si>
  <si>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</si>
  <si>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</si>
  <si>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</si>
  <si>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</si>
  <si>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</si>
  <si>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</si>
  <si>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</si>
  <si>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</si>
  <si>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</si>
  <si>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</si>
  <si>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</si>
  <si>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</si>
  <si>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</si>
  <si>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</si>
  <si>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</si>
  <si>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</si>
  <si>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</si>
  <si>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</si>
  <si>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</si>
  <si>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</si>
  <si>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</si>
  <si>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</si>
  <si>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</si>
  <si>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</si>
  <si>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</si>
  <si>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</si>
  <si>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</si>
  <si>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</si>
  <si>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</si>
  <si>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</si>
  <si>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</si>
  <si>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</si>
  <si>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</si>
  <si>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</si>
  <si>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</si>
  <si>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</si>
  <si>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</si>
  <si>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</si>
  <si>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</si>
  <si>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</si>
  <si>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</si>
  <si>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</si>
  <si>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</si>
  <si>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</si>
  <si>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</si>
  <si>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</si>
  <si>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</si>
  <si>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</si>
  <si>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</si>
  <si>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</si>
  <si>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</si>
  <si>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</si>
  <si>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</si>
  <si>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</si>
  <si>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</si>
  <si>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</si>
  <si>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</si>
  <si>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</si>
  <si>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</si>
  <si>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</si>
  <si>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</si>
  <si>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</si>
  <si>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</si>
  <si>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</si>
  <si>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</si>
  <si>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</si>
  <si>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</si>
  <si>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</si>
  <si>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</si>
  <si>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</si>
  <si>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</si>
  <si>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</si>
  <si>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</si>
  <si>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</si>
  <si>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</si>
  <si>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</si>
  <si>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</si>
  <si>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</si>
  <si>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</si>
  <si>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</si>
  <si>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</si>
  <si>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</si>
  <si>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</si>
  <si>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</si>
  <si>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</si>
  <si>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</si>
  <si>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</si>
  <si>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</si>
  <si>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</si>
  <si>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</si>
  <si>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</si>
  <si>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</si>
  <si>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</si>
  <si>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</si>
  <si>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</si>
  <si>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</si>
  <si>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</si>
  <si>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</si>
  <si>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</si>
  <si>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</si>
  <si>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</si>
  <si>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</si>
  <si>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</si>
  <si>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</si>
  <si>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</si>
  <si>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</si>
  <si>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</si>
  <si>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</si>
  <si>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</si>
  <si>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</si>
  <si>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</si>
  <si>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</si>
  <si>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</si>
  <si>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</si>
  <si>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</si>
  <si>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</si>
  <si>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</si>
  <si>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</si>
  <si>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</si>
  <si>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</si>
  <si>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</si>
  <si>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</si>
  <si>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</si>
  <si>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</si>
  <si>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</si>
  <si>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</si>
  <si>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</si>
  <si>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</si>
  <si>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</si>
  <si>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</si>
  <si>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</si>
  <si>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</si>
  <si>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</si>
  <si>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</si>
  <si>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</si>
  <si>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</si>
  <si>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</si>
  <si>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</si>
  <si>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</si>
  <si>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</si>
  <si>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</si>
  <si>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</si>
  <si>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</si>
  <si>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</si>
  <si>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</si>
  <si>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</si>
  <si>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</si>
  <si>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</si>
  <si>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</si>
  <si>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</si>
  <si>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</si>
  <si>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</si>
  <si>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</si>
  <si>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</si>
  <si>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</si>
  <si>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</si>
  <si>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</si>
  <si>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</si>
  <si>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</si>
  <si>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</si>
  <si>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</si>
  <si>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</si>
  <si>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</si>
  <si>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</si>
  <si>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</si>
  <si>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</si>
  <si>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</si>
  <si>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</si>
  <si>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</si>
  <si>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</si>
  <si>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</si>
  <si>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</si>
  <si>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</si>
  <si>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</si>
  <si>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</si>
  <si>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</si>
  <si>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</si>
  <si>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</si>
  <si>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</si>
  <si>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</si>
  <si>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</si>
  <si>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</si>
  <si>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</si>
  <si>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</si>
  <si>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</si>
  <si>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</si>
  <si>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</si>
  <si>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</si>
  <si>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</si>
  <si>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</si>
  <si>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</si>
  <si>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</si>
  <si>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</si>
  <si>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</si>
  <si>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</si>
  <si>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</si>
  <si>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</si>
  <si>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</si>
  <si>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</si>
  <si>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</si>
  <si>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</si>
  <si>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</si>
  <si>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</si>
  <si>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</si>
  <si>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</si>
  <si>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</si>
  <si>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</si>
  <si>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</si>
  <si>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</si>
  <si>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</si>
  <si>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</si>
  <si>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</si>
  <si>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</si>
  <si>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</si>
  <si>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</si>
  <si>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</si>
  <si>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</si>
  <si>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</si>
  <si>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</si>
  <si>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</si>
  <si>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</si>
  <si>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</si>
  <si>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</si>
  <si>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</si>
  <si>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</si>
  <si>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</si>
  <si>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</si>
  <si>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</si>
  <si>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</si>
  <si>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</si>
  <si>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</si>
  <si>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</si>
  <si>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</si>
  <si>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</si>
  <si>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</si>
  <si>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</si>
  <si>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</si>
  <si>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</si>
  <si>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</si>
  <si>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</si>
  <si>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</si>
  <si>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</si>
  <si>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</si>
  <si>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</si>
  <si>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</si>
  <si>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</si>
  <si>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</si>
  <si>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</si>
  <si>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</si>
  <si>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</si>
  <si>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</si>
  <si>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</si>
  <si>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</si>
  <si>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</si>
  <si>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</si>
  <si>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</si>
  <si>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</si>
  <si>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</si>
  <si>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</si>
  <si>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</si>
  <si>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</si>
  <si>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</si>
  <si>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</si>
  <si>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</si>
  <si>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</si>
  <si>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</si>
  <si>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</si>
  <si>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</si>
  <si>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</si>
  <si>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</si>
  <si>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</si>
  <si>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</si>
  <si>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</si>
  <si>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</si>
  <si>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</si>
  <si>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</si>
  <si>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</si>
  <si>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</si>
  <si>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</si>
  <si>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</si>
  <si>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</si>
  <si>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</si>
  <si>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</si>
  <si>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</si>
  <si>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</si>
  <si>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</si>
  <si>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</si>
  <si>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</si>
  <si>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</si>
  <si>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</si>
  <si>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</si>
  <si>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</si>
  <si>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</si>
  <si>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</si>
  <si>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</si>
  <si>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</si>
  <si>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</si>
  <si>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</si>
  <si>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</si>
  <si>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</si>
  <si>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</si>
  <si>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</si>
  <si>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</si>
  <si>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</si>
  <si>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</si>
  <si>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</si>
  <si>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</si>
  <si>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</si>
  <si>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</si>
  <si>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</si>
  <si>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</si>
  <si>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</si>
  <si>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</si>
  <si>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</si>
  <si>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</si>
  <si>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</si>
  <si>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</si>
  <si>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</si>
  <si>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</si>
  <si>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</si>
  <si>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</si>
  <si>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</si>
  <si>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</si>
  <si>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</si>
  <si>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</si>
  <si>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</si>
  <si>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</si>
  <si>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</si>
  <si>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</si>
  <si>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</si>
  <si>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</si>
  <si>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</si>
  <si>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</si>
  <si>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</si>
  <si>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</si>
  <si>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</si>
  <si>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</si>
  <si>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</si>
  <si>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</si>
  <si>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</si>
  <si>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</si>
  <si>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</si>
  <si>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</si>
  <si>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</si>
  <si>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</si>
  <si>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</si>
  <si>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</si>
  <si>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</si>
  <si>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</si>
  <si>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</si>
  <si>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</si>
  <si>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</si>
  <si>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</si>
  <si>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</si>
  <si>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</si>
  <si>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</si>
  <si>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</si>
  <si>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</si>
  <si>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</si>
  <si>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</si>
  <si>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</si>
  <si>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</si>
  <si>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</si>
  <si>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</si>
  <si>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</si>
  <si>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</si>
  <si>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</si>
  <si>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</si>
  <si>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</si>
  <si>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</si>
  <si>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</si>
  <si>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</si>
  <si>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</si>
  <si>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</si>
  <si>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</si>
  <si>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</si>
  <si>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</si>
  <si>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</si>
  <si>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</si>
  <si>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</si>
  <si>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</si>
  <si>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</si>
  <si>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</si>
  <si>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</si>
  <si>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</si>
  <si>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</si>
  <si>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</si>
  <si>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</si>
  <si>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</si>
  <si>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</si>
  <si>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</si>
  <si>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</si>
  <si>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</si>
  <si>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</si>
  <si>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</si>
  <si>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</si>
  <si>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</si>
  <si>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</si>
  <si>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</si>
  <si>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</si>
  <si>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</si>
  <si>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</si>
  <si>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</si>
  <si>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</si>
  <si>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</si>
  <si>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</si>
  <si>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</si>
  <si>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</si>
  <si>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</si>
  <si>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</si>
  <si>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</si>
  <si>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</si>
  <si>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</si>
  <si>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</si>
  <si>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</si>
  <si>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</si>
  <si>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</si>
  <si>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</si>
  <si>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</si>
  <si>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</si>
  <si>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</si>
  <si>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</si>
  <si>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</si>
  <si>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</si>
  <si>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</si>
  <si>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</si>
  <si>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</si>
  <si>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</si>
  <si>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</si>
  <si>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</si>
  <si>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</si>
  <si>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</si>
  <si>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</si>
  <si>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</si>
  <si>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</si>
  <si>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</si>
  <si>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</si>
  <si>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</si>
  <si>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</si>
  <si>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</si>
  <si>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</si>
  <si>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</si>
  <si>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</si>
  <si>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</si>
  <si>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</si>
  <si>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</si>
  <si>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</si>
  <si>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</si>
  <si>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</si>
  <si>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</si>
  <si>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</si>
  <si>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</si>
  <si>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</si>
  <si>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</si>
  <si>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</si>
  <si>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</si>
  <si>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</si>
  <si>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</si>
  <si>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</si>
  <si>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</si>
  <si>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</si>
  <si>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</si>
  <si>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</si>
  <si>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</si>
  <si>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</si>
  <si>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</si>
  <si>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</si>
  <si>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</si>
  <si>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</si>
  <si>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</si>
  <si>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</si>
  <si>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</si>
  <si>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</si>
  <si>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</si>
  <si>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</si>
  <si>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</si>
  <si>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</si>
  <si>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</si>
  <si>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</si>
  <si>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</si>
  <si>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</si>
  <si>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</si>
  <si>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</si>
  <si>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</si>
  <si>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</si>
  <si>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</si>
  <si>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</si>
  <si>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</si>
  <si>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</si>
  <si>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</si>
  <si>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</si>
  <si>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</si>
  <si>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</si>
  <si>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</si>
  <si>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</si>
  <si>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</si>
  <si>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</si>
  <si>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</si>
  <si>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</si>
  <si>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</si>
  <si>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</si>
  <si>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</si>
  <si>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</si>
  <si>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</si>
  <si>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</si>
  <si>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</si>
  <si>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</si>
  <si>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</si>
  <si>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</si>
  <si>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</si>
  <si>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</si>
  <si>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</si>
  <si>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</si>
  <si>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</si>
  <si>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</si>
  <si>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</si>
  <si>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</si>
  <si>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</si>
  <si>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</si>
  <si>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</si>
  <si>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</si>
  <si>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</si>
  <si>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</si>
  <si>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</si>
  <si>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</si>
  <si>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</si>
  <si>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</si>
  <si>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</si>
  <si>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</si>
  <si>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</si>
  <si>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</si>
  <si>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</si>
  <si>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</si>
  <si>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</si>
  <si>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</si>
  <si>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</si>
  <si>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</si>
  <si>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</si>
  <si>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</si>
  <si>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</si>
  <si>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</si>
  <si>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</si>
  <si>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</si>
  <si>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</si>
  <si>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</si>
  <si>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</si>
  <si>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</si>
  <si>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</si>
  <si>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</si>
  <si>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</si>
  <si>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</si>
  <si>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</si>
  <si>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</si>
  <si>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</si>
  <si>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</si>
  <si>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</si>
  <si>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</si>
  <si>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</si>
  <si>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</si>
  <si>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</si>
  <si>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</si>
  <si>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</si>
  <si>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</si>
  <si>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</si>
  <si>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</si>
  <si>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</si>
  <si>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</si>
  <si>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</si>
  <si>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</si>
  <si>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</si>
  <si>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</si>
  <si>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</si>
  <si>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</si>
  <si>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</si>
  <si>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</si>
  <si>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</si>
  <si>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</si>
  <si>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</si>
  <si>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</si>
  <si>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</si>
  <si>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</si>
  <si>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</si>
  <si>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</si>
  <si>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</si>
  <si>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</si>
  <si>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</si>
  <si>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</si>
  <si>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</si>
  <si>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</si>
  <si>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</si>
  <si>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</si>
  <si>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</si>
  <si>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</si>
  <si>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</si>
  <si>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</si>
  <si>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</si>
  <si>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</si>
  <si>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</si>
  <si>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</si>
  <si>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</si>
  <si>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</si>
  <si>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</si>
  <si>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</si>
  <si>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</si>
  <si>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</si>
  <si>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</si>
  <si>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</si>
  <si>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</si>
  <si>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</si>
  <si>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</si>
  <si>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</si>
  <si>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</si>
  <si>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</si>
  <si>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</si>
  <si>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</si>
  <si>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</si>
  <si>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</si>
  <si>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</si>
  <si>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</si>
  <si>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</si>
  <si>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</si>
  <si>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</si>
  <si>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</si>
  <si>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</si>
  <si>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</si>
  <si>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</si>
  <si>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</si>
  <si>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</si>
  <si>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</si>
  <si>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</si>
  <si>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</si>
  <si>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</si>
  <si>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</si>
  <si>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</si>
  <si>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</si>
  <si>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</si>
  <si>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</si>
  <si>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</si>
  <si>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</si>
  <si>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</si>
  <si>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</si>
  <si>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</si>
  <si>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</si>
  <si>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</si>
  <si>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</si>
  <si>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</si>
  <si>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</si>
  <si>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</si>
  <si>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</si>
  <si>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</si>
  <si>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</si>
  <si>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</si>
  <si>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</si>
  <si>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</si>
  <si>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</si>
  <si>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</si>
  <si>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</si>
  <si>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</si>
  <si>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</si>
  <si>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</si>
  <si>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</si>
  <si>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</si>
  <si>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</si>
  <si>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</si>
  <si>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</si>
  <si>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</si>
  <si>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</si>
  <si>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</si>
  <si>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</si>
  <si>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</si>
  <si>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</si>
  <si>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</si>
  <si>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</si>
  <si>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</si>
  <si>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</si>
  <si>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</si>
  <si>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</si>
  <si>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</si>
  <si>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</si>
  <si>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</si>
  <si>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</si>
  <si>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</si>
  <si>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</si>
  <si>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</si>
  <si>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</si>
  <si>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</si>
  <si>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</si>
  <si>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</si>
  <si>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</si>
  <si>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</si>
  <si>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</si>
  <si>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</si>
  <si>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</si>
  <si>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</si>
  <si>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</si>
  <si>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</si>
  <si>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</si>
  <si>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</si>
  <si>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</si>
  <si>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</si>
  <si>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</si>
  <si>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</si>
  <si>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</si>
  <si>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</si>
  <si>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</si>
  <si>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</si>
  <si>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</si>
  <si>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</si>
  <si>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</si>
  <si>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</si>
  <si>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</si>
  <si>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</si>
  <si>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</si>
  <si>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</si>
  <si>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</si>
  <si>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</si>
  <si>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</si>
  <si>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</si>
  <si>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</si>
  <si>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</si>
  <si>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</si>
  <si>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</si>
  <si>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</si>
  <si>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</si>
  <si>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</si>
  <si>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</si>
  <si>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</si>
  <si>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</si>
  <si>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</si>
  <si>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</si>
  <si>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</si>
  <si>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</si>
  <si>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</si>
  <si>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</si>
  <si>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</si>
  <si>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</si>
  <si>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</si>
  <si>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</si>
  <si>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</si>
  <si>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</si>
  <si>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</si>
  <si>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</si>
  <si>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</si>
  <si>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</si>
  <si>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</si>
  <si>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</si>
  <si>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</si>
  <si>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</si>
  <si>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</si>
  <si>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</si>
  <si>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北京市群英印刷有限公司</t>
    <phoneticPr fontId="6" type="noConversion"/>
  </si>
  <si>
    <t>抵押</t>
  </si>
  <si>
    <t>房地产抵押价值</t>
  </si>
  <si>
    <t>北京市</t>
  </si>
  <si>
    <t>企业</t>
  </si>
  <si>
    <t>出让</t>
  </si>
  <si>
    <t>是</t>
  </si>
  <si>
    <t>原件</t>
  </si>
  <si>
    <t>北京银行股份有限公司建国支行</t>
    <phoneticPr fontId="6" type="noConversion"/>
  </si>
  <si>
    <t>工业项目</t>
  </si>
  <si>
    <t>无</t>
  </si>
  <si>
    <t>否</t>
  </si>
  <si>
    <t>现房</t>
  </si>
  <si>
    <t>通路</t>
  </si>
  <si>
    <t>通电</t>
  </si>
  <si>
    <t>通讯</t>
  </si>
  <si>
    <t>通上水</t>
  </si>
  <si>
    <t>通下水</t>
  </si>
  <si>
    <t>Ⅶ-大兴开发区</t>
  </si>
  <si>
    <t>地上</t>
  </si>
  <si>
    <t>厂房</t>
    <phoneticPr fontId="16" type="noConversion"/>
  </si>
  <si>
    <t>成新度</t>
  </si>
  <si>
    <t>第2年</t>
    <phoneticPr fontId="143" type="noConversion"/>
  </si>
  <si>
    <t>第3年</t>
  </si>
  <si>
    <t>第4年</t>
  </si>
  <si>
    <t>第5年</t>
  </si>
  <si>
    <t>正常</t>
  </si>
  <si>
    <t>大兴生物医药基地</t>
    <phoneticPr fontId="3" type="noConversion"/>
  </si>
  <si>
    <t>地块名称</t>
  </si>
  <si>
    <t>城市</t>
  </si>
  <si>
    <t>用地性质</t>
  </si>
  <si>
    <t>建设用地面积(㎡)</t>
  </si>
  <si>
    <t>规划建筑面积(㎡)</t>
  </si>
  <si>
    <t>容积率</t>
  </si>
  <si>
    <t>出让方式</t>
  </si>
  <si>
    <t>截止日期</t>
  </si>
  <si>
    <t>起始价(万元)</t>
  </si>
  <si>
    <t>成交价(万元)</t>
  </si>
  <si>
    <t>成交地面价</t>
    <phoneticPr fontId="3" type="noConversion"/>
  </si>
  <si>
    <t>成交楼面价(元/㎡)</t>
  </si>
  <si>
    <t>溢价率</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</si>
  <si>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</si>
  <si>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</si>
  <si>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</si>
  <si>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</si>
  <si>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</si>
  <si>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</si>
  <si>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</si>
  <si>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</si>
  <si>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</si>
  <si>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</si>
  <si>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</si>
  <si>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</si>
  <si>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</si>
  <si>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</si>
  <si>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</si>
  <si>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</si>
  <si>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</si>
  <si>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</si>
  <si>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</si>
  <si>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</si>
  <si>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</si>
  <si>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</si>
  <si>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</si>
  <si>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</si>
  <si>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</si>
  <si>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</si>
  <si>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</si>
  <si>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</si>
  <si>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</si>
  <si>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</si>
  <si>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</si>
  <si>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</si>
  <si>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</si>
  <si>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</si>
  <si>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</si>
  <si>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</si>
  <si>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</si>
  <si>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</si>
  <si>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</si>
  <si>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</si>
  <si>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</si>
  <si>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</si>
  <si>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</si>
  <si>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</si>
  <si>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</si>
  <si>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</si>
  <si>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</si>
  <si>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</si>
  <si>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</si>
  <si>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</si>
  <si>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</si>
  <si>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</si>
  <si>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</si>
  <si>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</si>
  <si>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</si>
  <si>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</si>
  <si>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</si>
  <si>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</si>
  <si>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</si>
  <si>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</si>
  <si>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</si>
  <si>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</si>
  <si>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</si>
  <si>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</si>
  <si>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</si>
  <si>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</si>
  <si>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</si>
  <si>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</si>
  <si>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</si>
  <si>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</si>
  <si>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</si>
  <si>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</si>
  <si>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</si>
  <si>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</si>
  <si>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</si>
  <si>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</si>
  <si>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</si>
  <si>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</si>
  <si>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</si>
  <si>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</si>
  <si>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</si>
  <si>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</si>
  <si>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</si>
  <si>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</si>
  <si>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</si>
  <si>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</si>
  <si>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</si>
  <si>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</si>
  <si>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</si>
  <si>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</si>
  <si>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</si>
  <si>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</si>
  <si>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</si>
  <si>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工业</t>
    <phoneticPr fontId="33" type="noConversion"/>
  </si>
  <si>
    <t>七通</t>
    <phoneticPr fontId="3" type="noConversion"/>
  </si>
  <si>
    <t>区域内污染物排放及治理状况一般，周边无危险设施及污染源，环境状况较好。</t>
    <phoneticPr fontId="3" type="noConversion"/>
  </si>
  <si>
    <t>估价对象位于大兴开发区，周边1公里范围内有平客集文华创业园、北京锦秋文化创意产业园等，产业集聚程度较好。</t>
    <phoneticPr fontId="3" type="noConversion"/>
  </si>
  <si>
    <t>周边1公里范围内有专67路、954路、兴36路等公交线路，停车便捷度较好，交通便捷度一般。</t>
    <phoneticPr fontId="3" type="noConversion"/>
  </si>
  <si>
    <t>周边2公里内有银行、超市、餐饮等配套，公共服务设施一般</t>
    <phoneticPr fontId="3" type="noConversion"/>
  </si>
  <si>
    <t>较好</t>
  </si>
  <si>
    <t>一般</t>
  </si>
  <si>
    <t>七通</t>
  </si>
  <si>
    <t>单面临街</t>
  </si>
  <si>
    <t>好</t>
  </si>
  <si>
    <t>较差</t>
  </si>
  <si>
    <t>多面临街</t>
  </si>
  <si>
    <t>双面临街</t>
  </si>
  <si>
    <t>单位面积地价</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</si>
  <si>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</si>
  <si>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</si>
  <si>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</si>
  <si>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</si>
  <si>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</si>
  <si>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</si>
  <si>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</si>
  <si>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</si>
  <si>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</si>
  <si>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</si>
  <si>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</si>
  <si>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</si>
  <si>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</si>
  <si>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</si>
  <si>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差</t>
  </si>
  <si>
    <t>较规则</t>
  </si>
  <si>
    <t>全部缴纳</t>
  </si>
  <si>
    <t>已包含在土地取得成本中</t>
  </si>
  <si>
    <t>押一</t>
  </si>
  <si>
    <t>按租金收入计税</t>
  </si>
  <si>
    <t>钢混</t>
  </si>
  <si>
    <t>非生产用房</t>
  </si>
  <si>
    <t>收益法-出租</t>
    <phoneticPr fontId="16" type="noConversion"/>
  </si>
  <si>
    <t>收益法-自用</t>
    <phoneticPr fontId="16" type="noConversion"/>
  </si>
  <si>
    <t>出租</t>
  </si>
  <si>
    <t>通热</t>
  </si>
  <si>
    <t>燃气</t>
  </si>
  <si>
    <t>成本法</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</si>
  <si>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013163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</si>
  <si>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00204</t>
    </r>
    <r>
      <rPr>
        <sz val="12"/>
        <color theme="9" tint="-0.249977111117893"/>
        <rFont val="宋体"/>
        <family val="3"/>
        <charset val="134"/>
      </rPr>
      <t>号</t>
    </r>
    <r>
      <rPr>
        <sz val="12"/>
        <color theme="9" tint="-0.249977111117893"/>
        <rFont val="Arial"/>
        <family val="2"/>
      </rPr>
      <t>]</t>
    </r>
    <phoneticPr fontId="6"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</si>
  <si>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</si>
  <si>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</si>
  <si>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厂房</t>
  </si>
  <si>
    <t>工业</t>
    <phoneticPr fontId="7" type="noConversion"/>
  </si>
  <si>
    <t>收益法</t>
  </si>
  <si>
    <t>2018-1-0526-P02DYGJ1</t>
    <phoneticPr fontId="6" type="noConversion"/>
  </si>
  <si>
    <r>
      <rPr>
        <sz val="12"/>
        <color theme="9" tint="-0.249977111117893"/>
        <rFont val="宋体"/>
        <family val="3"/>
        <charset val="134"/>
      </rPr>
      <t>大兴区金苑路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幢工业用房</t>
    </r>
    <phoneticPr fontId="6" type="noConversion"/>
  </si>
  <si>
    <t>交通银行股份有限公司北京通州支行</t>
    <phoneticPr fontId="6" type="noConversion"/>
  </si>
  <si>
    <r>
      <t>35.86</t>
    </r>
    <r>
      <rPr>
        <sz val="12"/>
        <color theme="9" tint="-0.249977111117893"/>
        <rFont val="宋体"/>
        <family val="3"/>
        <charset val="134"/>
      </rPr>
      <t>年</t>
    </r>
    <phoneticPr fontId="6" type="noConversion"/>
  </si>
  <si>
    <t>工业</t>
    <phoneticPr fontId="6" type="noConversion"/>
  </si>
  <si>
    <t>成本比率</t>
  </si>
  <si>
    <t>建筑物价值</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</si>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</sst>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9" fillId="0" borderId="0" xfId="0" applyFont="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99" fillId="0" borderId="1" xfId="0" applyFont="1" applyBorder="1">
      <alignment vertical="center"/>
    </xf>
    <xf numFmtId="0" fontId="0" fillId="0" borderId="1" xfId="0" applyBorder="1">
      <alignment vertical="center"/>
    </xf>
    <xf numFmtId="10" fontId="0" fillId="0" borderId="1" xfId="0" applyNumberFormat="1" applyBorder="1">
      <alignment vertical="center"/>
    </xf>
    <xf numFmtId="0" fontId="0" fillId="17" borderId="0" xfId="0" applyFill="1">
      <alignment vertical="center"/>
    </xf>
    <xf numFmtId="0" fontId="101" fillId="0" borderId="1" xfId="0" applyFont="1" applyBorder="1">
      <alignment vertical="center"/>
    </xf>
    <xf numFmtId="10" fontId="0" fillId="0" borderId="0" xfId="0" applyNumberFormat="1" applyFill="1" applyBorder="1">
      <alignment vertical="center"/>
    </xf>
    <xf numFmtId="9" fontId="0" fillId="0" borderId="0" xfId="13" applyFont="1">
      <alignment vertical="center"/>
    </xf>
    <xf numFmtId="177" fontId="120" fillId="5" borderId="1" xfId="1"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54" fillId="7" borderId="13" xfId="0" applyFont="1" applyFill="1" applyBorder="1" applyAlignment="1" applyProtection="1">
      <alignment horizontal="center" vertical="center"/>
      <protection locked="0"/>
    </xf>
    <xf numFmtId="0" fontId="54" fillId="7" borderId="15" xfId="0" applyFont="1" applyFill="1" applyBorder="1" applyAlignment="1" applyProtection="1">
      <alignment horizontal="center" vertical="center"/>
      <protection locked="0"/>
    </xf>
    <xf numFmtId="0" fontId="54" fillId="7" borderId="2" xfId="0" applyFont="1" applyFill="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5">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66675</xdr:colOff>
      <xdr:row>29</xdr:row>
      <xdr:rowOff>50115</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6238875" cy="5022165"/>
        </a:xfrm>
        <a:prstGeom prst="rect">
          <a:avLst/>
        </a:prstGeom>
      </xdr:spPr>
    </xdr:pic>
    <xdr:clientData/>
  </xdr:twoCellAnchor>
  <xdr:twoCellAnchor editAs="oneCell">
    <xdr:from>
      <xdr:col>8</xdr:col>
      <xdr:colOff>0</xdr:colOff>
      <xdr:row>31</xdr:row>
      <xdr:rowOff>0</xdr:rowOff>
    </xdr:from>
    <xdr:to>
      <xdr:col>18</xdr:col>
      <xdr:colOff>103905</xdr:colOff>
      <xdr:row>63</xdr:row>
      <xdr:rowOff>75505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5314950"/>
          <a:ext cx="6961905" cy="5561905"/>
        </a:xfrm>
        <a:prstGeom prst="rect">
          <a:avLst/>
        </a:prstGeom>
      </xdr:spPr>
    </xdr:pic>
    <xdr:clientData/>
  </xdr:twoCellAnchor>
  <xdr:twoCellAnchor editAs="oneCell">
    <xdr:from>
      <xdr:col>8</xdr:col>
      <xdr:colOff>0</xdr:colOff>
      <xdr:row>64</xdr:row>
      <xdr:rowOff>0</xdr:rowOff>
    </xdr:from>
    <xdr:to>
      <xdr:col>17</xdr:col>
      <xdr:colOff>551610</xdr:colOff>
      <xdr:row>89</xdr:row>
      <xdr:rowOff>28036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10972800"/>
          <a:ext cx="6723810" cy="4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68;&#26399;-&#29983;&#29289;&#21307;&#33647;&#20225;&#19994;&#28207;-&#25151;&#22320;&#20135;-&#39033;&#30446;.-&#23828;&#20029;&#26032;20180702-142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t="str">
            <v>中关村科技园区大兴生物医药产业基地0501-57-2地块</v>
          </cell>
        </row>
        <row r="2">
          <cell r="A2" t="str">
            <v>中关村科技园区大兴生物医药产业基地DX00-0501-6001地块</v>
          </cell>
        </row>
        <row r="3">
          <cell r="A3" t="str">
            <v>中关村科技园区大兴生物医药产业基地0501-57-3地块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北京市大兴区金苑路32号1幢等2幢工业用房房地产抵押价值预评估</v>
      </c>
    </row>
    <row r="3" spans="1:2" s="1595" customFormat="1">
      <c r="A3" s="1593" t="s">
        <v>1221</v>
      </c>
      <c r="B3" s="1594" t="str">
        <f>'预评函-封皮'!B40</f>
        <v>北京市群英印刷有限公司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康正预评字2018-1-0526-P02DYGJ1号</v>
      </c>
    </row>
    <row r="6" spans="1:2" s="1592" customFormat="1" ht="15" thickTop="1">
      <c r="A6" s="1590" t="s">
        <v>1224</v>
      </c>
      <c r="B6" s="1591" t="str">
        <f>'预评函-1'!A4</f>
        <v>受贵公司委托，我公司对北京市大兴区金苑路32号1幢等2幢工业用房房地产抵押价值进行了预评估。</v>
      </c>
    </row>
    <row r="7" spans="1:2" s="1595" customFormat="1">
      <c r="A7" s="1593" t="s">
        <v>1264</v>
      </c>
      <c r="B7" s="1594" t="str">
        <f>'预评函-1'!A7</f>
        <v>估价对象为北京市大兴区金苑路32号1幢等2幢工业用房房地产，为北京市群英印刷有限公司所有。根据《国有土地使用证》[京兴国用（2014出）第00204号]，估价对象（分摊）出让国有建设用地使用权面积为2422.36平方米，建筑面积为6217.83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金苑路32号1幢等2幢工业用房房地产,属北京市群英印刷有限公司开发建设的工业项目，该项目尚在开发建设中。根据《国有土地使用证》[京兴国用（2014出）第00204号]，估价对象（分摊）出让国有建设用地使用权面积为2422.36平方米，规划建筑面积为6217.83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为估价委托人在向交通银行股份有限公司北京通州支行办理贷款手续过程中，确定房地产抵押贷款额度提供参考依据而评估房地产抵押价值。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工业，土地取得方式为出让，出让国有建设用地使用权剩余土地使用年限为35.86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通热、燃气）、红线内场地平整条件下，剩余土地使用年限为35.86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2470</v>
      </c>
    </row>
    <row r="21" spans="1:2" s="1595" customFormat="1">
      <c r="A21" s="1593" t="s">
        <v>1235</v>
      </c>
      <c r="B21" s="1594">
        <f ca="1">'预评函-2'!D7</f>
        <v>3972</v>
      </c>
    </row>
    <row r="22" spans="1:2" s="1595" customFormat="1">
      <c r="A22" s="1593" t="s">
        <v>1236</v>
      </c>
      <c r="B22" s="1594" t="str">
        <f ca="1">'预评函-2'!D6</f>
        <v>贰仟肆佰柒拾万元整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2470</v>
      </c>
    </row>
    <row r="35" spans="1:2" s="1595" customFormat="1">
      <c r="A35" s="1593" t="s">
        <v>1275</v>
      </c>
      <c r="B35" s="1594">
        <f ca="1">'预评函-2'!D18</f>
        <v>3972</v>
      </c>
    </row>
    <row r="36" spans="1:2" s="1595" customFormat="1">
      <c r="A36" s="1593" t="s">
        <v>1242</v>
      </c>
      <c r="B36" s="1594" t="str">
        <f ca="1">'预评函-2'!D17</f>
        <v>贰仟肆佰柒拾万元整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北京市大兴区金苑路32号1幢等2幢工业用房房地产</v>
      </c>
    </row>
    <row r="42" spans="1:2" s="1595" customFormat="1">
      <c r="A42" s="1593" t="s">
        <v>1288</v>
      </c>
      <c r="B42" s="1594" t="str">
        <f>'预评函-3'!B2</f>
        <v>建筑面积</v>
      </c>
    </row>
    <row r="43" spans="1:2" s="1595" customFormat="1">
      <c r="A43" s="1593" t="s">
        <v>1289</v>
      </c>
      <c r="B43" s="1594">
        <f>'预评函-3'!B4</f>
        <v>6217.83</v>
      </c>
    </row>
    <row r="44" spans="1:2" s="1595" customFormat="1">
      <c r="A44" s="1593" t="s">
        <v>1273</v>
      </c>
      <c r="B44" s="1594" t="str">
        <f>'预评函-3'!C2</f>
        <v>(分摊)土地面积</v>
      </c>
    </row>
    <row r="45" spans="1:2" s="1595" customFormat="1">
      <c r="A45" s="1593" t="s">
        <v>1245</v>
      </c>
      <c r="B45" s="1594">
        <f>'预评函-3'!C4</f>
        <v>2422.36</v>
      </c>
    </row>
    <row r="46" spans="1:2" s="1595" customFormat="1">
      <c r="A46" s="1593" t="s">
        <v>1271</v>
      </c>
      <c r="B46" s="1594" t="str">
        <f>'预评函-3'!D2</f>
        <v>出让国有建设用地使用权价值</v>
      </c>
    </row>
    <row r="47" spans="1:2" s="1595" customFormat="1">
      <c r="A47" s="1593" t="s">
        <v>1246</v>
      </c>
      <c r="B47" s="1594">
        <f ca="1">'预评函-3'!D4</f>
        <v>543</v>
      </c>
    </row>
    <row r="48" spans="1:2" s="1595" customFormat="1">
      <c r="A48" s="1593" t="s">
        <v>1247</v>
      </c>
      <c r="B48" s="1594">
        <f ca="1">'预评函-3'!E4</f>
        <v>873</v>
      </c>
    </row>
    <row r="49" spans="1:2" s="1595" customFormat="1">
      <c r="A49" s="1593" t="s">
        <v>1248</v>
      </c>
      <c r="B49" s="1594" t="str">
        <f ca="1">'预评函-3'!D5</f>
        <v>伍佰肆拾叁万元整</v>
      </c>
    </row>
    <row r="50" spans="1:2" s="1595" customFormat="1">
      <c r="A50" s="1593" t="s">
        <v>1272</v>
      </c>
      <c r="B50" s="1594" t="str">
        <f>'预评函-3'!F2</f>
        <v>建筑物价值</v>
      </c>
    </row>
    <row r="51" spans="1:2" s="1595" customFormat="1">
      <c r="A51" s="1593" t="s">
        <v>1249</v>
      </c>
      <c r="B51" s="1594">
        <f ca="1">'预评函-3'!F4</f>
        <v>1927</v>
      </c>
    </row>
    <row r="52" spans="1:2" s="1595" customFormat="1">
      <c r="A52" s="1593" t="s">
        <v>1250</v>
      </c>
      <c r="B52" s="1594">
        <f ca="1">'预评函-3'!G4</f>
        <v>3099</v>
      </c>
    </row>
    <row r="53" spans="1:2" s="1595" customFormat="1">
      <c r="A53" s="1593" t="s">
        <v>1278</v>
      </c>
      <c r="B53" s="1594" t="str">
        <f ca="1">'预评函-3'!F5</f>
        <v>壹仟玖佰贰拾柒万元整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3217</v>
      </c>
      <c r="C17" s="2017"/>
    </row>
    <row r="18" spans="1:3">
      <c r="A18" s="2016" t="s">
        <v>1766</v>
      </c>
      <c r="B18" s="2016" t="s">
        <v>3218</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3066</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为估价委托人在向交通银行股份有限公司北京通州支行办理贷款手续过程中，确定房地产抵押贷款额度提供参考依据而评估房地产抵押价值。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苑路32号1幢等2幢工业用房房地产作为抵押担保物，向交通银行股份有限公司北京通州支行办理贷款手续。交通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9"/>
      <c r="B54" s="2024" t="s">
        <v>864</v>
      </c>
      <c r="C54" s="2021" t="s">
        <v>1281</v>
      </c>
    </row>
    <row r="55" spans="1:4">
      <c r="A55" s="3019"/>
      <c r="B55" s="2024" t="s">
        <v>865</v>
      </c>
      <c r="C55" s="2021" t="s">
        <v>1282</v>
      </c>
    </row>
    <row r="56" spans="1:4">
      <c r="A56" s="3019"/>
      <c r="B56" s="2024" t="s">
        <v>866</v>
      </c>
      <c r="C56" s="2021" t="s">
        <v>1286</v>
      </c>
    </row>
    <row r="57" spans="1:4">
      <c r="A57" s="301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28" t="str">
        <f>IF(B10="北京市","北京市",C10)&amp;F10&amp;IF(结果表!G1="在建","出让国有建设用地使用权及在建建筑物",IF(结果表!G1="土地","出让国有建设用地使用权",))&amp;B9&amp;"预评估"</f>
        <v>北京市大兴区金苑路32号1幢等2幢工业用房房地产抵押价值预评估</v>
      </c>
      <c r="C1" s="3029"/>
      <c r="D1" s="3029"/>
      <c r="E1" s="3029"/>
      <c r="F1" s="3029"/>
      <c r="G1" s="3029"/>
      <c r="H1" s="3029"/>
      <c r="I1" s="303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北京市大兴区金苑路32号1幢等2幢工业用房房地产抵押价值</v>
      </c>
    </row>
    <row r="2" spans="1:19" ht="18" customHeight="1">
      <c r="A2" s="2028" t="s">
        <v>1776</v>
      </c>
      <c r="B2" s="1042" t="s">
        <v>3230</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北京市大兴区金苑路32号1幢等2幢工业用房房地产</v>
      </c>
    </row>
    <row r="3" spans="1:19" ht="18" customHeight="1">
      <c r="A3" s="2037" t="s">
        <v>1777</v>
      </c>
      <c r="B3" s="2038">
        <v>43297</v>
      </c>
      <c r="C3" s="2039" t="s">
        <v>1778</v>
      </c>
      <c r="D3" s="2038">
        <f>B3</f>
        <v>43297</v>
      </c>
      <c r="E3" s="2028"/>
      <c r="F3" s="2028"/>
      <c r="G3" s="2028"/>
      <c r="H3" s="2028"/>
      <c r="I3" s="2028"/>
      <c r="J3" s="2028"/>
      <c r="K3" s="2029"/>
      <c r="L3" s="2030"/>
      <c r="M3" s="2030"/>
      <c r="N3" s="2031"/>
      <c r="O3" s="2032"/>
      <c r="P3" s="2031"/>
      <c r="Q3" s="2031"/>
      <c r="R3" s="2031"/>
      <c r="S3" s="2033"/>
    </row>
    <row r="4" spans="1:19" ht="18" customHeight="1" thickBot="1">
      <c r="A4" s="2040" t="s">
        <v>1779</v>
      </c>
      <c r="B4" s="2041" t="s">
        <v>3044</v>
      </c>
      <c r="C4" s="1040">
        <f ca="1">SUMIF(注册房地产估价师,B4,估价师及机构信息!B3:B24)</f>
        <v>1120000080</v>
      </c>
      <c r="D4" s="2041" t="s">
        <v>3045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44" t="s">
        <v>3046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5" t="s">
        <v>3232</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3047</v>
      </c>
      <c r="C8" s="2056"/>
      <c r="D8" s="3031" t="s">
        <v>1784</v>
      </c>
      <c r="E8" s="2057" t="s">
        <v>3237</v>
      </c>
      <c r="F8" s="2058"/>
      <c r="G8" s="2028"/>
      <c r="H8" s="2028"/>
      <c r="I8" s="2028"/>
      <c r="J8" s="2044"/>
      <c r="K8" s="2045"/>
      <c r="L8" s="2030"/>
      <c r="M8" s="2030"/>
      <c r="N8" s="2031"/>
      <c r="O8" s="2032"/>
      <c r="P8" s="2031"/>
      <c r="Q8" s="2031"/>
      <c r="R8" s="2031"/>
    </row>
    <row r="9" spans="1:19" ht="18" customHeight="1" thickBot="1">
      <c r="A9" s="2042" t="s">
        <v>1785</v>
      </c>
      <c r="B9" s="2059" t="s">
        <v>3048</v>
      </c>
      <c r="C9" s="2060"/>
      <c r="D9" s="3032"/>
      <c r="E9" s="2059" t="s">
        <v>70</v>
      </c>
      <c r="F9" s="2061"/>
      <c r="G9" s="2062"/>
      <c r="H9" s="2062"/>
      <c r="I9" s="2062"/>
      <c r="J9" s="2044"/>
      <c r="K9" s="2054"/>
      <c r="L9" s="2030"/>
      <c r="M9" s="2030"/>
      <c r="N9" s="2031"/>
      <c r="O9" s="2032"/>
      <c r="P9" s="2031"/>
      <c r="Q9" s="2031"/>
      <c r="R9" s="2031"/>
    </row>
    <row r="10" spans="1:19" ht="18" customHeight="1" thickTop="1">
      <c r="A10" s="2063" t="s">
        <v>1786</v>
      </c>
      <c r="B10" s="2064" t="s">
        <v>3049</v>
      </c>
      <c r="C10" s="2065"/>
      <c r="D10" s="2048"/>
      <c r="E10" s="2066" t="s">
        <v>1787</v>
      </c>
      <c r="F10" s="2067" t="s">
        <v>3231</v>
      </c>
      <c r="G10" s="2068"/>
      <c r="H10" s="2069"/>
      <c r="I10" s="2048"/>
      <c r="J10" s="2044"/>
      <c r="K10" s="2054"/>
      <c r="L10" s="2030"/>
      <c r="M10" s="2030"/>
      <c r="N10" s="2031"/>
      <c r="O10" s="2032"/>
      <c r="P10" s="2031"/>
      <c r="Q10" s="2031"/>
      <c r="R10" s="2031"/>
    </row>
    <row r="11" spans="1:19" ht="18" customHeight="1">
      <c r="A11" s="2070" t="s">
        <v>1788</v>
      </c>
      <c r="B11" s="2071" t="s">
        <v>3050</v>
      </c>
      <c r="C11" s="2072" t="str">
        <f>B5</f>
        <v>北京市群英印刷有限公司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3051</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080"/>
      <c r="G13" s="2080">
        <v>56388</v>
      </c>
      <c r="H13" s="2080"/>
      <c r="I13" s="2080">
        <v>56388</v>
      </c>
      <c r="J13" s="2044"/>
      <c r="K13" s="2054"/>
      <c r="L13" s="2030"/>
      <c r="M13" s="2030"/>
      <c r="N13" s="2031"/>
      <c r="O13" s="2032"/>
      <c r="P13" s="2031"/>
      <c r="Q13" s="2031"/>
      <c r="R13" s="2031"/>
    </row>
    <row r="14" spans="1:19" ht="18" customHeight="1">
      <c r="A14" s="2077"/>
      <c r="B14" s="2078"/>
      <c r="C14" s="2079" t="s">
        <v>1798</v>
      </c>
      <c r="D14" s="1052"/>
      <c r="E14" s="1052"/>
      <c r="F14" s="1052"/>
      <c r="G14" s="1052">
        <v>50</v>
      </c>
      <c r="H14" s="1052"/>
      <c r="I14" s="1052">
        <v>50</v>
      </c>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t="str">
        <f>IF(B12="出让",IF(F13="","",ROUNDDOWN(MIN((F13-$D$3)/365,F14),2)),F14)</f>
        <v/>
      </c>
      <c r="G15" s="1051">
        <f>IF(B12="出让",IF(G13="","",ROUNDDOWN(MIN((G13-$D$3)/365,G14),2)),G14)</f>
        <v>35.86</v>
      </c>
      <c r="H15" s="1051" t="str">
        <f>IF(B12="出让",IF(H13="","",ROUNDDOWN(MIN((H13-$D$3)/365,H14),2)),H14)</f>
        <v/>
      </c>
      <c r="I15" s="1051">
        <f>IF(B12="出让",IF(I13="","",ROUNDDOWN(MIN((I13-$D$3)/365,I14),2)),I14)</f>
        <v>35.86</v>
      </c>
      <c r="J15" s="2044"/>
      <c r="K15" s="2083"/>
      <c r="L15" s="2084"/>
      <c r="M15" s="2084"/>
      <c r="N15" s="2085"/>
      <c r="O15" s="2084"/>
      <c r="P15" s="2085"/>
      <c r="Q15" s="2031"/>
      <c r="R15" s="2031"/>
    </row>
    <row r="16" spans="1:19" ht="30.75" customHeight="1">
      <c r="A16" s="2066" t="s">
        <v>1800</v>
      </c>
      <c r="B16" s="3038" t="s">
        <v>3234</v>
      </c>
      <c r="C16" s="3039"/>
      <c r="D16" s="3040"/>
      <c r="E16" s="2086" t="s">
        <v>1801</v>
      </c>
      <c r="F16" s="3041" t="s">
        <v>3233</v>
      </c>
      <c r="G16" s="3042"/>
      <c r="H16" s="3042"/>
      <c r="I16" s="3043"/>
      <c r="J16" s="2031"/>
      <c r="K16" s="2083"/>
      <c r="L16" s="2084"/>
      <c r="M16" s="2084"/>
      <c r="N16" s="2085"/>
      <c r="O16" s="2084"/>
      <c r="P16" s="2085"/>
      <c r="Q16" s="2031"/>
      <c r="R16" s="2031"/>
    </row>
    <row r="17" spans="1:22" ht="18" customHeight="1">
      <c r="A17" s="2087" t="s">
        <v>1802</v>
      </c>
      <c r="B17" s="2037" t="s">
        <v>1803</v>
      </c>
      <c r="C17" s="1056">
        <f>'数据-汇总表'!E3</f>
        <v>6217.83</v>
      </c>
      <c r="D17" s="2088" t="s">
        <v>1804</v>
      </c>
      <c r="E17" s="3044" t="s">
        <v>3223</v>
      </c>
      <c r="F17" s="3045"/>
      <c r="G17" s="3045"/>
      <c r="H17" s="3045"/>
      <c r="I17" s="3046"/>
      <c r="J17" s="2031"/>
      <c r="K17" s="2089"/>
      <c r="L17" s="2084"/>
      <c r="M17" s="2084"/>
      <c r="N17" s="2085"/>
      <c r="O17" s="2084"/>
      <c r="P17" s="2085"/>
      <c r="Q17" s="2031"/>
      <c r="R17" s="2031"/>
      <c r="S17" s="2031"/>
      <c r="T17" s="2031"/>
      <c r="U17" s="2031"/>
      <c r="V17" s="2031"/>
    </row>
    <row r="18" spans="1:22" ht="36" customHeight="1" thickBot="1">
      <c r="A18" s="2090" t="s">
        <v>1805</v>
      </c>
      <c r="B18" s="2040" t="s">
        <v>1806</v>
      </c>
      <c r="C18" s="1446">
        <f>'数据-汇总表'!D3</f>
        <v>2422.36</v>
      </c>
      <c r="D18" s="2091" t="s">
        <v>1804</v>
      </c>
      <c r="E18" s="3047" t="s">
        <v>3224</v>
      </c>
      <c r="F18" s="3048"/>
      <c r="G18" s="3048"/>
      <c r="H18" s="3048"/>
      <c r="I18" s="3049"/>
      <c r="J18" s="2031"/>
      <c r="K18" s="2089"/>
      <c r="L18" s="2084"/>
      <c r="M18" s="2084"/>
      <c r="N18" s="2085"/>
      <c r="O18" s="2084"/>
      <c r="P18" s="2085"/>
      <c r="Q18" s="2031"/>
      <c r="R18" s="2031"/>
      <c r="S18" s="2031"/>
      <c r="T18" s="2031"/>
      <c r="U18" s="2031"/>
      <c r="V18" s="2031"/>
    </row>
    <row r="19" spans="1:22" ht="37.5" customHeight="1" thickTop="1" thickBot="1">
      <c r="A19" s="373" t="s">
        <v>1807</v>
      </c>
      <c r="B19" s="352" t="s">
        <v>1808</v>
      </c>
      <c r="C19" s="2092" t="s">
        <v>3052</v>
      </c>
      <c r="D19" s="2093" t="s">
        <v>1809</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1810</v>
      </c>
      <c r="B20" s="3034" t="s">
        <v>1811</v>
      </c>
      <c r="C20" s="3035"/>
      <c r="D20" s="3036" t="s">
        <v>1812</v>
      </c>
      <c r="E20" s="3037"/>
      <c r="F20" s="2098" t="s">
        <v>1813</v>
      </c>
      <c r="G20" s="2044"/>
      <c r="H20" s="2044"/>
      <c r="I20" s="2044"/>
      <c r="J20" s="2044"/>
      <c r="K20" s="3033"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0"/>
      <c r="N20" s="2085"/>
      <c r="O20" s="2084"/>
      <c r="P20" s="2085"/>
      <c r="Q20" s="2031"/>
      <c r="R20" s="2031"/>
      <c r="S20" s="2031"/>
      <c r="T20" s="2031"/>
      <c r="U20" s="2031"/>
      <c r="V20" s="2031"/>
    </row>
    <row r="21" spans="1:22" ht="24.75" customHeight="1">
      <c r="A21" s="2097"/>
      <c r="B21" s="2099" t="s">
        <v>1815</v>
      </c>
      <c r="C21" s="2100" t="s">
        <v>1816</v>
      </c>
      <c r="D21" s="2101" t="s">
        <v>1817</v>
      </c>
      <c r="E21" s="2102" t="s">
        <v>1816</v>
      </c>
      <c r="F21" s="2103"/>
      <c r="G21" s="2044"/>
      <c r="H21" s="2044"/>
      <c r="I21" s="2044"/>
      <c r="J21" s="2044"/>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1818</v>
      </c>
      <c r="C22" s="2100" t="s">
        <v>3053</v>
      </c>
      <c r="D22" s="2028"/>
      <c r="E22" s="2028"/>
      <c r="F22" s="2105"/>
      <c r="G22" s="2044"/>
      <c r="H22" s="2044"/>
      <c r="I22" s="2044"/>
      <c r="J22" s="2044"/>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1819</v>
      </c>
      <c r="B23" s="183" t="s">
        <v>1820</v>
      </c>
      <c r="C23" s="2107">
        <v>42269</v>
      </c>
      <c r="D23" s="2108" t="s">
        <v>1820</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1821</v>
      </c>
      <c r="C24" s="2955" t="s">
        <v>3054</v>
      </c>
      <c r="D24" s="2106" t="s">
        <v>1821</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1822</v>
      </c>
      <c r="C25" s="2112"/>
      <c r="D25" s="2106" t="s">
        <v>1822</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1823</v>
      </c>
      <c r="C26" s="2116">
        <v>9000</v>
      </c>
      <c r="D26" s="2117" t="s">
        <v>1824</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21" t="s">
        <v>1825</v>
      </c>
      <c r="B27" s="2063" t="s">
        <v>1826</v>
      </c>
      <c r="C27" s="2120" t="s">
        <v>3055</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21"/>
      <c r="B28" s="2037" t="s">
        <v>1827</v>
      </c>
      <c r="C28" s="2122" t="s">
        <v>3056</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21"/>
      <c r="B29" s="2037" t="s">
        <v>1828</v>
      </c>
      <c r="C29" s="2125" t="s">
        <v>3057</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22"/>
      <c r="B30" s="2037" t="s">
        <v>1829</v>
      </c>
      <c r="C30" s="3023"/>
      <c r="D30" s="3024"/>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25" t="s">
        <v>1830</v>
      </c>
      <c r="B31" s="2127" t="s">
        <v>3058</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26"/>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26"/>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1831</v>
      </c>
      <c r="B34" s="2134" t="s">
        <v>3059</v>
      </c>
      <c r="C34" s="2134" t="s">
        <v>3060</v>
      </c>
      <c r="D34" s="2134" t="s">
        <v>3061</v>
      </c>
      <c r="E34" s="2134" t="s">
        <v>3062</v>
      </c>
      <c r="F34" s="2134" t="s">
        <v>3063</v>
      </c>
      <c r="G34" s="2134" t="s">
        <v>3220</v>
      </c>
      <c r="H34" s="2134" t="s">
        <v>3221</v>
      </c>
      <c r="I34" s="2044"/>
      <c r="J34" s="2044"/>
      <c r="K34" s="1797">
        <f>COUNTIF(B34:H34,"——")</f>
        <v>0</v>
      </c>
      <c r="L34" s="2075" t="s">
        <v>1832</v>
      </c>
      <c r="M34" s="2075" t="s">
        <v>1833</v>
      </c>
      <c r="N34" s="2075" t="s">
        <v>1834</v>
      </c>
      <c r="O34" s="2075" t="s">
        <v>1835</v>
      </c>
      <c r="P34" s="2075" t="s">
        <v>1836</v>
      </c>
      <c r="Q34" s="2075" t="s">
        <v>1837</v>
      </c>
      <c r="R34" s="2075" t="s">
        <v>1838</v>
      </c>
      <c r="S34" s="3020" t="s">
        <v>1839</v>
      </c>
      <c r="T34" s="2135" t="str">
        <f>NUMBERSTRING(7-K34,1)&amp;"通"</f>
        <v>七通</v>
      </c>
      <c r="U34" s="2031"/>
      <c r="V34" s="2031"/>
    </row>
    <row r="35" spans="1:22" ht="18" customHeight="1">
      <c r="A35" s="2136"/>
      <c r="B35" s="3027" t="s">
        <v>1840</v>
      </c>
      <c r="C35" s="3027"/>
      <c r="D35" s="3027"/>
      <c r="E35" s="3027"/>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0"/>
      <c r="T35" s="48" t="str">
        <f>IF(T34="一通",L35,IF(T34="二通",M35,IF(T34="三通",N35,IF(T34="四通",O35,IF(T34="五通",P35,IF(T34="六通",Q35,R35))))))</f>
        <v>通路、通电、通讯、通上水、通下水、通热、燃气</v>
      </c>
      <c r="U35" s="2031"/>
      <c r="V35" s="2031"/>
    </row>
    <row r="36" spans="1:22" ht="18" customHeight="1">
      <c r="A36" s="2138"/>
      <c r="B36" s="2137" t="s">
        <v>1841</v>
      </c>
      <c r="C36" s="2137" t="s">
        <v>1842</v>
      </c>
      <c r="D36" s="2137" t="s">
        <v>1843</v>
      </c>
      <c r="E36" s="2137" t="s">
        <v>1844</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1845</v>
      </c>
      <c r="B37" s="2141"/>
      <c r="C37" s="2141"/>
      <c r="D37" s="2141"/>
      <c r="E37" s="2141" t="s">
        <v>526</v>
      </c>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1846</v>
      </c>
      <c r="B38" s="2143"/>
      <c r="C38" s="2143"/>
      <c r="D38" s="2143"/>
      <c r="E38" s="2143" t="s">
        <v>3064</v>
      </c>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1848</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1849</v>
      </c>
      <c r="B42" s="1797" t="s">
        <v>1850</v>
      </c>
      <c r="C42" s="1797" t="s">
        <v>1851</v>
      </c>
      <c r="D42" s="1797" t="s">
        <v>1852</v>
      </c>
      <c r="E42" s="1797" t="s">
        <v>1853</v>
      </c>
      <c r="F42" s="1797" t="s">
        <v>1854</v>
      </c>
      <c r="G42" s="1797" t="s">
        <v>1855</v>
      </c>
      <c r="H42" s="1797" t="s">
        <v>1856</v>
      </c>
      <c r="I42" s="1797" t="s">
        <v>1857</v>
      </c>
      <c r="J42" s="2153" t="s">
        <v>1858</v>
      </c>
      <c r="K42" s="2076" t="s">
        <v>1859</v>
      </c>
      <c r="L42" s="2076" t="s">
        <v>1860</v>
      </c>
      <c r="M42" s="2076" t="s">
        <v>1861</v>
      </c>
      <c r="N42" s="1797" t="s">
        <v>1862</v>
      </c>
      <c r="O42" s="1797" t="s">
        <v>1863</v>
      </c>
      <c r="P42" s="1797" t="s">
        <v>1864</v>
      </c>
      <c r="Q42" s="2075" t="s">
        <v>1865</v>
      </c>
      <c r="R42" s="2075" t="s">
        <v>1866</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1872</v>
      </c>
      <c r="AZ2" s="1272"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2422.36</v>
      </c>
      <c r="B3" s="14">
        <f>IF(C3="否",G5-AT5,G5)</f>
        <v>6217.83</v>
      </c>
      <c r="C3" s="2169" t="s">
        <v>3052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5"/>
      <c r="C5" s="1805"/>
      <c r="D5" s="1808"/>
      <c r="E5" s="16" t="s">
        <v>1</v>
      </c>
      <c r="F5" s="16">
        <f>SUM(F13:F587)</f>
        <v>0</v>
      </c>
      <c r="G5" s="16">
        <f>SUM(G13:G587)</f>
        <v>6217.83</v>
      </c>
      <c r="H5" s="16">
        <f t="shared" ref="H5:AT5" si="0">SUM(H13:H656)</f>
        <v>6217.83</v>
      </c>
      <c r="I5" s="16">
        <f t="shared" si="0"/>
        <v>6217.83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6217.83</v>
      </c>
      <c r="BA5" s="18">
        <f t="shared" si="1"/>
        <v>6217.83</v>
      </c>
      <c r="BB5" s="18">
        <f t="shared" si="1"/>
        <v>6217.83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2422.36</v>
      </c>
      <c r="F6" s="16" t="s">
        <v>1</v>
      </c>
      <c r="G6" s="16" t="s">
        <v>2</v>
      </c>
      <c r="H6" s="20">
        <f>SUMIF(I$12:AB$12,"总值",I6:AB6)</f>
        <v>2422.36</v>
      </c>
      <c r="I6" s="16">
        <f t="shared" ref="I6:AB6" si="2">ROUND($A$3*I5/$B$3,2)</f>
        <v>2422.36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2422.36</v>
      </c>
      <c r="AZ6" s="16" t="s">
        <v>3</v>
      </c>
      <c r="BA6" s="16">
        <f>ROUND($AY$6*BA5/$AZ$5,2)</f>
        <v>2422.36</v>
      </c>
      <c r="BB6" s="16">
        <f>ROUND($AY$6*BB5/$AZ$5,2)</f>
        <v>2422.36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1884</v>
      </c>
      <c r="AV7" s="23" t="s">
        <v>1885</v>
      </c>
      <c r="AW7" s="2167" t="s">
        <v>1886</v>
      </c>
      <c r="AX7" s="23" t="s">
        <v>1879</v>
      </c>
      <c r="AY7" s="1805"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0"/>
      <c r="K8" s="1820"/>
      <c r="L8" s="1820"/>
      <c r="M8" s="1820"/>
      <c r="N8" s="1820"/>
      <c r="O8" s="1820"/>
      <c r="P8" s="1820"/>
      <c r="Q8" s="1820"/>
      <c r="R8" s="1820"/>
      <c r="S8" s="1820"/>
      <c r="T8" s="1820"/>
      <c r="U8" s="1820"/>
      <c r="V8" s="2187"/>
      <c r="W8" s="1820"/>
      <c r="X8" s="1820"/>
      <c r="Y8" s="1820"/>
      <c r="Z8" s="1820"/>
      <c r="AA8" s="2187"/>
      <c r="AB8" s="2188"/>
      <c r="AC8" s="984" t="s">
        <v>1890</v>
      </c>
      <c r="AD8" s="2189"/>
      <c r="AE8" s="2181"/>
      <c r="AF8" s="1820"/>
      <c r="AG8" s="1820"/>
      <c r="AH8" s="1820"/>
      <c r="AI8" s="1820"/>
      <c r="AJ8" s="1820"/>
      <c r="AK8" s="1820"/>
      <c r="AL8" s="1820"/>
      <c r="AM8" s="1820"/>
      <c r="AN8" s="1820"/>
      <c r="AO8" s="1820"/>
      <c r="AP8" s="1820"/>
      <c r="AQ8" s="1820"/>
      <c r="AR8" s="1820"/>
      <c r="AS8" s="1820"/>
      <c r="AT8" s="1294" t="s">
        <v>1891</v>
      </c>
      <c r="AU8" s="2183" t="s">
        <v>1892</v>
      </c>
      <c r="AV8" s="1294"/>
      <c r="AW8" s="2166"/>
      <c r="AX8" s="1294"/>
      <c r="AY8" s="2167"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1895</v>
      </c>
      <c r="I9" s="2192" t="s">
        <v>3065</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4"/>
      <c r="AT9" s="2183"/>
      <c r="AU9" s="2183" t="s">
        <v>1898</v>
      </c>
      <c r="AV9" s="1294"/>
      <c r="AW9" s="2166"/>
      <c r="AX9" s="1294"/>
      <c r="AY9" s="28"/>
      <c r="AZ9" s="28" t="s">
        <v>1888</v>
      </c>
      <c r="BA9" s="2195" t="s">
        <v>1899</v>
      </c>
      <c r="BB9" s="2196"/>
      <c r="BC9" s="1340"/>
      <c r="BD9" s="1340"/>
      <c r="BE9" s="1340"/>
      <c r="BF9" s="1340"/>
      <c r="BG9" s="1340"/>
      <c r="BH9" s="1340"/>
      <c r="BI9" s="1340"/>
      <c r="BJ9" s="1340"/>
      <c r="BK9" s="2197"/>
      <c r="BL9" s="15" t="s">
        <v>1900</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4"/>
      <c r="AD10" s="15" t="s">
        <v>1901</v>
      </c>
      <c r="AE10" s="2199"/>
      <c r="AF10" s="15" t="s">
        <v>1901</v>
      </c>
      <c r="AG10" s="2199"/>
      <c r="AH10" s="15" t="s">
        <v>1902</v>
      </c>
      <c r="AI10" s="2199"/>
      <c r="AJ10" s="15" t="s">
        <v>1902</v>
      </c>
      <c r="AK10" s="2199"/>
      <c r="AL10" s="15" t="s">
        <v>1903</v>
      </c>
      <c r="AM10" s="1300"/>
      <c r="AN10" s="15" t="s">
        <v>1903</v>
      </c>
      <c r="AO10" s="1300"/>
      <c r="AP10" s="15" t="s">
        <v>1904</v>
      </c>
      <c r="AQ10" s="1300"/>
      <c r="AR10" s="15" t="s">
        <v>1904</v>
      </c>
      <c r="AS10" s="1300"/>
      <c r="AT10" s="2183"/>
      <c r="AU10" s="2183"/>
      <c r="AV10" s="1294"/>
      <c r="AW10" s="2166"/>
      <c r="AX10" s="1294"/>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3227</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1905</v>
      </c>
      <c r="AE11" s="1821"/>
      <c r="AF11" s="2205" t="s">
        <v>1905</v>
      </c>
      <c r="AG11" s="1821"/>
      <c r="AH11" s="2205" t="s">
        <v>1906</v>
      </c>
      <c r="AI11" s="2206"/>
      <c r="AJ11" s="2205" t="s">
        <v>1906</v>
      </c>
      <c r="AK11" s="1821"/>
      <c r="AL11" s="1819"/>
      <c r="AM11" s="1821"/>
      <c r="AN11" s="1819"/>
      <c r="AO11" s="1821"/>
      <c r="AP11" s="1819"/>
      <c r="AQ11" s="1821"/>
      <c r="AR11" s="1819"/>
      <c r="AS11" s="1821"/>
      <c r="AT11" s="2166"/>
      <c r="AU11" s="2183"/>
      <c r="AV11" s="1294"/>
      <c r="AW11" s="2166"/>
      <c r="AX11" s="1294"/>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10"/>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厂房</v>
      </c>
      <c r="BC12" s="2213">
        <f>K11</f>
        <v>0</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3225</v>
      </c>
      <c r="D13" s="2214" t="s">
        <v>3052</v>
      </c>
      <c r="E13" s="16">
        <f>IF($C$3="是",ROUND($A$3*G13/$B$3,2),ROUND($A$3*(G13-AT13)/$B$3,2))</f>
        <v>786.03</v>
      </c>
      <c r="F13" s="32"/>
      <c r="G13" s="33">
        <f>H13+AC13+AT13</f>
        <v>2017.62</v>
      </c>
      <c r="H13" s="20">
        <f>SUMIF(I$12:AB$12,"总值",I13:AB13)</f>
        <v>2017.62</v>
      </c>
      <c r="I13" s="2215">
        <v>2017.62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1幢</v>
      </c>
      <c r="AY13" s="1808">
        <f>ROUND($AY$6*AZ13/$AZ$5,2)</f>
        <v>786.03</v>
      </c>
      <c r="AZ13" s="16">
        <f>BA13+BL13</f>
        <v>2017.62</v>
      </c>
      <c r="BA13" s="16">
        <f>SUM(BB13:BK13)</f>
        <v>2017.62</v>
      </c>
      <c r="BB13" s="16">
        <f>IF($D13="是",I13-J13,0)</f>
        <v>2017.62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3226</v>
      </c>
      <c r="D14" s="2214" t="s">
        <v>3052</v>
      </c>
      <c r="E14" s="16">
        <f>IF($C$3="是",ROUND($A$3*G14/$B$3,2),ROUND($A$3*(G14-AT14)/$B$3,2))</f>
        <v>1636.33</v>
      </c>
      <c r="F14" s="32"/>
      <c r="G14" s="33">
        <f>H14+AC14+AT14</f>
        <v>4200.21</v>
      </c>
      <c r="H14" s="20">
        <f>SUMIF(I$12:AB$12,"总值",I14:AB14)</f>
        <v>4200.21</v>
      </c>
      <c r="I14" s="2215">
        <v>4200.21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2幢</v>
      </c>
      <c r="AY14" s="1808">
        <f>ROUND($AY$6*AZ14/$AZ$5,2)</f>
        <v>1636.33</v>
      </c>
      <c r="AZ14" s="16">
        <f>BA14+BL14</f>
        <v>4200.21</v>
      </c>
      <c r="BA14" s="16">
        <f>SUM(BB14:BK14)</f>
        <v>4200.21</v>
      </c>
      <c r="BB14" s="16">
        <f>IF($D14="是",I14-J14,0)</f>
        <v>4200.21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c r="D15" s="2214" t="s">
        <v>3052</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61" t="s">
        <v>1935</v>
      </c>
      <c r="B2" s="3061"/>
      <c r="C2" s="3061"/>
      <c r="D2" s="970" t="s">
        <v>1911</v>
      </c>
      <c r="E2" s="2228" t="s">
        <v>1912</v>
      </c>
      <c r="F2" s="1394"/>
      <c r="G2" s="2229"/>
      <c r="H2" s="2230"/>
      <c r="I2" s="2231" t="s">
        <v>1936</v>
      </c>
      <c r="J2" s="1394"/>
      <c r="K2" s="1394"/>
      <c r="L2" s="1394"/>
      <c r="M2" s="1394"/>
      <c r="N2" s="1429"/>
      <c r="O2" s="1394"/>
      <c r="P2" s="1394"/>
    </row>
    <row r="3" spans="1:16" ht="15.75" thickBot="1">
      <c r="A3" s="3062" t="s">
        <v>1909</v>
      </c>
      <c r="B3" s="3062"/>
      <c r="C3" s="3062"/>
      <c r="D3" s="46">
        <f>'数据-基础表'!AY6</f>
        <v>2422.36</v>
      </c>
      <c r="E3" s="46">
        <f>'数据-基础表'!AZ5</f>
        <v>6217.83</v>
      </c>
      <c r="F3" s="1394"/>
      <c r="G3" s="1401"/>
      <c r="H3" s="1249" t="s">
        <v>1910</v>
      </c>
      <c r="I3" s="55">
        <f>ROUND('数据-基础表'!B3/'数据-基础表'!A3,2)</f>
        <v>2.57</v>
      </c>
      <c r="J3" s="1394"/>
      <c r="K3" s="1394"/>
      <c r="L3" s="1394"/>
      <c r="M3" s="1394"/>
      <c r="N3" s="1429"/>
      <c r="O3" s="1394"/>
      <c r="P3" s="1394"/>
    </row>
    <row r="4" spans="1:16" ht="15">
      <c r="A4" s="3063"/>
      <c r="B4" s="3064"/>
      <c r="C4" s="3065"/>
      <c r="D4" s="2232" t="s">
        <v>1911</v>
      </c>
      <c r="E4" s="2233" t="s">
        <v>1912</v>
      </c>
      <c r="F4" s="1394"/>
      <c r="G4" s="2234" t="s">
        <v>1937</v>
      </c>
      <c r="H4" s="1249" t="s">
        <v>1917</v>
      </c>
      <c r="I4" s="55">
        <f>ROUND(SUMIF('数据-基础表'!I9:AS9,"地上",'数据-基础表'!I5:AS5)/'数据-基础表'!A3,2)</f>
        <v>2.57</v>
      </c>
      <c r="J4" s="1394"/>
      <c r="K4" s="1394"/>
      <c r="L4" s="1394"/>
      <c r="M4" s="1394"/>
      <c r="N4" s="1429"/>
      <c r="O4" s="1394"/>
      <c r="P4" s="1394"/>
    </row>
    <row r="5" spans="1:16">
      <c r="A5" s="47" t="s">
        <v>1913</v>
      </c>
      <c r="B5" s="3066" t="s">
        <v>1914</v>
      </c>
      <c r="C5" s="3066"/>
      <c r="D5" s="48">
        <f>ROUND($D$3*E5/$E$3,2)</f>
        <v>0</v>
      </c>
      <c r="E5" s="49">
        <f>SUMIF('数据-基础表'!$11:$11,"住宅",'数据-基础表'!$5:$5)</f>
        <v>0</v>
      </c>
      <c r="F5" s="1394"/>
      <c r="G5" s="1401"/>
      <c r="H5" s="1249" t="s">
        <v>1910</v>
      </c>
      <c r="I5" s="55">
        <f>ROUND(E31/D31,2)</f>
        <v>2.57</v>
      </c>
      <c r="J5" s="1394"/>
      <c r="K5" s="1394"/>
      <c r="L5" s="1394"/>
      <c r="M5" s="1394"/>
      <c r="N5" s="1394"/>
      <c r="O5" s="1394"/>
      <c r="P5" s="1394"/>
    </row>
    <row r="6" spans="1:16" ht="15" thickBot="1">
      <c r="A6" s="2235"/>
      <c r="B6" s="3066" t="s">
        <v>1915</v>
      </c>
      <c r="C6" s="3066"/>
      <c r="D6" s="48">
        <f>ROUND($D$3*E6/$E$3,2)</f>
        <v>2422.36</v>
      </c>
      <c r="E6" s="49">
        <f>E3-E5</f>
        <v>6217.83</v>
      </c>
      <c r="F6" s="1394"/>
      <c r="G6" s="2236" t="s">
        <v>1916</v>
      </c>
      <c r="H6" s="1401" t="s">
        <v>1917</v>
      </c>
      <c r="I6" s="942">
        <f>ROUND(F31/D31,2)</f>
        <v>2.57</v>
      </c>
      <c r="J6" s="1394"/>
      <c r="K6" s="1394"/>
      <c r="L6" s="1394"/>
      <c r="M6" s="1394"/>
      <c r="N6" s="1394"/>
      <c r="O6" s="1394"/>
      <c r="P6" s="1394"/>
    </row>
    <row r="7" spans="1:16" ht="15">
      <c r="A7" s="3058"/>
      <c r="B7" s="3059"/>
      <c r="C7" s="3060"/>
      <c r="D7" s="2232" t="s">
        <v>1911</v>
      </c>
      <c r="E7" s="2237" t="s">
        <v>1918</v>
      </c>
      <c r="F7" s="1394"/>
      <c r="G7" s="2229" t="s">
        <v>1919</v>
      </c>
      <c r="H7" s="64"/>
      <c r="I7" s="420"/>
      <c r="J7" s="1394"/>
      <c r="K7" s="1394"/>
      <c r="L7" s="1394"/>
      <c r="M7" s="1394"/>
      <c r="N7" s="1394"/>
      <c r="O7" s="1394"/>
      <c r="P7" s="1394"/>
    </row>
    <row r="8" spans="1:16">
      <c r="A8" s="47" t="s">
        <v>1920</v>
      </c>
      <c r="B8" s="50" t="s">
        <v>1921</v>
      </c>
      <c r="C8" s="48" t="s">
        <v>1922</v>
      </c>
      <c r="D8" s="48">
        <f t="shared" ref="D8:D15" si="0">ROUND($D$3*E8/$E$3,2)</f>
        <v>2422.36</v>
      </c>
      <c r="E8" s="51">
        <f>SUMIF('数据-基础表'!BB10:BK10,"地上",'数据-基础表'!BB5:BK5)</f>
        <v>6217.83</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2422.36</v>
      </c>
      <c r="E16" s="53">
        <f>SUM(E8:E15)</f>
        <v>6217.83</v>
      </c>
      <c r="F16" s="1394"/>
      <c r="G16" s="2238"/>
      <c r="H16" s="2241" t="s">
        <v>1939</v>
      </c>
      <c r="I16" s="2242"/>
      <c r="J16" s="1394"/>
      <c r="K16" s="3055" t="s">
        <v>1939</v>
      </c>
      <c r="L16" s="3056"/>
      <c r="M16" s="3056"/>
      <c r="N16" s="3056"/>
      <c r="O16" s="3056"/>
      <c r="P16" s="3057"/>
    </row>
    <row r="17" spans="1:19" ht="15">
      <c r="A17" s="2243" t="s">
        <v>1940</v>
      </c>
      <c r="B17" s="2244" t="s">
        <v>1941</v>
      </c>
      <c r="C17" s="2245" t="s">
        <v>1942</v>
      </c>
      <c r="D17" s="2246" t="s">
        <v>1930</v>
      </c>
      <c r="E17" s="2247" t="s">
        <v>1931</v>
      </c>
      <c r="F17" s="2248"/>
      <c r="G17" s="2249"/>
      <c r="H17" s="2250" t="s">
        <v>1943</v>
      </c>
      <c r="I17" s="2251" t="s">
        <v>1928</v>
      </c>
      <c r="J17" s="1394"/>
      <c r="K17" s="3052" t="s">
        <v>1944</v>
      </c>
      <c r="L17" s="3053"/>
      <c r="M17" s="3054"/>
      <c r="N17" s="3052" t="s">
        <v>1945</v>
      </c>
      <c r="O17" s="3053"/>
      <c r="P17" s="3054"/>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9" t="s">
        <v>1954</v>
      </c>
      <c r="N18" s="1264" t="s">
        <v>1952</v>
      </c>
      <c r="O18" s="2259" t="s">
        <v>1953</v>
      </c>
      <c r="P18" s="1049" t="s">
        <v>1954</v>
      </c>
      <c r="R18" s="1249" t="s">
        <v>1955</v>
      </c>
      <c r="S18" s="1249" t="s">
        <v>1956</v>
      </c>
    </row>
    <row r="19" spans="1:19">
      <c r="A19" s="2260"/>
      <c r="B19" s="50" t="s">
        <v>1929</v>
      </c>
      <c r="C19" s="2956" t="s">
        <v>3228</v>
      </c>
      <c r="D19" s="48">
        <f>ROUND($D$3*E19/$E$3,2)</f>
        <v>2422.36</v>
      </c>
      <c r="E19" s="56">
        <f t="shared" ref="E19:E26" si="1">SUM(F19:G19)</f>
        <v>6217.83</v>
      </c>
      <c r="F19" s="57">
        <f>'数据-基础表'!G5</f>
        <v>6217.83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2422.36</v>
      </c>
      <c r="S19" s="1250">
        <f t="shared" si="5"/>
        <v>6217.83</v>
      </c>
    </row>
    <row r="20" spans="1:19">
      <c r="A20" s="2264"/>
      <c r="B20" s="50" t="s">
        <v>1957</v>
      </c>
      <c r="C20" s="295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1957</v>
      </c>
      <c r="C21" s="2261"/>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2422.36</v>
      </c>
      <c r="E27" s="1396">
        <f>IF(SUM(E19:E26)='数据-基础表'!BA5,SUM(E19:E26),IF(F27="地上面积有误","面积有误","地下面积有误"))</f>
        <v>6217.83</v>
      </c>
      <c r="F27" s="1395">
        <f>IF(SUM(F19:F26)=E8,SUM(F19:F26),"地上面积有误")</f>
        <v>6217.83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2422.36</v>
      </c>
      <c r="S27" s="1249">
        <f>IF(SUM(S19:S26)=$E$3,SUM(S19:S26),SUM(S19:S26)&amp;"误差"&amp;ROUND(SUM(S19:S26)-E3,2))</f>
        <v>6217.83</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10" t="s">
        <v>1962</v>
      </c>
      <c r="D31" s="729">
        <f>D27+D30</f>
        <v>2422.36</v>
      </c>
      <c r="E31" s="729">
        <f>E27+E30</f>
        <v>6217.83</v>
      </c>
      <c r="F31" s="730">
        <f>F27+F30</f>
        <v>6217.83</v>
      </c>
      <c r="G31" s="731">
        <f>G27+G30</f>
        <v>0</v>
      </c>
      <c r="H31" s="1394"/>
      <c r="I31" s="1394"/>
      <c r="J31" s="1394"/>
      <c r="K31" s="1394"/>
      <c r="L31" s="1394"/>
      <c r="M31" s="1394"/>
      <c r="N31" s="1394"/>
      <c r="O31" s="1394"/>
      <c r="P31" s="1394"/>
    </row>
    <row r="32" spans="1:19">
      <c r="A32" s="2234"/>
      <c r="B32" s="2234" t="s">
        <v>1963</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21"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1965</v>
      </c>
      <c r="B2" s="1268">
        <f>项目基本情况!D3</f>
        <v>43297</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3067</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5" t="s">
        <v>2005</v>
      </c>
      <c r="AP5" s="1251"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工业</v>
      </c>
      <c r="B6" s="2308" t="str">
        <f>IF(A6=0,"","经营性")</f>
        <v>经营性</v>
      </c>
      <c r="C6" s="2309" t="s">
        <v>6</v>
      </c>
      <c r="D6" s="1053">
        <f>SUMIF(项目基本情况!D$12:I$12,C6,项目基本情况!D$14:I$14)</f>
        <v>50</v>
      </c>
      <c r="E6" s="1050">
        <f>IF(B6="","",SUMIF(项目基本情况!D$12:I$12,C6,项目基本情况!D$13:I$13))</f>
        <v>56388</v>
      </c>
      <c r="F6" s="72">
        <f>SUMIF(项目基本情况!D$12:I$12,C6,项目基本情况!D$15:I$15)</f>
        <v>35.86</v>
      </c>
      <c r="G6" s="73">
        <f>IF(ISERROR(ROUND(POWER(1+H6,D6-F6)*(POWER(1+H6,F6)-1)/(POWER(1+H6,D6)-1),3)),0,ROUND(POWER(1+H6,D6-F6)*(POWER(1+H6,F6)-1)/(POWER(1+H6,D6)-1),3))</f>
        <v>0.89300000000000002</v>
      </c>
      <c r="H6" s="802">
        <v>4.4999999999999998E-2</v>
      </c>
      <c r="I6" s="802">
        <v>0.05</v>
      </c>
      <c r="J6" s="74">
        <v>8.5000000000000006E-2</v>
      </c>
      <c r="K6" s="1253">
        <f>SUMIF('数据-汇总表'!C$19:C$33,A6,'数据-汇总表'!E$19:E$33)</f>
        <v>6217.83</v>
      </c>
      <c r="L6" s="2974">
        <v>2000</v>
      </c>
      <c r="M6" s="75">
        <f t="shared" ref="M6:M14" si="0">ROUND(K6*L6/10000,0)</f>
        <v>1244</v>
      </c>
      <c r="N6" s="801">
        <f>ROUND(1-(2018-2004)/60,2)</f>
        <v>0.77</v>
      </c>
      <c r="O6" s="75" t="str">
        <f>IF($N$5="成新度","——",ROUND(M6*N6,0))</f>
        <v>——</v>
      </c>
      <c r="P6" s="76" t="str">
        <f>IF($N$5="成新度","——",M6-O6)</f>
        <v>——</v>
      </c>
      <c r="Q6" s="804">
        <v>0.1</v>
      </c>
      <c r="R6" s="77">
        <f ca="1">SUMIF('数据-汇总表'!C$19:C$33,A6,'数据-汇总表'!R$19:R$27)</f>
        <v>2422.36</v>
      </c>
      <c r="S6" s="54">
        <f>IF('数据-汇总表'!$I$17="按面积比例",SUMIF('数据-汇总表'!C$19:C$33,A6,'数据-汇总表'!K$19:K$33),SUMIF('数据-汇总表'!C$19:C$33,A6,'数据-汇总表'!N$19:N$33))</f>
        <v>0</v>
      </c>
      <c r="T6" s="1445">
        <f>ROUND($L$14*S6/10000,0)</f>
        <v>0</v>
      </c>
      <c r="U6" s="2975">
        <v>1</v>
      </c>
      <c r="V6" s="79">
        <v>0.02</v>
      </c>
      <c r="W6" s="79">
        <v>0.1</v>
      </c>
      <c r="X6" s="1263"/>
      <c r="Y6" s="80">
        <f>N6</f>
        <v>0.77</v>
      </c>
      <c r="Z6" s="81"/>
      <c r="AA6" s="74"/>
      <c r="AB6" s="74"/>
      <c r="AC6" s="1263"/>
      <c r="AD6" s="82"/>
      <c r="AE6" s="1264">
        <f ca="1">IF(AN6="",0,SUMIF(INDIRECT("'"&amp;AN6&amp;"'"&amp;"!E:E"),$AE$5,INDIRECT("'"&amp;AN6&amp;"'"&amp;"!F:F")))</f>
        <v>35.86</v>
      </c>
      <c r="AF6" s="1806"/>
      <c r="AG6" s="147">
        <f>IF(AF6="",0,AE6-AF6)</f>
        <v>0</v>
      </c>
      <c r="AH6" s="83"/>
      <c r="AI6" s="85">
        <v>365</v>
      </c>
      <c r="AJ6" s="86"/>
      <c r="AK6" s="87">
        <v>1.4999999999999999E-2</v>
      </c>
      <c r="AL6" s="88">
        <v>2E-3</v>
      </c>
      <c r="AM6" s="89">
        <v>1.4999999999999999E-2</v>
      </c>
      <c r="AN6" s="2310" t="s">
        <v>3229</v>
      </c>
      <c r="AO6" s="55">
        <f ca="1">SUMIF(INDIRECT("'"&amp;AN6&amp;"'"&amp;"!A:A"),"总价",INDIRECT("'"&amp;AN6&amp;"'"&amp;"!B:B"))</f>
        <v>2930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2013</v>
      </c>
      <c r="B16" s="97"/>
      <c r="C16" s="1008"/>
      <c r="D16" s="2315"/>
      <c r="E16" s="97"/>
      <c r="F16" s="97"/>
      <c r="G16" s="98">
        <f>ROUND(SUMPRODUCT(G6:G13,K6:K13)/SUMPRODUCT((G6:G13&gt;0)*(K6:K13)),3)</f>
        <v>0.89300000000000002</v>
      </c>
      <c r="H16" s="99">
        <f>ROUND(SUMPRODUCT(H6:H13,K6:K13)/SUMPRODUCT((H6:H13&gt;0)*(K6:K13)),3)</f>
        <v>4.4999999999999998E-2</v>
      </c>
      <c r="I16" s="100"/>
      <c r="J16" s="100"/>
      <c r="K16" s="101">
        <f>SUM(K6:K15)</f>
        <v>6217.83</v>
      </c>
      <c r="L16" s="102">
        <f>ROUND(M16*10000/SUM(K6:K14),0)</f>
        <v>2001</v>
      </c>
      <c r="M16" s="102">
        <f>SUM(M6:M14)</f>
        <v>1244</v>
      </c>
      <c r="N16" s="103">
        <f>ROUND(SUMPRODUCT(M6:M14,N6:N14)/M16,3)</f>
        <v>0.77</v>
      </c>
      <c r="O16" s="102">
        <f>SUM(O6:O14)</f>
        <v>0</v>
      </c>
      <c r="P16" s="102">
        <f>SUM(P6:P14)</f>
        <v>0</v>
      </c>
      <c r="Q16" s="104">
        <f>ROUND(SUMPRODUCT(Q6:Q13,K6:K13)/SUMPRODUCT((Q6:Q13&gt;0)*(K6:K13)),2)</f>
        <v>0.1</v>
      </c>
      <c r="R16" s="1257">
        <f ca="1">SUM(R6:R13)</f>
        <v>2422.36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2275"/>
      <c r="AM18" s="2275"/>
    </row>
    <row r="19" spans="1:67" ht="14.25">
      <c r="A19" s="2317" t="s">
        <v>2015</v>
      </c>
      <c r="B19" s="112">
        <v>0</v>
      </c>
      <c r="C19" s="2278" t="s">
        <v>2016</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2017</v>
      </c>
      <c r="B20" s="113">
        <v>2</v>
      </c>
      <c r="C20" s="2278" t="s">
        <v>2018</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2019</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2020</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2021</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2022</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2023</v>
      </c>
      <c r="B26" s="2321" t="s">
        <v>2024</v>
      </c>
      <c r="C26" s="2322" t="s">
        <v>2025</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2026</v>
      </c>
      <c r="B27" s="116">
        <v>160</v>
      </c>
      <c r="C27" s="1766" t="s">
        <v>2027</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v>0</v>
      </c>
      <c r="C29" s="1766" t="s">
        <v>2030</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0.03</v>
      </c>
      <c r="C33" s="1765" t="s">
        <v>2035</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5" t="s">
        <v>2037</v>
      </c>
      <c r="D34" s="2279" t="s">
        <v>2038</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200</v>
      </c>
      <c r="C35" s="1765" t="s">
        <v>2040</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5" t="s">
        <v>2042</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2043</v>
      </c>
      <c r="B37" s="124">
        <v>0.02</v>
      </c>
      <c r="C37" s="1765" t="s">
        <v>2044</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2045</v>
      </c>
      <c r="B38" s="122">
        <v>0.02</v>
      </c>
      <c r="C38" s="1765" t="s">
        <v>2044</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2046</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2047</v>
      </c>
      <c r="B40" s="1302">
        <f ca="1">存贷款利率!G1</f>
        <v>4.7500000000000001E-2</v>
      </c>
      <c r="C40" s="1765" t="s">
        <v>2048</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2049</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2050</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2051</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2052</v>
      </c>
      <c r="B44" s="128">
        <v>0.05</v>
      </c>
      <c r="C44" s="1765" t="s">
        <v>2053</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2054</v>
      </c>
      <c r="B45" s="126">
        <v>0.03</v>
      </c>
      <c r="C45" s="1766" t="s">
        <v>2055</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2056</v>
      </c>
      <c r="B46" s="126">
        <v>0.02</v>
      </c>
      <c r="C46" s="1766" t="s">
        <v>2057</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2058</v>
      </c>
      <c r="B47" s="129">
        <v>0</v>
      </c>
      <c r="C47" s="1766" t="s">
        <v>2059</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2060</v>
      </c>
      <c r="B48" s="130">
        <v>0.03</v>
      </c>
      <c r="C48" s="1773" t="s">
        <v>2061</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2062</v>
      </c>
      <c r="B49" s="126">
        <v>5.0000000000000001E-4</v>
      </c>
      <c r="C49" s="1773" t="s">
        <v>2063</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2064</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2065</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2066</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2067</v>
      </c>
      <c r="B53" s="2337" t="s">
        <v>56</v>
      </c>
      <c r="C53" s="1429" t="s">
        <v>2068</v>
      </c>
      <c r="D53" s="2338" t="s">
        <v>2069</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2070</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2071</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2072</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2073</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2074</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2075</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2076</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2077</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2078</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2079</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67" t="s">
        <v>2080</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5" t="s">
        <v>2083</v>
      </c>
      <c r="B3" s="1270" t="s">
        <v>2084</v>
      </c>
      <c r="C3" s="2371" t="s">
        <v>2085</v>
      </c>
      <c r="D3" s="2372"/>
      <c r="E3" s="431" t="s">
        <v>2083</v>
      </c>
      <c r="F3" s="2373" t="s">
        <v>2086</v>
      </c>
      <c r="G3" s="2961" t="s">
        <v>3183</v>
      </c>
      <c r="H3" s="2369"/>
      <c r="I3" s="2369"/>
      <c r="J3" s="2369"/>
      <c r="K3" s="2369"/>
      <c r="L3" s="2369"/>
      <c r="M3" s="2369"/>
      <c r="N3" s="2369"/>
      <c r="O3" s="2369"/>
      <c r="P3" s="2369"/>
      <c r="Q3" s="2369"/>
      <c r="R3" s="2369"/>
    </row>
    <row r="4" spans="1:29" ht="54">
      <c r="A4" s="431"/>
      <c r="B4" s="1797" t="s">
        <v>2087</v>
      </c>
      <c r="C4" s="2374" t="s">
        <v>2088</v>
      </c>
      <c r="D4" s="2372"/>
      <c r="E4" s="2375"/>
      <c r="F4" s="42" t="s">
        <v>2089</v>
      </c>
      <c r="G4" s="2962" t="s">
        <v>3184</v>
      </c>
      <c r="H4" s="2369"/>
      <c r="I4" s="2369"/>
      <c r="J4" s="2369"/>
      <c r="K4" s="2369"/>
      <c r="L4" s="2369"/>
      <c r="M4" s="2369"/>
      <c r="N4" s="2369"/>
      <c r="O4" s="2369"/>
      <c r="P4" s="2369"/>
      <c r="Q4" s="2369"/>
      <c r="R4" s="2369"/>
    </row>
    <row r="5" spans="1:29" ht="41.25">
      <c r="A5" s="431"/>
      <c r="B5" s="1797" t="s">
        <v>2091</v>
      </c>
      <c r="C5" s="2374" t="s">
        <v>2092</v>
      </c>
      <c r="D5" s="2372"/>
      <c r="E5" s="2375"/>
      <c r="F5" s="1797" t="s">
        <v>2093</v>
      </c>
      <c r="G5" s="2962" t="s">
        <v>3185</v>
      </c>
      <c r="H5" s="2369"/>
      <c r="I5" s="2369"/>
      <c r="J5" s="2369"/>
      <c r="K5" s="2369"/>
      <c r="L5" s="2369"/>
      <c r="M5" s="2369"/>
      <c r="N5" s="2369"/>
      <c r="O5" s="2369"/>
      <c r="P5" s="2369"/>
      <c r="Q5" s="2369"/>
      <c r="R5" s="2369"/>
    </row>
    <row r="6" spans="1:29" ht="54">
      <c r="A6" s="431"/>
      <c r="B6" s="1797" t="s">
        <v>2095</v>
      </c>
      <c r="C6" s="2376" t="s">
        <v>2090</v>
      </c>
      <c r="D6" s="2372"/>
      <c r="E6" s="2375"/>
      <c r="F6" s="1797" t="s">
        <v>2096</v>
      </c>
      <c r="G6" s="2962" t="s">
        <v>3181</v>
      </c>
      <c r="H6" s="2369"/>
      <c r="I6" s="2369"/>
      <c r="J6" s="2369"/>
      <c r="K6" s="2369"/>
      <c r="L6" s="2369"/>
      <c r="M6" s="2369"/>
      <c r="N6" s="2369"/>
      <c r="O6" s="2369"/>
      <c r="P6" s="2369"/>
      <c r="Q6" s="2369"/>
      <c r="R6" s="2369"/>
    </row>
    <row r="7" spans="1:29" ht="41.25" thickBot="1">
      <c r="A7" s="431"/>
      <c r="B7" s="1797" t="s">
        <v>2093</v>
      </c>
      <c r="C7" s="2376" t="s">
        <v>2094</v>
      </c>
      <c r="D7" s="2377"/>
      <c r="E7" s="2378"/>
      <c r="F7" s="2379" t="s">
        <v>2098</v>
      </c>
      <c r="G7" s="2963" t="s">
        <v>3182</v>
      </c>
      <c r="H7" s="2369"/>
      <c r="I7" s="2369"/>
      <c r="J7" s="2369"/>
      <c r="K7" s="2369"/>
      <c r="L7" s="2369"/>
      <c r="M7" s="2369"/>
      <c r="N7" s="2369"/>
      <c r="O7" s="2369"/>
      <c r="P7" s="2369"/>
      <c r="Q7" s="2369"/>
      <c r="R7" s="2369"/>
    </row>
    <row r="8" spans="1:29" ht="27">
      <c r="A8" s="431"/>
      <c r="B8" s="1797" t="s">
        <v>2096</v>
      </c>
      <c r="C8" s="2376" t="s">
        <v>2097</v>
      </c>
      <c r="D8" s="2377"/>
      <c r="E8" s="2377"/>
      <c r="F8" s="1135"/>
      <c r="G8" s="1135"/>
      <c r="H8" s="2369"/>
      <c r="I8" s="2369"/>
      <c r="J8" s="2369"/>
      <c r="K8" s="2369"/>
      <c r="L8" s="2369"/>
      <c r="M8" s="2369"/>
      <c r="N8" s="2369"/>
      <c r="O8" s="2369"/>
      <c r="P8" s="2369"/>
      <c r="Q8" s="2369"/>
      <c r="R8" s="2369"/>
    </row>
    <row r="9" spans="1:29" ht="27">
      <c r="A9" s="431"/>
      <c r="B9" s="1797" t="s">
        <v>2099</v>
      </c>
      <c r="C9" s="2374" t="s">
        <v>2100</v>
      </c>
      <c r="D9" s="2372"/>
      <c r="E9" s="2377"/>
      <c r="F9" s="1135"/>
      <c r="G9" s="1135"/>
      <c r="H9" s="2369"/>
      <c r="I9" s="2369"/>
      <c r="J9" s="2369"/>
      <c r="K9" s="2369"/>
      <c r="L9" s="2369"/>
      <c r="M9" s="2369"/>
      <c r="N9" s="2369"/>
      <c r="O9" s="2369"/>
      <c r="P9" s="2369"/>
      <c r="Q9" s="2369"/>
      <c r="R9" s="2369"/>
    </row>
    <row r="10" spans="1:29" s="117" customFormat="1" ht="15.75" thickBot="1">
      <c r="A10" s="2380"/>
      <c r="B10" s="2381" t="s">
        <v>2101</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2102</v>
      </c>
      <c r="B13" s="2387"/>
      <c r="C13" s="2387"/>
      <c r="D13" s="2394"/>
      <c r="E13" s="2387"/>
      <c r="F13" s="2387"/>
      <c r="G13" s="2387"/>
    </row>
    <row r="14" spans="1:29" ht="15.75" thickBot="1">
      <c r="A14" s="2398"/>
      <c r="B14" s="2399"/>
      <c r="C14" s="2400" t="s">
        <v>2103</v>
      </c>
      <c r="D14" s="2372"/>
      <c r="E14" s="2401"/>
      <c r="F14" s="2401"/>
      <c r="G14" s="2366" t="s">
        <v>2104</v>
      </c>
    </row>
    <row r="15" spans="1:29" ht="57">
      <c r="A15" s="68" t="s">
        <v>2105</v>
      </c>
      <c r="B15" s="1269" t="s">
        <v>2084</v>
      </c>
      <c r="C15" s="2402" t="str">
        <f>C3</f>
        <v>估价对象周边居住用地比例、居住小区规模和社区发展完善程度，综合评价居住社区成熟度一般</v>
      </c>
      <c r="D15" s="2372"/>
      <c r="E15" s="2403" t="s">
        <v>2106</v>
      </c>
      <c r="F15" s="1269" t="s">
        <v>2107</v>
      </c>
      <c r="G15" s="135" t="str">
        <f>G3</f>
        <v>估价对象位于大兴开发区，周边1公里范围内有平客集文华创业园、北京锦秋文化创意产业园等，产业集聚程度较好。</v>
      </c>
    </row>
    <row r="16" spans="1:29" ht="57">
      <c r="A16" s="645"/>
      <c r="B16" s="2404" t="s">
        <v>2087</v>
      </c>
      <c r="C16" s="2405" t="str">
        <f>C4</f>
        <v>估价对象位于XX商圈，周边商业氛围成熟，人流量大，商业繁华度好</v>
      </c>
      <c r="D16" s="2372"/>
      <c r="E16" s="2406"/>
      <c r="F16" s="2407" t="s">
        <v>2089</v>
      </c>
      <c r="G16" s="136" t="str">
        <f>G4</f>
        <v>周边1公里范围内有专67路、954路、兴36路等公交线路，停车便捷度较好，交通便捷度一般。</v>
      </c>
    </row>
    <row r="17" spans="1:18" ht="42.75">
      <c r="A17" s="645"/>
      <c r="B17" s="2404" t="s">
        <v>2091</v>
      </c>
      <c r="C17" s="2405" t="str">
        <f>C5</f>
        <v>估价对象位于XX商圈，周边办公楼项目较多，入驻率高，办公集聚程度较好</v>
      </c>
      <c r="D17" s="2377"/>
      <c r="E17" s="2406"/>
      <c r="F17" s="2407" t="s">
        <v>2108</v>
      </c>
      <c r="G17" s="1571"/>
    </row>
    <row r="18" spans="1:18" ht="57">
      <c r="A18" s="645"/>
      <c r="B18" s="2407" t="s">
        <v>2095</v>
      </c>
      <c r="C18" s="136" t="str">
        <f>C6</f>
        <v>估价对象周边道路状况、公共交通通达情况、停车便捷程度，综合评价交通便捷度较好</v>
      </c>
      <c r="D18" s="2377"/>
      <c r="E18" s="2406"/>
      <c r="F18" s="2407" t="s">
        <v>2098</v>
      </c>
      <c r="G18" s="136" t="str">
        <f>G7</f>
        <v>区域内污染物排放及治理状况一般，周边无危险设施及污染源，环境状况较好。</v>
      </c>
    </row>
    <row r="19" spans="1:18" ht="28.5">
      <c r="A19" s="645"/>
      <c r="B19" s="2407" t="s">
        <v>2109</v>
      </c>
      <c r="C19" s="1571"/>
      <c r="D19" s="2372"/>
      <c r="E19" s="2406"/>
      <c r="F19" s="1797" t="s">
        <v>2093</v>
      </c>
      <c r="G19" s="136" t="str">
        <f>G5</f>
        <v>周边2公里内有银行、超市、餐饮等配套，公共服务设施一般</v>
      </c>
    </row>
    <row r="20" spans="1:18" ht="28.5">
      <c r="A20" s="645"/>
      <c r="B20" s="2407" t="s">
        <v>2110</v>
      </c>
      <c r="C20" s="2405" t="str">
        <f>C9</f>
        <v>区域自然环境：；人文环境；综合评价环境状况一般</v>
      </c>
      <c r="D20" s="2377"/>
      <c r="E20" s="2406"/>
      <c r="F20" s="1797" t="s">
        <v>2111</v>
      </c>
      <c r="G20" s="136" t="str">
        <f>G6</f>
        <v>七通</v>
      </c>
    </row>
    <row r="21" spans="1:18" ht="28.5">
      <c r="A21" s="645"/>
      <c r="B21" s="1797" t="s">
        <v>2093</v>
      </c>
      <c r="C21" s="136" t="str">
        <f>C7</f>
        <v>估价对象所在区域公共配套设施齐备情况</v>
      </c>
      <c r="D21" s="2372"/>
      <c r="E21" s="2406"/>
      <c r="F21" s="2407" t="s">
        <v>2112</v>
      </c>
      <c r="G21" s="2408"/>
    </row>
    <row r="22" spans="1:18" ht="13.5" customHeight="1">
      <c r="A22" s="645"/>
      <c r="B22" s="1797" t="s">
        <v>2096</v>
      </c>
      <c r="C22" s="136" t="str">
        <f>C8</f>
        <v>估价对象所在区域基础设施水平</v>
      </c>
      <c r="D22" s="2372"/>
      <c r="E22" s="2406"/>
      <c r="F22" s="2407" t="s">
        <v>2101</v>
      </c>
      <c r="G22" s="1571"/>
    </row>
    <row r="23" spans="1:18" s="2369"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9"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6217.83</v>
      </c>
      <c r="C1" s="1744"/>
      <c r="D1" s="1744"/>
      <c r="E1" s="1744"/>
      <c r="F1" s="1744"/>
      <c r="G1" s="1742"/>
    </row>
    <row r="2" spans="1:10" ht="16.5">
      <c r="A2" s="1745" t="s">
        <v>1353</v>
      </c>
      <c r="B2" s="1745">
        <f>SUM(C14:C23)</f>
        <v>2422.36</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2470</v>
      </c>
      <c r="C5" s="1745">
        <f ca="1">ROUND(B5*10000/$B$1,0)</f>
        <v>3972</v>
      </c>
      <c r="D5" s="1745">
        <f ca="1">ROUND(B5*10000/$B$2,0)</f>
        <v>10197</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2470</v>
      </c>
      <c r="C7" s="1745">
        <f ca="1">ROUND(B7*10000/$B$1,0)</f>
        <v>3972</v>
      </c>
      <c r="D7" s="1745">
        <f ca="1">ROUND(B7*10000/$B$2,0)</f>
        <v>10197</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6217.83</v>
      </c>
      <c r="C14" s="1743">
        <f>结果表!C118</f>
        <v>2422.36</v>
      </c>
      <c r="D14" s="1743">
        <f ca="1">结果表!H118</f>
        <v>2470</v>
      </c>
      <c r="E14" s="1743">
        <f ca="1">ROUND(D14*10000/B14,0)</f>
        <v>3972</v>
      </c>
      <c r="F14" s="1743">
        <f ca="1">ROUND(D14*10000/C14,0)</f>
        <v>10197</v>
      </c>
      <c r="G14" s="1743" t="str">
        <f>结果表!D122</f>
        <v>——</v>
      </c>
      <c r="H14" s="1743">
        <f ca="1">结果表!D124</f>
        <v>2470</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D124" sqref="D124:I1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2115</v>
      </c>
      <c r="B1" s="2418"/>
      <c r="C1" s="2419"/>
      <c r="D1" s="2418"/>
      <c r="E1" s="2418"/>
      <c r="F1" s="2420" t="s">
        <v>2116</v>
      </c>
      <c r="G1" s="2071" t="s">
        <v>3058</v>
      </c>
      <c r="H1" s="2421" t="str">
        <f>IF(G1="现房","——","估价对象范围")</f>
        <v>——</v>
      </c>
      <c r="I1" s="2422"/>
    </row>
    <row r="2" spans="1:12" ht="21.75" customHeight="1" thickBot="1">
      <c r="A2" s="3099" t="str">
        <f>项目基本情况!S2</f>
        <v>北京市大兴区金苑路32号1幢等2幢工业用房房地产</v>
      </c>
      <c r="B2" s="3100"/>
      <c r="C2" s="3100"/>
      <c r="D2" s="3100"/>
      <c r="E2" s="3100"/>
      <c r="F2" s="3100"/>
      <c r="G2" s="3100"/>
      <c r="H2" s="3100"/>
      <c r="I2" s="3101"/>
    </row>
    <row r="3" spans="1:12" ht="12.75">
      <c r="A3" s="3103" t="s">
        <v>2117</v>
      </c>
      <c r="B3" s="3104"/>
      <c r="C3" s="3104"/>
      <c r="D3" s="3104"/>
      <c r="E3" s="3104"/>
      <c r="F3" s="3104"/>
      <c r="G3" s="3104"/>
      <c r="H3" s="3104"/>
      <c r="I3" s="3104"/>
    </row>
    <row r="4" spans="1:12" ht="14.25">
      <c r="A4" s="2425" t="s">
        <v>2118</v>
      </c>
      <c r="B4" s="2426" t="s">
        <v>2119</v>
      </c>
      <c r="C4" s="2427" t="s">
        <v>3222</v>
      </c>
      <c r="D4" s="2427" t="s">
        <v>3229</v>
      </c>
      <c r="E4" s="3096" t="s">
        <v>2120</v>
      </c>
      <c r="F4" s="3097"/>
      <c r="G4" s="3097"/>
      <c r="H4" s="3097"/>
      <c r="I4" s="310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2" t="s">
        <v>2121</v>
      </c>
      <c r="B5" s="3020">
        <v>25</v>
      </c>
      <c r="C5" s="3105"/>
      <c r="D5" s="3102"/>
      <c r="E5" s="140" t="s">
        <v>2122</v>
      </c>
      <c r="F5" s="2429"/>
      <c r="G5" s="2429"/>
      <c r="H5" s="2429"/>
      <c r="I5" s="1833"/>
    </row>
    <row r="6" spans="1:12" ht="12.75">
      <c r="A6" s="3082"/>
      <c r="B6" s="3020"/>
      <c r="C6" s="3107"/>
      <c r="D6" s="3102"/>
      <c r="E6" s="140" t="s">
        <v>2123</v>
      </c>
      <c r="F6" s="2429"/>
      <c r="G6" s="2429"/>
      <c r="H6" s="2429"/>
      <c r="I6" s="1833"/>
    </row>
    <row r="7" spans="1:12" ht="12.75">
      <c r="A7" s="3082"/>
      <c r="B7" s="3020"/>
      <c r="C7" s="3106"/>
      <c r="D7" s="3102"/>
      <c r="E7" s="140" t="s">
        <v>2124</v>
      </c>
      <c r="F7" s="2429"/>
      <c r="G7" s="2429"/>
      <c r="H7" s="2429"/>
      <c r="I7" s="1833"/>
    </row>
    <row r="8" spans="1:12" ht="12.75">
      <c r="A8" s="3082" t="s">
        <v>2125</v>
      </c>
      <c r="B8" s="3020">
        <v>15</v>
      </c>
      <c r="C8" s="3105"/>
      <c r="D8" s="3102"/>
      <c r="E8" s="140" t="s">
        <v>2126</v>
      </c>
      <c r="F8" s="2429"/>
      <c r="G8" s="2429"/>
      <c r="H8" s="2429"/>
      <c r="I8" s="1833"/>
    </row>
    <row r="9" spans="1:12" ht="12.75">
      <c r="A9" s="3082"/>
      <c r="B9" s="3020"/>
      <c r="C9" s="3106"/>
      <c r="D9" s="3102"/>
      <c r="E9" s="140" t="s">
        <v>2127</v>
      </c>
      <c r="F9" s="2429"/>
      <c r="G9" s="2429"/>
      <c r="H9" s="2429"/>
      <c r="I9" s="1833"/>
    </row>
    <row r="10" spans="1:12" ht="12.75">
      <c r="A10" s="3082" t="s">
        <v>2128</v>
      </c>
      <c r="B10" s="3020">
        <v>15</v>
      </c>
      <c r="C10" s="3105"/>
      <c r="D10" s="3102"/>
      <c r="E10" s="140" t="s">
        <v>2129</v>
      </c>
      <c r="F10" s="2429"/>
      <c r="G10" s="2429"/>
      <c r="H10" s="2429"/>
      <c r="I10" s="1833"/>
    </row>
    <row r="11" spans="1:12" ht="12.75">
      <c r="A11" s="3082"/>
      <c r="B11" s="3020"/>
      <c r="C11" s="3106"/>
      <c r="D11" s="3102"/>
      <c r="E11" s="140" t="s">
        <v>2130</v>
      </c>
      <c r="F11" s="2429"/>
      <c r="G11" s="2429"/>
      <c r="H11" s="2429"/>
      <c r="I11" s="1833"/>
    </row>
    <row r="12" spans="1:12" ht="12.75">
      <c r="A12" s="3082" t="s">
        <v>2131</v>
      </c>
      <c r="B12" s="3020">
        <v>15</v>
      </c>
      <c r="C12" s="3105"/>
      <c r="D12" s="3102"/>
      <c r="E12" s="140" t="s">
        <v>2132</v>
      </c>
      <c r="F12" s="2429"/>
      <c r="G12" s="2429"/>
      <c r="H12" s="2429"/>
      <c r="I12" s="1833"/>
    </row>
    <row r="13" spans="1:12" ht="12.75">
      <c r="A13" s="3082"/>
      <c r="B13" s="3020"/>
      <c r="C13" s="3106"/>
      <c r="D13" s="3102"/>
      <c r="E13" s="140" t="s">
        <v>2133</v>
      </c>
      <c r="F13" s="2429"/>
      <c r="G13" s="2429"/>
      <c r="H13" s="2429"/>
      <c r="I13" s="1833"/>
    </row>
    <row r="14" spans="1:12" ht="12.75" customHeight="1">
      <c r="A14" s="3082" t="s">
        <v>2134</v>
      </c>
      <c r="B14" s="3020">
        <v>30</v>
      </c>
      <c r="C14" s="3303">
        <v>4</v>
      </c>
      <c r="D14" s="3303">
        <v>6</v>
      </c>
      <c r="E14" s="140" t="s">
        <v>2135</v>
      </c>
      <c r="F14" s="2429"/>
      <c r="G14" s="2429"/>
      <c r="H14" s="2429"/>
      <c r="I14" s="1833"/>
    </row>
    <row r="15" spans="1:12" ht="12.75" customHeight="1">
      <c r="A15" s="3082"/>
      <c r="B15" s="3020"/>
      <c r="C15" s="3304"/>
      <c r="D15" s="3304"/>
      <c r="E15" s="140" t="s">
        <v>2136</v>
      </c>
      <c r="F15" s="2429"/>
      <c r="G15" s="2429"/>
      <c r="H15" s="2429"/>
      <c r="I15" s="1833"/>
    </row>
    <row r="16" spans="1:12" ht="12.75" customHeight="1">
      <c r="A16" s="3082"/>
      <c r="B16" s="3020"/>
      <c r="C16" s="3305"/>
      <c r="D16" s="3305"/>
      <c r="E16" s="140" t="s">
        <v>2137</v>
      </c>
      <c r="F16" s="2429"/>
      <c r="G16" s="2429"/>
      <c r="H16" s="2429"/>
      <c r="I16" s="1833"/>
    </row>
    <row r="17" spans="1:35" ht="15">
      <c r="A17" s="2430" t="s">
        <v>2138</v>
      </c>
      <c r="B17" s="64"/>
      <c r="C17" s="141">
        <f>SUM(C5:C16)</f>
        <v>4</v>
      </c>
      <c r="D17" s="141">
        <f>SUM(D5:D16)</f>
        <v>6</v>
      </c>
      <c r="E17" s="138"/>
      <c r="F17" s="138"/>
      <c r="G17" s="138"/>
      <c r="H17" s="138"/>
      <c r="I17" s="138"/>
      <c r="K17" s="2428"/>
      <c r="L17" s="2431" t="s">
        <v>2139</v>
      </c>
      <c r="M17" s="2431" t="s">
        <v>2140</v>
      </c>
    </row>
    <row r="18" spans="1:35" ht="15.75" thickBot="1">
      <c r="A18" s="2432" t="s">
        <v>2141</v>
      </c>
      <c r="B18" s="2433"/>
      <c r="C18" s="142">
        <f>ROUND(C17/SUM(C17:D17),2)</f>
        <v>0.4</v>
      </c>
      <c r="D18" s="142">
        <f>1-C18</f>
        <v>0.6</v>
      </c>
      <c r="E18" s="138"/>
      <c r="F18" s="138"/>
      <c r="G18" s="138"/>
      <c r="H18" s="138"/>
      <c r="I18" s="138"/>
      <c r="K18" s="2428" t="s">
        <v>2142</v>
      </c>
      <c r="L18" s="2428">
        <f>IF(C1="",'数据-汇总表'!E3,SUMIF(项目类型,C1,'数据-汇总表'!E17:E26)+SUMIF(项目类型,C1,'数据-汇总表'!I17:I26))</f>
        <v>6217.83</v>
      </c>
      <c r="M18" s="2428">
        <f>IF(C1="",'数据-汇总表'!E3,SUMIF(项目类型,C1,'数据-汇总表'!E17:E26))</f>
        <v>6217.83</v>
      </c>
    </row>
    <row r="19" spans="1:35" ht="15">
      <c r="A19" s="2434" t="s">
        <v>2143</v>
      </c>
      <c r="B19" s="2435" t="s">
        <v>2144</v>
      </c>
      <c r="C19" s="143">
        <f ca="1">SUMIF(INDIRECT("'"&amp;C4&amp;"'"&amp;"!A:A"),结果表!B19,INDIRECT("'"&amp;C4&amp;"'"&amp;"!B:B"))</f>
        <v>1780</v>
      </c>
      <c r="D19" s="144">
        <f ca="1">SUMIF(INDIRECT("'"&amp;D4&amp;"'"&amp;"!A:A"),结果表!B19,INDIRECT("'"&amp;D4&amp;"'"&amp;"!B:B"))</f>
        <v>2930</v>
      </c>
      <c r="E19" s="2434" t="s">
        <v>2145</v>
      </c>
      <c r="F19" s="2435" t="s">
        <v>2144</v>
      </c>
      <c r="G19" s="145">
        <f ca="1">ROUND(C19*$C$18+D19*$D$18,0)</f>
        <v>2470</v>
      </c>
      <c r="H19" s="2436" t="s">
        <v>2146</v>
      </c>
      <c r="I19" s="138"/>
      <c r="K19" s="2428" t="s">
        <v>2147</v>
      </c>
      <c r="L19" s="2428">
        <f>IF(C1="",'数据-汇总表'!D3,SUMIF(项目类型,C1,'数据-汇总表'!D17:D26)+SUMIF(项目类型,C1,'数据-汇总表'!H17:H27))</f>
        <v>2422.36</v>
      </c>
      <c r="M19" s="2428">
        <f>IF(C1="",'数据-汇总表'!D3,SUMIF(项目类型,C1,'数据-汇总表'!D17:D26))</f>
        <v>2422.36</v>
      </c>
    </row>
    <row r="20" spans="1:35" ht="15">
      <c r="A20" s="2437"/>
      <c r="B20" s="1249" t="s">
        <v>2148</v>
      </c>
      <c r="C20" s="146">
        <f ca="1">SUMIF(INDIRECT("'"&amp;C4&amp;"'"&amp;"!A:A"),结果表!B20,INDIRECT("'"&amp;C4&amp;"'"&amp;"!B:B"))</f>
        <v>2863</v>
      </c>
      <c r="D20" s="147">
        <f ca="1">SUMIF(INDIRECT("'"&amp;D4&amp;"'"&amp;"!A:A"),结果表!B20,INDIRECT("'"&amp;D4&amp;"'"&amp;"!B:B"))</f>
        <v>4712</v>
      </c>
      <c r="E20" s="2437"/>
      <c r="F20" s="1249" t="s">
        <v>2148</v>
      </c>
      <c r="G20" s="148">
        <f ca="1">ROUND(C20*$C$18+D20*$D$18,0)</f>
        <v>3972</v>
      </c>
      <c r="H20" s="983" t="s">
        <v>2149</v>
      </c>
      <c r="I20" s="138"/>
    </row>
    <row r="21" spans="1:35" ht="15" customHeight="1" thickBot="1">
      <c r="A21" s="1003"/>
      <c r="B21" s="2438" t="s">
        <v>2150</v>
      </c>
      <c r="C21" s="789">
        <f ca="1">ROUND(C19*10000/L19,0)</f>
        <v>7348</v>
      </c>
      <c r="D21" s="790">
        <f ca="1">ROUND(D19*10000/L19,0)</f>
        <v>12096</v>
      </c>
      <c r="E21" s="1003"/>
      <c r="F21" s="2438" t="s">
        <v>2150</v>
      </c>
      <c r="G21" s="149">
        <f ca="1">ROUND(G19*10000/L19,0)</f>
        <v>10197</v>
      </c>
      <c r="H21" s="2439" t="s">
        <v>2149</v>
      </c>
      <c r="I21" s="138"/>
    </row>
    <row r="22" spans="1:35" ht="15" thickBot="1">
      <c r="A22" s="2282" t="s">
        <v>2151</v>
      </c>
      <c r="B22" s="2440"/>
      <c r="C22" s="2441"/>
      <c r="D22" s="791">
        <f ca="1">IF(C19&lt;D19,D19/C19-1,C19/D19-1)</f>
        <v>0.64606741573033699</v>
      </c>
      <c r="E22" s="138"/>
      <c r="F22" s="138"/>
      <c r="G22" s="138"/>
      <c r="H22" s="138"/>
      <c r="I22" s="138"/>
    </row>
    <row r="23" spans="1:35" ht="13.5" thickBot="1">
      <c r="A23" s="2418"/>
      <c r="B23" s="2418"/>
      <c r="C23" s="2418"/>
      <c r="D23" s="2418"/>
      <c r="E23" s="138"/>
      <c r="F23" s="138"/>
      <c r="G23" s="138"/>
      <c r="H23" s="138"/>
      <c r="I23" s="138"/>
    </row>
    <row r="24" spans="1:35" ht="14.25">
      <c r="A24" s="3076" t="s">
        <v>2152</v>
      </c>
      <c r="B24" s="2435" t="s">
        <v>2144</v>
      </c>
      <c r="C24" s="145">
        <f>IF(B30=0,0,D30)</f>
        <v>0</v>
      </c>
      <c r="D24" s="2442"/>
      <c r="E24" s="138"/>
      <c r="F24" s="138"/>
      <c r="G24" s="138"/>
      <c r="H24" s="138"/>
      <c r="I24" s="138"/>
    </row>
    <row r="25" spans="1:35" ht="14.25">
      <c r="A25" s="3077"/>
      <c r="B25" s="1249"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2470</v>
      </c>
      <c r="D32" s="2449" t="s">
        <v>2159</v>
      </c>
      <c r="E32" s="138"/>
      <c r="F32" s="138"/>
      <c r="G32" s="138"/>
      <c r="H32" s="138"/>
      <c r="I32" s="138"/>
    </row>
    <row r="33" spans="1:15" ht="15">
      <c r="A33" s="960" t="s">
        <v>2160</v>
      </c>
      <c r="B33" s="2450"/>
      <c r="C33" s="2451" t="s">
        <v>3235</v>
      </c>
      <c r="D33" s="2452" t="s">
        <v>3222</v>
      </c>
      <c r="E33" s="2453" t="s">
        <v>2161</v>
      </c>
      <c r="F33" s="2454" t="str">
        <f>IF(D32="楼面单价","取值（单价）","取值（总价）")</f>
        <v>取值（总价）</v>
      </c>
      <c r="G33" s="138"/>
      <c r="H33" s="138"/>
      <c r="I33" s="138"/>
    </row>
    <row r="34" spans="1:15" ht="15">
      <c r="A34" s="2455"/>
      <c r="B34" s="2456" t="s">
        <v>2162</v>
      </c>
      <c r="C34" s="157">
        <f ca="1">IF(C33="自定义",F34,C32-C35)</f>
        <v>543</v>
      </c>
      <c r="D34" s="1057">
        <f ca="1">IF(C33="自定义",ROUND(C34/C32,3),IF(C33="收益比率",SUMIF(INDIRECT("'"&amp;D33&amp;"'"&amp;"!b:b"),"土地收益比率",INDIRECT("'"&amp;D33&amp;"'"&amp;"!c:c")),SUMIF(INDIRECT("'"&amp;D33&amp;"'"&amp;"!b:b"),"土地成本比率",INDIRECT("'"&amp;D33&amp;"'"&amp;"!c:c"))))</f>
        <v>0.21999999999999997</v>
      </c>
      <c r="E34" s="2457" t="s">
        <v>2163</v>
      </c>
      <c r="F34" s="1738"/>
      <c r="G34" s="138"/>
      <c r="H34" s="138"/>
      <c r="I34" s="138"/>
    </row>
    <row r="35" spans="1:15" ht="15.75" thickBot="1">
      <c r="A35" s="2458"/>
      <c r="B35" s="2459" t="s">
        <v>2164</v>
      </c>
      <c r="C35" s="1443">
        <f ca="1">IF(C33="自定义",F35,ROUND(C32*D35,0))</f>
        <v>1927</v>
      </c>
      <c r="D35" s="1444">
        <f ca="1">IF(C33="自定义",ROUND(C35/C32,3),IF(C33="收益比率",SUMIF(INDIRECT("'"&amp;D33&amp;"'"&amp;"!b:b"),"建筑物收益比率",INDIRECT("'"&amp;D33&amp;"'"&amp;"!c:c")),SUMIF(INDIRECT("'"&amp;D33&amp;"'"&amp;"!b:b"),"建筑物成本比率",INDIRECT("'"&amp;D33&amp;"'"&amp;"!c:c"))))</f>
        <v>0.78</v>
      </c>
      <c r="E35" s="2460" t="s">
        <v>2165</v>
      </c>
      <c r="F35" s="163"/>
      <c r="G35" s="138"/>
      <c r="H35" s="138"/>
      <c r="I35" s="138"/>
    </row>
    <row r="36" spans="1:15" ht="15.75" thickBot="1">
      <c r="A36" s="3091" t="s">
        <v>2166</v>
      </c>
      <c r="B36" s="2461" t="s">
        <v>2167</v>
      </c>
      <c r="C36" s="154"/>
      <c r="D36" s="2462"/>
      <c r="E36" s="2463"/>
      <c r="F36" s="2464"/>
      <c r="G36" s="138"/>
      <c r="H36" s="138"/>
      <c r="I36" s="138"/>
    </row>
    <row r="37" spans="1:15" ht="15.75" thickBot="1">
      <c r="A37" s="3092"/>
      <c r="B37" s="2268" t="s">
        <v>2168</v>
      </c>
      <c r="C37" s="156"/>
      <c r="D37" s="1394"/>
      <c r="E37" s="1394"/>
      <c r="F37" s="2464"/>
      <c r="G37" s="138"/>
      <c r="H37" s="138"/>
      <c r="I37" s="138"/>
    </row>
    <row r="38" spans="1:15" ht="15.75" thickBot="1">
      <c r="A38" s="3093"/>
      <c r="B38" s="2465" t="s">
        <v>2169</v>
      </c>
      <c r="C38" s="727"/>
      <c r="D38" s="2466" t="s">
        <v>2170</v>
      </c>
      <c r="E38" s="1394"/>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073" t="s">
        <v>2180</v>
      </c>
      <c r="B45" s="3074"/>
      <c r="C45" s="3075"/>
      <c r="D45" s="164">
        <f ca="1">ROUND(H101*F45,0)</f>
        <v>2470</v>
      </c>
      <c r="E45" s="165" t="s">
        <v>2181</v>
      </c>
      <c r="F45" s="166">
        <v>1</v>
      </c>
      <c r="G45" s="167" t="s">
        <v>2182</v>
      </c>
      <c r="H45" s="138"/>
      <c r="I45" s="138"/>
      <c r="J45" s="3133" t="s">
        <v>2183</v>
      </c>
      <c r="K45" s="3133"/>
      <c r="L45" s="3133"/>
      <c r="M45" s="3133"/>
      <c r="N45" s="3133"/>
      <c r="O45" s="3133"/>
    </row>
    <row r="46" spans="1:15" ht="14.25" customHeight="1">
      <c r="A46" s="3070" t="s">
        <v>2184</v>
      </c>
      <c r="B46" s="3071"/>
      <c r="C46" s="3071"/>
      <c r="D46" s="3071"/>
      <c r="E46" s="3071"/>
      <c r="F46" s="3071"/>
      <c r="G46" s="3072"/>
      <c r="H46" s="2480"/>
      <c r="I46" s="168"/>
      <c r="J46" s="1811">
        <v>1</v>
      </c>
      <c r="K46" s="3133" t="s">
        <v>2185</v>
      </c>
      <c r="L46" s="3133"/>
      <c r="M46" s="3153"/>
      <c r="N46" s="3153"/>
      <c r="O46" s="3153"/>
    </row>
    <row r="47" spans="1:15" ht="12" customHeight="1">
      <c r="A47" s="169" t="s">
        <v>2186</v>
      </c>
      <c r="B47" s="170"/>
      <c r="C47" s="171"/>
      <c r="D47" s="172" t="s">
        <v>2187</v>
      </c>
      <c r="E47" s="24" t="s">
        <v>2188</v>
      </c>
      <c r="F47" s="173" t="s">
        <v>2189</v>
      </c>
      <c r="G47" s="174" t="s">
        <v>2190</v>
      </c>
      <c r="H47" s="2480"/>
      <c r="I47" s="168"/>
      <c r="J47" s="1811">
        <v>2</v>
      </c>
      <c r="K47" s="3133" t="s">
        <v>2191</v>
      </c>
      <c r="L47" s="3133"/>
      <c r="M47" s="3154">
        <f>'数据-取费表'!B2</f>
        <v>43297</v>
      </c>
      <c r="N47" s="3154"/>
      <c r="O47" s="3154"/>
    </row>
    <row r="48" spans="1:15" ht="25.5">
      <c r="A48" s="3098" t="s">
        <v>2192</v>
      </c>
      <c r="B48" s="3084"/>
      <c r="C48" s="3084"/>
      <c r="D48" s="140">
        <f>IF(H48="情况1",0,IF(H48="情况2",D52,IF(H48="情况3",D53,IF(H48="情况4",D54))))</f>
        <v>0</v>
      </c>
      <c r="E48" s="1800" t="str">
        <f>IF(H48="情况4","(销售额-原购置价)×税（费）率","销售额×税（费）率")</f>
        <v>销售额×税（费）率</v>
      </c>
      <c r="F48" s="175" t="str">
        <f>IF(H48="情况1","免征",'数据-取费表'!B41)</f>
        <v>免征</v>
      </c>
      <c r="G48" s="2481" t="s">
        <v>2193</v>
      </c>
      <c r="H48" s="2482" t="s">
        <v>2194</v>
      </c>
      <c r="I48" s="2480"/>
      <c r="J48" s="1811">
        <v>3</v>
      </c>
      <c r="K48" s="3133" t="s">
        <v>2195</v>
      </c>
      <c r="L48" s="3133"/>
      <c r="M48" s="3155">
        <f ca="1">H101</f>
        <v>2470</v>
      </c>
      <c r="N48" s="3155"/>
      <c r="O48" s="3155"/>
    </row>
    <row r="49" spans="1:35" ht="25.5" customHeight="1">
      <c r="A49" s="176" t="s">
        <v>2196</v>
      </c>
      <c r="B49" s="3069" t="s">
        <v>2197</v>
      </c>
      <c r="C49" s="3069"/>
      <c r="D49" s="177">
        <v>0</v>
      </c>
      <c r="E49" s="23" t="s">
        <v>2198</v>
      </c>
      <c r="F49" s="28" t="s">
        <v>34</v>
      </c>
      <c r="G49" s="3139"/>
      <c r="H49" s="138"/>
      <c r="I49" s="2483"/>
      <c r="J49" s="1811">
        <v>4</v>
      </c>
      <c r="K49" s="3133" t="str">
        <f>IF(项目基本情况!E8="房地产抵押价值","房地产抵押价值","抵押担保权已注销时的房地产抵押价值")</f>
        <v>抵押担保权已注销时的房地产抵押价值</v>
      </c>
      <c r="L49" s="3133"/>
      <c r="M49" s="3155">
        <f ca="1">IF(项目基本情况!E8="房地产抵押价值",H107,H109)</f>
        <v>2470</v>
      </c>
      <c r="N49" s="3155"/>
      <c r="O49" s="3155"/>
    </row>
    <row r="50" spans="1:35" ht="25.5" customHeight="1">
      <c r="A50" s="178"/>
      <c r="B50" s="3069" t="s">
        <v>2199</v>
      </c>
      <c r="C50" s="3069"/>
      <c r="D50" s="179"/>
      <c r="E50" s="31"/>
      <c r="F50" s="180"/>
      <c r="G50" s="3140"/>
      <c r="H50" s="138"/>
      <c r="I50" s="2483"/>
      <c r="J50" s="3133" t="s">
        <v>2200</v>
      </c>
      <c r="K50" s="3133"/>
      <c r="L50" s="3133"/>
      <c r="M50" s="3133"/>
      <c r="N50" s="3133"/>
      <c r="O50" s="3133"/>
    </row>
    <row r="51" spans="1:35" ht="12" customHeight="1">
      <c r="A51" s="181"/>
      <c r="B51" s="3069" t="s">
        <v>2201</v>
      </c>
      <c r="C51" s="3069"/>
      <c r="D51" s="182"/>
      <c r="E51" s="30"/>
      <c r="F51" s="180"/>
      <c r="G51" s="3141"/>
      <c r="H51" s="138"/>
      <c r="I51" s="2483"/>
      <c r="J51" s="2484" t="s">
        <v>2202</v>
      </c>
      <c r="K51" s="3133" t="s">
        <v>2203</v>
      </c>
      <c r="L51" s="3133"/>
      <c r="M51" s="2484" t="s">
        <v>2204</v>
      </c>
      <c r="N51" s="2484" t="s">
        <v>2205</v>
      </c>
      <c r="O51" s="2484" t="s">
        <v>2206</v>
      </c>
    </row>
    <row r="52" spans="1:35" ht="24" customHeight="1">
      <c r="A52" s="183" t="s">
        <v>2207</v>
      </c>
      <c r="B52" s="3069" t="s">
        <v>2208</v>
      </c>
      <c r="C52" s="3069"/>
      <c r="D52" s="182">
        <f ca="1">ROUND(D45*'数据-取费表'!B41/(1+'数据-取费表'!C42),0)</f>
        <v>129</v>
      </c>
      <c r="E52" s="11" t="s">
        <v>2209</v>
      </c>
      <c r="F52" s="184">
        <f>'数据-取费表'!B41</f>
        <v>5.5000000000000007E-2</v>
      </c>
      <c r="G52" s="2485"/>
      <c r="H52" s="138"/>
      <c r="I52" s="2483"/>
      <c r="J52" s="1811">
        <v>1</v>
      </c>
      <c r="K52" s="3134" t="s">
        <v>2210</v>
      </c>
      <c r="L52" s="3134"/>
      <c r="M52" s="1753">
        <f>D48</f>
        <v>0</v>
      </c>
      <c r="N52" s="1811" t="str">
        <f>E48</f>
        <v>销售额×税（费）率</v>
      </c>
      <c r="O52" s="1754" t="str">
        <f>F48</f>
        <v>免征</v>
      </c>
    </row>
    <row r="53" spans="1:35" ht="12" customHeight="1">
      <c r="A53" s="183" t="s">
        <v>2211</v>
      </c>
      <c r="B53" s="3089" t="s">
        <v>2212</v>
      </c>
      <c r="C53" s="3090"/>
      <c r="D53" s="182">
        <f ca="1">ROUND(D45*'数据-取费表'!B41/(1+'数据-取费表'!C42),0)</f>
        <v>129</v>
      </c>
      <c r="E53" s="11" t="s">
        <v>2209</v>
      </c>
      <c r="F53" s="184">
        <f>'数据-取费表'!B41</f>
        <v>5.5000000000000007E-2</v>
      </c>
      <c r="G53" s="2485"/>
      <c r="H53" s="138"/>
      <c r="I53" s="2483"/>
      <c r="J53" s="1811">
        <v>2</v>
      </c>
      <c r="K53" s="3134" t="s">
        <v>2213</v>
      </c>
      <c r="L53" s="3134"/>
      <c r="M53" s="1753">
        <f t="shared" ref="M53:O54" ca="1" si="0">D55</f>
        <v>1</v>
      </c>
      <c r="N53" s="1811" t="str">
        <f t="shared" si="0"/>
        <v>销售额×税（费）率</v>
      </c>
      <c r="O53" s="1754">
        <f t="shared" si="0"/>
        <v>5.0000000000000001E-4</v>
      </c>
    </row>
    <row r="54" spans="1:35" ht="12" customHeight="1">
      <c r="A54" s="183" t="s">
        <v>2214</v>
      </c>
      <c r="B54" s="3089" t="s">
        <v>2215</v>
      </c>
      <c r="C54" s="3090"/>
      <c r="D54" s="182">
        <f ca="1">C68</f>
        <v>129</v>
      </c>
      <c r="E54" s="30" t="s">
        <v>2216</v>
      </c>
      <c r="F54" s="184">
        <f>'数据-取费表'!B41</f>
        <v>5.5000000000000007E-2</v>
      </c>
      <c r="G54" s="2485"/>
      <c r="H54" s="2486"/>
      <c r="I54" s="2483"/>
      <c r="J54" s="1811">
        <v>3</v>
      </c>
      <c r="K54" s="3134" t="s">
        <v>2217</v>
      </c>
      <c r="L54" s="3134"/>
      <c r="M54" s="1753">
        <f t="shared" ca="1" si="0"/>
        <v>1400</v>
      </c>
      <c r="N54" s="1811" t="str">
        <f t="shared" si="0"/>
        <v>增值额×税（费）率</v>
      </c>
      <c r="O54" s="1755" t="str">
        <f t="shared" si="0"/>
        <v>——</v>
      </c>
    </row>
    <row r="55" spans="1:35" ht="24" customHeight="1">
      <c r="A55" s="3083" t="s">
        <v>2218</v>
      </c>
      <c r="B55" s="3084"/>
      <c r="C55" s="3084"/>
      <c r="D55" s="185">
        <f ca="1">IF(H55="个人住宅",0,ROUND(D45*I55,0))</f>
        <v>1</v>
      </c>
      <c r="E55" s="11" t="s">
        <v>2219</v>
      </c>
      <c r="F55" s="184">
        <f>IF(H55="正常",I55,"免征")</f>
        <v>5.0000000000000001E-4</v>
      </c>
      <c r="G55" s="2485"/>
      <c r="H55" s="2482" t="s">
        <v>2220</v>
      </c>
      <c r="I55" s="186">
        <f>'数据-取费表'!B49</f>
        <v>5.0000000000000001E-4</v>
      </c>
      <c r="J55" s="1811" t="str">
        <f>IF(H59="非个人房产","",4)</f>
        <v/>
      </c>
      <c r="K55" s="3134" t="str">
        <f>IF(H59="非个人房产","——","个人所得税")</f>
        <v>——</v>
      </c>
      <c r="L55" s="3134"/>
      <c r="M55" s="1756" t="str">
        <f>D59</f>
        <v>——</v>
      </c>
      <c r="N55" s="1809" t="str">
        <f>E59</f>
        <v>——</v>
      </c>
      <c r="O55" s="1757" t="str">
        <f>F59</f>
        <v>——</v>
      </c>
    </row>
    <row r="56" spans="1:35" ht="24.75">
      <c r="A56" s="3083" t="s">
        <v>2221</v>
      </c>
      <c r="B56" s="3084"/>
      <c r="C56" s="3084"/>
      <c r="D56" s="185">
        <f ca="1">IF(H56="个人住宅",D57,D58)</f>
        <v>1400</v>
      </c>
      <c r="E56" s="11" t="s">
        <v>2222</v>
      </c>
      <c r="F56" s="184" t="str">
        <f>IF(H56="正常",F58,"免征")</f>
        <v>——</v>
      </c>
      <c r="G56" s="2487" t="s">
        <v>2223</v>
      </c>
      <c r="H56" s="2488" t="s">
        <v>2220</v>
      </c>
      <c r="I56" s="2489"/>
      <c r="J56" s="1811" t="str">
        <f>IF(项目基本情况!K6="上海银行",IF(J55="",4,J55+1),"")</f>
        <v/>
      </c>
      <c r="K56" s="3157" t="str">
        <f>IF(项目基本情况!K6="上海银行","其他处置费用","")</f>
        <v/>
      </c>
      <c r="L56" s="3158"/>
      <c r="M56" s="1753" t="str">
        <f>IF(项目基本情况!K6="上海银行",M69,"")</f>
        <v/>
      </c>
      <c r="N56" s="3160" t="str">
        <f>IF(项目基本情况!K6="上海银行","包含处置中涉及的律师、诉讼、拍卖、评估等费用","")</f>
        <v/>
      </c>
      <c r="O56" s="3161"/>
    </row>
    <row r="57" spans="1:35" ht="12.75">
      <c r="A57" s="183" t="s">
        <v>2196</v>
      </c>
      <c r="B57" s="3096" t="s">
        <v>2224</v>
      </c>
      <c r="C57" s="3108"/>
      <c r="D57" s="187">
        <v>0</v>
      </c>
      <c r="E57" s="23" t="s">
        <v>2198</v>
      </c>
      <c r="F57" s="155"/>
      <c r="G57" s="2485"/>
      <c r="H57" s="2489"/>
      <c r="I57" s="2489"/>
      <c r="J57" s="3134">
        <f>IF(AND(J55="",J56=""),4,IF(项目基本情况!K6="上海银行",结果表!J56+1,结果表!J55+1))</f>
        <v>4</v>
      </c>
      <c r="K57" s="3134" t="s">
        <v>2225</v>
      </c>
      <c r="L57" s="2490" t="s">
        <v>2226</v>
      </c>
      <c r="M57" s="1758"/>
      <c r="N57" s="1759">
        <f ca="1">SUMIF(M52:M56,"&lt;9e307")</f>
        <v>1401</v>
      </c>
      <c r="O57" s="2491"/>
      <c r="P57" s="1752">
        <f ca="1">N57/M49</f>
        <v>0.56720647773279353</v>
      </c>
    </row>
    <row r="58" spans="1:35" ht="24.75">
      <c r="A58" s="183" t="s">
        <v>2207</v>
      </c>
      <c r="B58" s="3096" t="s">
        <v>2227</v>
      </c>
      <c r="C58" s="3097"/>
      <c r="D58" s="185">
        <f ca="1">IF(H58="转让取得",C81,C97)</f>
        <v>1400</v>
      </c>
      <c r="E58" s="11" t="s">
        <v>2222</v>
      </c>
      <c r="F58" s="24" t="s">
        <v>34</v>
      </c>
      <c r="G58" s="2485"/>
      <c r="H58" s="2488" t="s">
        <v>2228</v>
      </c>
      <c r="I58" s="2489"/>
      <c r="J58" s="3134"/>
      <c r="K58" s="3134"/>
      <c r="L58" s="2490" t="s">
        <v>2229</v>
      </c>
      <c r="M58" s="1760"/>
      <c r="N58" s="2492" t="str">
        <f ca="1">NUMBERSTRING(INT(N57*10000),2)&amp;"元整"</f>
        <v>壹仟肆佰零壹万元整</v>
      </c>
      <c r="O58" s="2493"/>
    </row>
    <row r="59" spans="1:35" ht="24.75" thickBot="1">
      <c r="A59" s="3137" t="s">
        <v>2230</v>
      </c>
      <c r="B59" s="3138"/>
      <c r="C59" s="3138"/>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135">
        <f>J57+1</f>
        <v>5</v>
      </c>
      <c r="K59" s="3134" t="s">
        <v>2232</v>
      </c>
      <c r="L59" s="1811" t="s">
        <v>2226</v>
      </c>
      <c r="M59" s="1761"/>
      <c r="N59" s="1762">
        <f ca="1">M49-N57</f>
        <v>1069</v>
      </c>
      <c r="O59" s="2495"/>
    </row>
    <row r="60" spans="1:35" ht="12" customHeight="1">
      <c r="A60" s="2496"/>
      <c r="B60" s="2418"/>
      <c r="C60" s="2418"/>
      <c r="D60" s="2418"/>
      <c r="E60" s="2167"/>
      <c r="F60" s="2489"/>
      <c r="G60" s="2489"/>
      <c r="H60" s="2497"/>
      <c r="I60" s="138"/>
      <c r="J60" s="3136"/>
      <c r="K60" s="3134"/>
      <c r="L60" s="2490" t="s">
        <v>2229</v>
      </c>
      <c r="M60" s="1760"/>
      <c r="N60" s="2492" t="str">
        <f ca="1">NUMBERSTRING(INT(N59*10000),2)&amp;"元整"</f>
        <v>壹仟零陆拾玖万元整</v>
      </c>
      <c r="O60" s="2493"/>
    </row>
    <row r="61" spans="1:35" ht="13.5" thickBot="1">
      <c r="A61" s="3081" t="s">
        <v>2233</v>
      </c>
      <c r="B61" s="3081"/>
      <c r="C61" s="3081"/>
      <c r="D61" s="3081"/>
      <c r="E61" s="3081"/>
      <c r="F61" s="2489"/>
      <c r="G61" s="2489"/>
      <c r="H61" s="2497"/>
      <c r="I61" s="138"/>
      <c r="J61" s="1811">
        <f>J59+1</f>
        <v>6</v>
      </c>
      <c r="K61" s="3134" t="s">
        <v>2234</v>
      </c>
      <c r="L61" s="3134"/>
      <c r="M61" s="1763"/>
      <c r="N61" s="1764">
        <f ca="1">ROUND(N59*10000/'数据-汇总表'!E3,0)</f>
        <v>1719</v>
      </c>
      <c r="O61" s="2498"/>
    </row>
    <row r="62" spans="1:35" ht="12.75">
      <c r="A62" s="3094" t="s">
        <v>2235</v>
      </c>
      <c r="B62" s="3095"/>
      <c r="C62" s="1803"/>
      <c r="D62" s="1803" t="s">
        <v>2236</v>
      </c>
      <c r="E62" s="192" t="s">
        <v>2237</v>
      </c>
      <c r="F62" s="2489"/>
      <c r="G62" s="2489"/>
      <c r="H62" s="2497"/>
      <c r="I62" s="138"/>
    </row>
    <row r="63" spans="1:35" ht="12.75">
      <c r="A63" s="203" t="s">
        <v>775</v>
      </c>
      <c r="B63" s="193" t="s">
        <v>2238</v>
      </c>
      <c r="C63" s="194">
        <f ca="1">ROUND((C64+C65)/(1+'数据-取费表'!C42),0)</f>
        <v>2352</v>
      </c>
      <c r="D63" s="195"/>
      <c r="E63" s="196"/>
      <c r="F63" s="2489"/>
      <c r="G63" s="2489"/>
      <c r="H63" s="2497"/>
      <c r="I63" s="138"/>
      <c r="J63" s="3159" t="s">
        <v>2239</v>
      </c>
      <c r="K63" s="2499" t="s">
        <v>2240</v>
      </c>
      <c r="L63" s="1751">
        <f ca="1">IF(M49&gt;10000,M49*0.5%,IF(AND(M49&gt;1000,M49&lt;=10000),M49*1%,IF(AND(M49&gt;100,M49&lt;=1000),M49*3%,IF(AND(M49&gt;10,M49&lt;=100),M49*5%,M49*8%))))</f>
        <v>24.7</v>
      </c>
      <c r="M63" s="24">
        <f ca="1">ROUND(L63,1)</f>
        <v>24.7</v>
      </c>
      <c r="Z63" s="2423"/>
      <c r="AI63" s="2424"/>
    </row>
    <row r="64" spans="1:35" ht="14.25" customHeight="1">
      <c r="A64" s="197" t="s">
        <v>770</v>
      </c>
      <c r="B64" s="198" t="s">
        <v>2241</v>
      </c>
      <c r="C64" s="199">
        <f ca="1">D45</f>
        <v>2470</v>
      </c>
      <c r="D64" s="200" t="s">
        <v>32</v>
      </c>
      <c r="E64" s="201"/>
      <c r="F64" s="2489"/>
      <c r="G64" s="2489"/>
      <c r="H64" s="2497"/>
      <c r="I64" s="138"/>
      <c r="J64" s="3159"/>
      <c r="K64" s="2499" t="s">
        <v>2242</v>
      </c>
      <c r="L64" s="1751">
        <f ca="1">IF(M49&gt;2000,M49*0.5%,IF(AND(M49&gt;1000,M49&lt;=2000),M49*0.6%,IF(AND(M49&gt;500,M49&lt;=1000),M49*0.7%,IF(AND(M49&gt;200,M49&lt;=500),M49*0.8%,IF(AND(M49&gt;100,M49&lt;=200),M49*0.9%,IF(AND(M49&gt;50,M49&lt;=100),M49*1%,IF(AND(M49&gt;20,M49&lt;=50),M49*1.5%,IF(AND(M49&gt;10,M49&lt;=20),M49*2%,IF(AND(M49&gt;1,M49&lt;=10),M49*2.5%)))))))))</f>
        <v>12.35</v>
      </c>
      <c r="M64" s="24">
        <f t="shared" ref="M64:M65" ca="1" si="1">ROUND(L64,1)</f>
        <v>12.4</v>
      </c>
      <c r="N64" s="138" t="s">
        <v>2243</v>
      </c>
      <c r="Z64" s="2423"/>
      <c r="AI64" s="2424"/>
    </row>
    <row r="65" spans="1:35" ht="14.25" customHeight="1">
      <c r="A65" s="197" t="s">
        <v>771</v>
      </c>
      <c r="B65" s="198" t="s">
        <v>2244</v>
      </c>
      <c r="C65" s="202"/>
      <c r="D65" s="200"/>
      <c r="E65" s="201"/>
      <c r="F65" s="2489"/>
      <c r="G65" s="2489"/>
      <c r="H65" s="2497"/>
      <c r="I65" s="138"/>
      <c r="J65" s="3159"/>
      <c r="K65" s="2499" t="s">
        <v>2245</v>
      </c>
      <c r="L65" s="1751">
        <f ca="1">IF(M49&gt;1000,M49*0.1%,IF(AND(M49&gt;500,M49&lt;=1000),M49*0.5%,IF(AND(M49&gt;50,M49&lt;=500),M49*1%,IF(AND(M49&gt;1,M49&lt;=50),M49*1.5%))))</f>
        <v>2.4700000000000002</v>
      </c>
      <c r="M65" s="24">
        <f t="shared" ca="1" si="1"/>
        <v>2.5</v>
      </c>
      <c r="N65" s="138" t="s">
        <v>2243</v>
      </c>
      <c r="Z65" s="2423"/>
      <c r="AI65" s="2424"/>
    </row>
    <row r="66" spans="1:35" ht="14.25" customHeight="1">
      <c r="A66" s="203" t="s">
        <v>772</v>
      </c>
      <c r="B66" s="204" t="s">
        <v>2246</v>
      </c>
      <c r="C66" s="205"/>
      <c r="D66" s="206" t="s">
        <v>32</v>
      </c>
      <c r="E66" s="1775" t="s">
        <v>1371</v>
      </c>
      <c r="F66" s="2489"/>
      <c r="G66" s="2489"/>
      <c r="H66" s="2497"/>
      <c r="I66" s="138"/>
      <c r="J66" s="3159"/>
      <c r="K66" s="2499" t="s">
        <v>2247</v>
      </c>
      <c r="L66" s="1751">
        <f ca="1">M49*0.5%</f>
        <v>12.35</v>
      </c>
      <c r="M66" s="24">
        <f ca="1">IF(L66&gt;0.5,0.5,ROUND(L66,0))</f>
        <v>0.5</v>
      </c>
      <c r="N66" s="138" t="s">
        <v>2248</v>
      </c>
      <c r="Z66" s="2423"/>
      <c r="AI66" s="2424"/>
    </row>
    <row r="67" spans="1:35" ht="14.25" customHeight="1">
      <c r="A67" s="203" t="s">
        <v>773</v>
      </c>
      <c r="B67" s="204" t="s">
        <v>2249</v>
      </c>
      <c r="C67" s="207">
        <f ca="1">C63-C66</f>
        <v>2352</v>
      </c>
      <c r="D67" s="200" t="s">
        <v>32</v>
      </c>
      <c r="E67" s="201"/>
      <c r="F67" s="2489"/>
      <c r="G67" s="2489"/>
      <c r="H67" s="2497"/>
      <c r="I67" s="138"/>
      <c r="J67" s="3159"/>
      <c r="K67" s="2499" t="s">
        <v>2250</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2251</v>
      </c>
      <c r="C68" s="210">
        <f ca="1">IF(C67&lt;=0,0,ROUND(C67*D68,0))</f>
        <v>129</v>
      </c>
      <c r="D68" s="211">
        <f>'数据-取费表'!B41</f>
        <v>5.5000000000000007E-2</v>
      </c>
      <c r="E68" s="212"/>
      <c r="F68" s="2489"/>
      <c r="G68" s="2489"/>
      <c r="H68" s="2497"/>
      <c r="I68" s="138"/>
      <c r="J68" s="3159"/>
      <c r="K68" s="2499" t="s">
        <v>2252</v>
      </c>
      <c r="L68" s="1751">
        <f ca="1">IF(M49&gt;10000,M49*0.5%,IF(AND(M49&gt;5000,M49&lt;=10000),M49*1%,IF(AND(M49&gt;1000,M49&lt;=5000),M49*2%,IF(AND(M49&gt;200,M49&lt;=1000),M49*3%,M49*5%))))</f>
        <v>49.4</v>
      </c>
      <c r="M68" s="24">
        <f ca="1">ROUND(L68,1)</f>
        <v>49.4</v>
      </c>
      <c r="Z68" s="2423"/>
      <c r="AI68" s="2424"/>
    </row>
    <row r="69" spans="1:35" s="2446" customFormat="1" ht="16.5" customHeight="1">
      <c r="A69" s="2500"/>
      <c r="B69" s="2501"/>
      <c r="C69" s="2502"/>
      <c r="D69" s="2503"/>
      <c r="E69" s="2504"/>
      <c r="F69" s="2167"/>
      <c r="G69" s="2167"/>
      <c r="H69" s="2166"/>
      <c r="I69" s="2418"/>
      <c r="J69" s="3159"/>
      <c r="K69" s="2499" t="s">
        <v>2253</v>
      </c>
      <c r="L69" s="2505"/>
      <c r="M69" s="24">
        <f ca="1">ROUND(SUM(M63:M68),0)</f>
        <v>92</v>
      </c>
      <c r="N69" s="1752">
        <f ca="1">M69/M49</f>
        <v>3.724696356275304E-2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8" t="s">
        <v>2254</v>
      </c>
      <c r="B70" s="3119"/>
      <c r="C70" s="3119"/>
      <c r="D70" s="3119"/>
      <c r="E70" s="3119"/>
      <c r="F70" s="3119"/>
      <c r="G70" s="3119"/>
      <c r="H70" s="311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4" t="s">
        <v>2235</v>
      </c>
      <c r="B71" s="3095"/>
      <c r="C71" s="1803"/>
      <c r="D71" s="1803"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2352</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12</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089" t="s">
        <v>2263</v>
      </c>
      <c r="F76" s="3069"/>
      <c r="G76" s="3069"/>
      <c r="H76" s="311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3" t="s">
        <v>2266</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12</v>
      </c>
      <c r="D78" s="226">
        <f>'数据-取费表'!B43</f>
        <v>5.000000000000001E-3</v>
      </c>
      <c r="E78" s="3078" t="s">
        <v>2268</v>
      </c>
      <c r="F78" s="3079"/>
      <c r="G78" s="3079"/>
      <c r="H78" s="308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2340</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1400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8" t="s">
        <v>2272</v>
      </c>
      <c r="B83" s="3119"/>
      <c r="C83" s="3119"/>
      <c r="D83" s="3119"/>
      <c r="E83" s="3119"/>
      <c r="F83" s="3119"/>
      <c r="G83" s="3119"/>
      <c r="H83" s="311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4" t="s">
        <v>2235</v>
      </c>
      <c r="B84" s="3095"/>
      <c r="C84" s="1803"/>
      <c r="D84" s="1803"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2352</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12</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799"/>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078" t="s">
        <v>2281</v>
      </c>
      <c r="F91" s="3079"/>
      <c r="G91" s="3079"/>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078" t="s">
        <v>2285</v>
      </c>
      <c r="F92" s="3079"/>
      <c r="G92" s="3079"/>
      <c r="H92" s="308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12</v>
      </c>
      <c r="D93" s="226">
        <f>'数据-取费表'!B43</f>
        <v>5.000000000000001E-3</v>
      </c>
      <c r="E93" s="3078" t="s">
        <v>2268</v>
      </c>
      <c r="F93" s="3079"/>
      <c r="G93" s="3079"/>
      <c r="H93" s="308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086" t="s">
        <v>2289</v>
      </c>
      <c r="F94" s="3087"/>
      <c r="G94" s="3087"/>
      <c r="H94" s="308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2340</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1400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2290</v>
      </c>
      <c r="B99" s="2418"/>
      <c r="C99" s="2418"/>
      <c r="D99" s="2418"/>
      <c r="E99" s="2167"/>
      <c r="F99" s="2167"/>
      <c r="G99" s="2167"/>
      <c r="H99" s="2166"/>
      <c r="I99" s="138"/>
    </row>
    <row r="100" spans="1:35" ht="18.75" customHeight="1">
      <c r="A100" s="3063" t="s">
        <v>2291</v>
      </c>
      <c r="B100" s="3064"/>
      <c r="C100" s="3064"/>
      <c r="D100" s="3080"/>
      <c r="E100" s="3064" t="s">
        <v>2292</v>
      </c>
      <c r="F100" s="3064"/>
      <c r="G100" s="3064"/>
      <c r="H100" s="3080"/>
      <c r="I100" s="138"/>
    </row>
    <row r="101" spans="1:35" ht="18.75" customHeight="1">
      <c r="A101" s="3142" t="s">
        <v>2293</v>
      </c>
      <c r="B101" s="3143"/>
      <c r="C101" s="736" t="str">
        <f>C4</f>
        <v>成本法</v>
      </c>
      <c r="D101" s="737" t="str">
        <f>D4</f>
        <v>收益法</v>
      </c>
      <c r="E101" s="3156" t="s">
        <v>2294</v>
      </c>
      <c r="F101" s="3110"/>
      <c r="G101" s="2520" t="s">
        <v>2295</v>
      </c>
      <c r="H101" s="1048">
        <f ca="1">H118</f>
        <v>2470</v>
      </c>
      <c r="I101" s="138"/>
    </row>
    <row r="102" spans="1:35" ht="18.75" customHeight="1">
      <c r="A102" s="3112" t="s">
        <v>2296</v>
      </c>
      <c r="B102" s="2520" t="s">
        <v>2295</v>
      </c>
      <c r="C102" s="736">
        <f ca="1">C19</f>
        <v>1780</v>
      </c>
      <c r="D102" s="737">
        <f ca="1">D19</f>
        <v>2930</v>
      </c>
      <c r="E102" s="3156"/>
      <c r="F102" s="3110"/>
      <c r="G102" s="2520" t="s">
        <v>2297</v>
      </c>
      <c r="H102" s="371">
        <f ca="1">I118</f>
        <v>3972</v>
      </c>
      <c r="I102" s="138"/>
    </row>
    <row r="103" spans="1:35" ht="42.75" customHeight="1">
      <c r="A103" s="3112"/>
      <c r="B103" s="2520" t="s">
        <v>2297</v>
      </c>
      <c r="C103" s="738">
        <f ca="1">C20</f>
        <v>2863</v>
      </c>
      <c r="D103" s="739">
        <f ca="1">D20</f>
        <v>4712</v>
      </c>
      <c r="E103" s="3151" t="s">
        <v>2298</v>
      </c>
      <c r="F103" s="3152"/>
      <c r="G103" s="2521" t="s">
        <v>2299</v>
      </c>
      <c r="H103" s="1048">
        <f>IF(D36="正常操作",H104+H105+H106,H105+H106)</f>
        <v>0</v>
      </c>
      <c r="I103" s="138"/>
    </row>
    <row r="104" spans="1:35" ht="18.75" customHeight="1">
      <c r="A104" s="3112" t="s">
        <v>2300</v>
      </c>
      <c r="B104" s="2522" t="s">
        <v>2295</v>
      </c>
      <c r="C104" s="740">
        <f ca="1">H118</f>
        <v>2470</v>
      </c>
      <c r="D104" s="741"/>
      <c r="E104" s="2268" t="s">
        <v>2301</v>
      </c>
      <c r="F104" s="2259"/>
      <c r="G104" s="2521" t="s">
        <v>2299</v>
      </c>
      <c r="H104" s="1049">
        <f>IF(D36="同一抵押权人同一抵押物续贷",C36&amp;"（未扣减，详见特别提示）",C36)</f>
        <v>0</v>
      </c>
      <c r="I104" s="138"/>
    </row>
    <row r="105" spans="1:35" ht="18.75" customHeight="1" thickBot="1">
      <c r="A105" s="3113"/>
      <c r="B105" s="2523" t="s">
        <v>2297</v>
      </c>
      <c r="C105" s="742">
        <f ca="1">I118</f>
        <v>3972</v>
      </c>
      <c r="D105" s="743"/>
      <c r="E105" s="2268" t="s">
        <v>2302</v>
      </c>
      <c r="F105" s="2259"/>
      <c r="G105" s="2521" t="s">
        <v>2299</v>
      </c>
      <c r="H105" s="1049">
        <f>C37</f>
        <v>0</v>
      </c>
      <c r="I105" s="138"/>
    </row>
    <row r="106" spans="1:35" ht="18.75" customHeight="1">
      <c r="A106" s="2418" t="s">
        <v>2303</v>
      </c>
      <c r="B106" s="2418"/>
      <c r="C106" s="2418"/>
      <c r="D106" s="2418"/>
      <c r="E106" s="2524" t="s">
        <v>2304</v>
      </c>
      <c r="F106" s="2259"/>
      <c r="G106" s="2521" t="s">
        <v>2299</v>
      </c>
      <c r="H106" s="1049">
        <f>C38</f>
        <v>0</v>
      </c>
      <c r="I106" s="138"/>
    </row>
    <row r="107" spans="1:35" ht="18.75" customHeight="1">
      <c r="A107" s="138"/>
      <c r="B107" s="138"/>
      <c r="C107" s="138"/>
      <c r="D107" s="138"/>
      <c r="E107" s="3109" t="str">
        <f>IF(项目基本情况!E8="已注销","——","3.房地产抵押价值")</f>
        <v>——</v>
      </c>
      <c r="F107" s="3110"/>
      <c r="G107" s="2520" t="s">
        <v>2295</v>
      </c>
      <c r="H107" s="1048" t="str">
        <f>IF(E107="——","——",H101-H103)</f>
        <v>——</v>
      </c>
      <c r="I107" s="138"/>
    </row>
    <row r="108" spans="1:35" ht="18.75" customHeight="1">
      <c r="A108" s="138"/>
      <c r="B108" s="138"/>
      <c r="C108" s="138"/>
      <c r="D108" s="138"/>
      <c r="E108" s="3109"/>
      <c r="F108" s="3110"/>
      <c r="G108" s="2520" t="s">
        <v>2297</v>
      </c>
      <c r="H108" s="371" t="e">
        <f>ROUND(H107*10000/'数据-汇总表'!E3,0)</f>
        <v>#VALUE!</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3.抵押担保权已注销时的房地产抵押价值</v>
      </c>
      <c r="F109" s="3110"/>
      <c r="G109" s="2520" t="s">
        <v>2295</v>
      </c>
      <c r="H109" s="348">
        <f ca="1">IF(E109="——","——",H101-H105-H106)</f>
        <v>2470</v>
      </c>
      <c r="I109" s="138"/>
    </row>
    <row r="110" spans="1:35" ht="18.75" customHeight="1">
      <c r="A110" s="138"/>
      <c r="B110" s="138"/>
      <c r="C110" s="138"/>
      <c r="D110" s="138"/>
      <c r="E110" s="3109"/>
      <c r="F110" s="3110"/>
      <c r="G110" s="2520" t="s">
        <v>2297</v>
      </c>
      <c r="H110" s="371">
        <f ca="1">IF(H109="——","——",ROUND(H109*10000/'数据-汇总表'!E3,0))</f>
        <v>3972</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20" t="s">
        <v>2295</v>
      </c>
      <c r="H111" s="1048" t="str">
        <f>IF(E111="——","——",N59)</f>
        <v>——</v>
      </c>
      <c r="I111" s="138"/>
    </row>
    <row r="112" spans="1:35" ht="18.75" customHeight="1" thickBot="1">
      <c r="A112" s="138"/>
      <c r="B112" s="138"/>
      <c r="C112" s="138"/>
      <c r="D112" s="138"/>
      <c r="E112" s="3146"/>
      <c r="F112" s="3147"/>
      <c r="G112" s="2525" t="s">
        <v>2297</v>
      </c>
      <c r="H112" s="790" t="str">
        <f>IF(E111="——","——",N61)</f>
        <v>——</v>
      </c>
      <c r="I112" s="138"/>
    </row>
    <row r="113" spans="1:11" ht="18.75" customHeight="1">
      <c r="A113" s="138"/>
      <c r="B113" s="138"/>
      <c r="C113" s="138"/>
      <c r="D113" s="138"/>
      <c r="E113" s="3114" t="s">
        <v>2303</v>
      </c>
      <c r="F113" s="3114"/>
      <c r="G113" s="3114"/>
      <c r="H113" s="3114"/>
      <c r="I113" s="138"/>
    </row>
    <row r="114" spans="1:11" ht="3.75" customHeight="1">
      <c r="A114" s="2418"/>
      <c r="B114" s="2418"/>
      <c r="C114" s="2418"/>
      <c r="D114" s="2418"/>
      <c r="E114" s="2496"/>
      <c r="F114" s="2496"/>
      <c r="G114" s="2496"/>
      <c r="H114" s="2496"/>
      <c r="I114" s="2418"/>
    </row>
    <row r="115" spans="1:11" ht="18.75" customHeight="1">
      <c r="A115" s="3127" t="s">
        <v>2305</v>
      </c>
      <c r="B115" s="3128"/>
      <c r="C115" s="3128"/>
      <c r="D115" s="3128"/>
      <c r="E115" s="3128"/>
      <c r="F115" s="3128"/>
      <c r="G115" s="3128"/>
      <c r="H115" s="3128"/>
      <c r="I115" s="3129"/>
    </row>
    <row r="116" spans="1:11" ht="27" customHeight="1">
      <c r="A116" s="3020" t="s">
        <v>2306</v>
      </c>
      <c r="B116" s="3115" t="s">
        <v>2307</v>
      </c>
      <c r="C116" s="3115" t="s">
        <v>2308</v>
      </c>
      <c r="D116" s="3131" t="s">
        <v>2309</v>
      </c>
      <c r="E116" s="3132"/>
      <c r="F116" s="3123" t="s">
        <v>3236</v>
      </c>
      <c r="G116" s="3123"/>
      <c r="H116" s="3020" t="s">
        <v>2310</v>
      </c>
      <c r="I116" s="3020"/>
    </row>
    <row r="117" spans="1:11" ht="18.75" customHeight="1">
      <c r="A117" s="3020"/>
      <c r="B117" s="3116"/>
      <c r="C117" s="3116"/>
      <c r="D117" s="1797" t="s">
        <v>2311</v>
      </c>
      <c r="E117" s="1797" t="s">
        <v>2312</v>
      </c>
      <c r="F117" s="1797" t="s">
        <v>2311</v>
      </c>
      <c r="G117" s="1797" t="s">
        <v>2313</v>
      </c>
      <c r="H117" s="1797" t="s">
        <v>2311</v>
      </c>
      <c r="I117" s="1797" t="s">
        <v>2313</v>
      </c>
    </row>
    <row r="118" spans="1:11" ht="24.75" customHeight="1">
      <c r="A118" s="2526" t="str">
        <f>项目基本情况!S2</f>
        <v>北京市大兴区金苑路32号1幢等2幢工业用房房地产</v>
      </c>
      <c r="B118" s="1797">
        <f>M18</f>
        <v>6217.83</v>
      </c>
      <c r="C118" s="1797">
        <f>M19</f>
        <v>2422.36</v>
      </c>
      <c r="D118" s="1797">
        <f ca="1">ROUND(IF(D32="总价",C34,E118*B118/10000),0)</f>
        <v>543</v>
      </c>
      <c r="E118" s="1797">
        <f ca="1">ROUND(IF(C33="自定义",IF(D32="楼面单价",C34,D118*10000/B118),I118-G118),0)</f>
        <v>873</v>
      </c>
      <c r="F118" s="1797">
        <f ca="1">ROUND(IF(D32="总价",C35,G118*B118/10000),0)</f>
        <v>1927</v>
      </c>
      <c r="G118" s="1797">
        <f ca="1">ROUND(IF(D32="楼面单价",C35,F118*10000/B118),0)</f>
        <v>3099</v>
      </c>
      <c r="H118" s="1797">
        <f ca="1">ROUND(IF(D32="总价",C32,I118*B118/10000),0)</f>
        <v>2470</v>
      </c>
      <c r="I118" s="1797">
        <f ca="1">ROUND(IF(D32="楼面单价",C32,H118*10000/B118),0)</f>
        <v>3972</v>
      </c>
    </row>
    <row r="119" spans="1:11" ht="18.75" customHeight="1">
      <c r="A119" s="3020" t="s">
        <v>2314</v>
      </c>
      <c r="B119" s="3020"/>
      <c r="C119" s="3020"/>
      <c r="D119" s="3120" t="str">
        <f ca="1">NUMBERSTRING(INT(D118*10000),2)&amp;"元整"</f>
        <v>伍佰肆拾叁万元整</v>
      </c>
      <c r="E119" s="3122"/>
      <c r="F119" s="3120" t="str">
        <f ca="1">NUMBERSTRING(INT(F118*10000),2)&amp;"元整"</f>
        <v>壹仟玖佰贰拾柒万元整</v>
      </c>
      <c r="G119" s="3122"/>
      <c r="H119" s="3120" t="str">
        <f ca="1">NUMBERSTRING(INT(H118*10000),2)&amp;"元整"</f>
        <v>贰仟肆佰柒拾万元整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23" t="str">
        <f>IF(D120=0,"故，本次评估不存在"&amp;A120,"故，本次评估"&amp;A120&amp;"为人民币"&amp;D120&amp;"万元整。")</f>
        <v>故，本次评估不存在估价师知悉的法定优先受偿款</v>
      </c>
    </row>
    <row r="121" spans="1:11" ht="18.75" customHeight="1">
      <c r="A121" s="3124" t="s">
        <v>2314</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
      </c>
      <c r="B122" s="3111"/>
      <c r="C122" s="3111"/>
      <c r="D122" s="3148" t="str">
        <f>H107</f>
        <v>——</v>
      </c>
      <c r="E122" s="3149"/>
      <c r="F122" s="3149"/>
      <c r="G122" s="3149"/>
      <c r="H122" s="3149"/>
      <c r="I122" s="3150"/>
    </row>
    <row r="123" spans="1:11" ht="18.75" customHeight="1">
      <c r="A123" s="3020" t="s">
        <v>2314</v>
      </c>
      <c r="B123" s="3020"/>
      <c r="C123" s="3020"/>
      <c r="D123" s="3120" t="e">
        <f>NUMBERSTRING(INT(D122*10000),2)&amp;"元整"</f>
        <v>#VALUE!</v>
      </c>
      <c r="E123" s="3121"/>
      <c r="F123" s="3121"/>
      <c r="G123" s="3121"/>
      <c r="H123" s="3121"/>
      <c r="I123" s="3122"/>
    </row>
    <row r="124" spans="1:11" ht="18.75" customHeight="1">
      <c r="A124" s="3111" t="str">
        <f>IF(项目基本情况!B9="房地产市场价值","",MID(E109,3,LEN(E109)-2))</f>
        <v>抵押担保权已注销时的房地产抵押价值</v>
      </c>
      <c r="B124" s="3111"/>
      <c r="C124" s="3111"/>
      <c r="D124" s="3148">
        <f ca="1">H109</f>
        <v>2470</v>
      </c>
      <c r="E124" s="3149"/>
      <c r="F124" s="3149"/>
      <c r="G124" s="3149"/>
      <c r="H124" s="3149"/>
      <c r="I124" s="3150"/>
    </row>
    <row r="125" spans="1:11" ht="18.75" customHeight="1">
      <c r="A125" s="3020" t="s">
        <v>2314</v>
      </c>
      <c r="B125" s="3020"/>
      <c r="C125" s="3020"/>
      <c r="D125" s="3120" t="str">
        <f ca="1">NUMBERSTRING(INT(D124*10000),2)&amp;"元整"</f>
        <v>贰仟肆佰柒拾万元整</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2314</v>
      </c>
      <c r="B127" s="3020"/>
      <c r="C127" s="3020"/>
      <c r="D127" s="3120" t="e">
        <f>NUMBERSTRING(INT(D126*10000),2)&amp;"元整"</f>
        <v>#VALUE!</v>
      </c>
      <c r="E127" s="3121"/>
      <c r="F127" s="3121"/>
      <c r="G127" s="3121"/>
      <c r="H127" s="3121"/>
      <c r="I127" s="3122"/>
    </row>
    <row r="128" spans="1:11" ht="21.75" customHeight="1">
      <c r="A128" s="3130" t="s">
        <v>2315</v>
      </c>
      <c r="B128" s="3130"/>
      <c r="C128" s="3130"/>
      <c r="D128" s="3130"/>
      <c r="E128" s="3130"/>
      <c r="F128" s="3130"/>
      <c r="G128" s="3130"/>
      <c r="H128" s="3130"/>
      <c r="I128" s="3130"/>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9"/>
      <c r="C1" s="242"/>
      <c r="D1" s="242"/>
      <c r="E1" s="242"/>
      <c r="F1" s="242"/>
      <c r="G1" s="1381">
        <f>MATCH(B1,'数据-取费表'!A6:A16,0)+5</f>
        <v>7</v>
      </c>
    </row>
    <row r="2" spans="1:9" s="244" customFormat="1" ht="18" customHeight="1">
      <c r="A2" s="245" t="s">
        <v>2324</v>
      </c>
      <c r="B2" s="246">
        <f ca="1">IF(D2="——",C52,C52-E2)</f>
        <v>1780</v>
      </c>
      <c r="C2" s="243" t="s">
        <v>2325</v>
      </c>
      <c r="D2" s="2549" t="s">
        <v>70</v>
      </c>
      <c r="E2" s="1442"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2863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297</v>
      </c>
      <c r="D5" s="255" t="s">
        <v>2331</v>
      </c>
      <c r="E5" s="256" t="s">
        <v>2332</v>
      </c>
      <c r="F5" s="256" t="s">
        <v>2333</v>
      </c>
      <c r="G5" s="257"/>
    </row>
    <row r="6" spans="1:9" s="258" customFormat="1" ht="13.5" customHeight="1">
      <c r="A6" s="952" t="s">
        <v>2334</v>
      </c>
      <c r="B6" s="259" t="s">
        <v>2335</v>
      </c>
      <c r="C6" s="260">
        <f>'土地比较法-工业'!B2</f>
        <v>288</v>
      </c>
      <c r="D6" s="261"/>
      <c r="E6" s="262"/>
      <c r="F6" s="262"/>
      <c r="G6" s="263"/>
    </row>
    <row r="7" spans="1:9" s="258" customFormat="1" ht="13.5" customHeight="1">
      <c r="A7" s="952" t="s">
        <v>2336</v>
      </c>
      <c r="B7" s="259" t="s">
        <v>2337</v>
      </c>
      <c r="C7" s="264">
        <f>ROUND(C6*F7,0)</f>
        <v>9</v>
      </c>
      <c r="D7" s="264"/>
      <c r="E7" s="262"/>
      <c r="F7" s="265">
        <f>'数据-取费表'!B48+'数据-取费表'!B49</f>
        <v>3.0499999999999999E-2</v>
      </c>
      <c r="G7" s="263"/>
    </row>
    <row r="8" spans="1:9" s="267" customFormat="1">
      <c r="A8" s="952" t="s">
        <v>2338</v>
      </c>
      <c r="B8" s="259" t="s">
        <v>2339</v>
      </c>
      <c r="C8" s="264" t="str">
        <f>IF(G8="已包含在土地购买价格中","0",IF(B1="",'数据-取费表'!B29,IF(G9="全部缴纳",C9+C10,H9)))</f>
        <v>0</v>
      </c>
      <c r="D8" s="266"/>
      <c r="E8" s="264"/>
      <c r="F8" s="265"/>
      <c r="G8" s="2552" t="s">
        <v>1148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160</v>
      </c>
      <c r="F9" s="265"/>
      <c r="G9" s="2553" t="s">
        <v>3211</v>
      </c>
      <c r="H9" s="1392"/>
      <c r="I9" s="2554" t="s">
        <v>2341</v>
      </c>
    </row>
    <row r="10" spans="1:9" s="258" customFormat="1" ht="13.5" customHeight="1">
      <c r="A10" s="953" t="s">
        <v>801</v>
      </c>
      <c r="B10" s="268" t="s">
        <v>2342</v>
      </c>
      <c r="C10" s="269">
        <f ca="1">ROUND(D10*E10/10000,0)</f>
        <v>124</v>
      </c>
      <c r="D10" s="1035">
        <f ca="1">IF(B1="",'数据-汇总表'!E6,IF(INDIRECT("'数据-取费表'!c"&amp;$G$1)="住宅",INDIRECT("'数据-取费表'!s"&amp;$G$1),INDIRECT("'数据-取费表'!k"&amp;$G$1)+INDIRECT("'数据-取费表'!s"&amp;$G$1)))</f>
        <v>6217.83</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6217.83</v>
      </c>
      <c r="E19" s="255">
        <f>'数据-取费表'!B31</f>
        <v>200</v>
      </c>
      <c r="F19" s="275"/>
      <c r="G19" s="2552" t="s">
        <v>3212</v>
      </c>
    </row>
    <row r="20" spans="1:7" s="258" customFormat="1" ht="13.5" customHeight="1">
      <c r="A20" s="299" t="s">
        <v>2355</v>
      </c>
      <c r="B20" s="254" t="s">
        <v>2356</v>
      </c>
      <c r="C20" s="276">
        <f>ROUND((C5+C19)*F20,0)</f>
        <v>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6">
        <f ca="1">ROUND(SUM(C23:C25),0)</f>
        <v>29</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7">
        <f ca="1">ROUND(IF('数据-取费表'!B22&lt;=1,C5*F22*'数据-取费表'!B23,C5*(POWER((1+F22),'数据-取费表'!B23)-1)),0)</f>
        <v>29</v>
      </c>
      <c r="D23" s="282"/>
      <c r="E23" s="282"/>
      <c r="F23" s="283"/>
      <c r="G23" s="284" t="s">
        <v>2366</v>
      </c>
    </row>
    <row r="24" spans="1:7" s="258" customFormat="1" ht="13.5" customHeight="1">
      <c r="A24" s="954" t="s">
        <v>2367</v>
      </c>
      <c r="B24" s="259" t="s">
        <v>2368</v>
      </c>
      <c r="C24" s="1357">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7">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30</v>
      </c>
      <c r="D27" s="279">
        <f ca="1">C29</f>
        <v>2E-3</v>
      </c>
      <c r="E27" s="280" t="s">
        <v>2376</v>
      </c>
      <c r="F27" s="290">
        <f ca="1">IF(B1="",'数据-取费表'!Q16,INDIRECT("'数据-取费表'!q"&amp;$G$1))</f>
        <v>0.1</v>
      </c>
      <c r="G27" s="291" t="s">
        <v>2377</v>
      </c>
    </row>
    <row r="28" spans="1:7" s="258" customFormat="1" ht="13.5" customHeight="1">
      <c r="A28" s="954" t="s">
        <v>791</v>
      </c>
      <c r="B28" s="292" t="s">
        <v>2378</v>
      </c>
      <c r="C28" s="293">
        <f ca="1">ROUND((C5+C19+C20)*F27*'数据-取费表'!B21/'数据-取费表'!B20,0)</f>
        <v>30</v>
      </c>
      <c r="D28" s="279"/>
      <c r="E28" s="280"/>
      <c r="F28" s="290"/>
      <c r="G28" s="291"/>
    </row>
    <row r="29" spans="1:7" s="258" customFormat="1" ht="13.5" customHeight="1">
      <c r="A29" s="954"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392</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1424</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1244</v>
      </c>
      <c r="D34" s="261"/>
      <c r="E34" s="264"/>
      <c r="F34" s="301">
        <f ca="1">IF('数据-取费表'!B24=0,1,IF(B1="",'数据-取费表'!N16,INDIRECT("'数据-取费表'!n"&amp;$G$1)))</f>
        <v>1</v>
      </c>
      <c r="G34" s="263" t="s">
        <v>2388</v>
      </c>
    </row>
    <row r="35" spans="1:7" ht="13.5" customHeight="1">
      <c r="A35" s="954" t="s">
        <v>796</v>
      </c>
      <c r="B35" s="259" t="s">
        <v>2389</v>
      </c>
      <c r="C35" s="264">
        <f ca="1">ROUND(C34*F35,0)</f>
        <v>37</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124</v>
      </c>
      <c r="D37" s="261">
        <f ca="1">D19</f>
        <v>6217.83</v>
      </c>
      <c r="E37" s="293">
        <f>'数据-取费表'!B35</f>
        <v>200</v>
      </c>
      <c r="F37" s="303"/>
      <c r="G37" s="305" t="s">
        <v>2394</v>
      </c>
    </row>
    <row r="38" spans="1:7" ht="13.5" customHeight="1">
      <c r="A38" s="954" t="s">
        <v>799</v>
      </c>
      <c r="B38" s="259" t="s">
        <v>2395</v>
      </c>
      <c r="C38" s="264">
        <f ca="1">ROUND(C34*F38,0)</f>
        <v>19</v>
      </c>
      <c r="D38" s="264"/>
      <c r="E38" s="264"/>
      <c r="F38" s="303">
        <f>'数据-取费表'!B36</f>
        <v>1.4999999999999999E-2</v>
      </c>
      <c r="G38" s="263" t="s">
        <v>2390</v>
      </c>
    </row>
    <row r="39" spans="1:7" s="258" customFormat="1" ht="13.5" customHeight="1">
      <c r="A39" s="299" t="s">
        <v>2396</v>
      </c>
      <c r="B39" s="254" t="s">
        <v>2397</v>
      </c>
      <c r="C39" s="276">
        <f ca="1">ROUND(C33*F20,0)</f>
        <v>28</v>
      </c>
      <c r="D39" s="276"/>
      <c r="E39" s="276"/>
      <c r="F39" s="277"/>
      <c r="G39" s="278" t="s">
        <v>2398</v>
      </c>
    </row>
    <row r="40" spans="1:7" s="258" customFormat="1" ht="13.5" customHeight="1">
      <c r="A40" s="299" t="s">
        <v>2399</v>
      </c>
      <c r="B40" s="254" t="s">
        <v>2400</v>
      </c>
      <c r="C40" s="1730">
        <f>F21</f>
        <v>0.02</v>
      </c>
      <c r="D40" s="280" t="s">
        <v>2401</v>
      </c>
      <c r="E40" s="276"/>
      <c r="F40" s="277"/>
      <c r="G40" s="278" t="s">
        <v>2402</v>
      </c>
    </row>
    <row r="41" spans="1:7" s="258" customFormat="1" ht="13.5" customHeight="1">
      <c r="A41" s="299" t="s">
        <v>2403</v>
      </c>
      <c r="B41" s="254" t="s">
        <v>2404</v>
      </c>
      <c r="C41" s="276">
        <f ca="1">ROUND(SUM(C42:C43),0)</f>
        <v>69</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68</v>
      </c>
      <c r="D42" s="282"/>
      <c r="E42" s="282"/>
      <c r="F42" s="283"/>
      <c r="G42" s="3162" t="s">
        <v>2406</v>
      </c>
    </row>
    <row r="43" spans="1:7" ht="13.5" customHeight="1">
      <c r="A43" s="954" t="s">
        <v>792</v>
      </c>
      <c r="B43" s="259" t="s">
        <v>2407</v>
      </c>
      <c r="C43" s="282">
        <f ca="1">ROUND(IF('数据-取费表'!B22&lt;=1,C39*F22*'数据-取费表'!B21/2,C39*(POWER((1+F22),'数据-取费表'!B21/2)-1)),0)</f>
        <v>1</v>
      </c>
      <c r="D43" s="282"/>
      <c r="E43" s="282"/>
      <c r="F43" s="283"/>
      <c r="G43" s="3163"/>
    </row>
    <row r="44" spans="1:7" ht="13.5" customHeight="1">
      <c r="A44" s="954" t="s">
        <v>793</v>
      </c>
      <c r="B44" s="259" t="s">
        <v>2408</v>
      </c>
      <c r="C44" s="282">
        <f ca="1">ROUND(IF('数据-取费表'!B22&lt;=1,C40*F22*'数据-取费表'!B21/2,C40*(POWER((1+F22),'数据-取费表'!B21/2)-1)),4)</f>
        <v>1E-3</v>
      </c>
      <c r="D44" s="282"/>
      <c r="E44" s="282"/>
      <c r="F44" s="283"/>
      <c r="G44" s="3164"/>
    </row>
    <row r="45" spans="1:7" s="258" customFormat="1" ht="13.5" customHeight="1">
      <c r="A45" s="299" t="s">
        <v>2409</v>
      </c>
      <c r="B45" s="288" t="s">
        <v>2375</v>
      </c>
      <c r="C45" s="289">
        <f ca="1">C46</f>
        <v>145</v>
      </c>
      <c r="D45" s="279">
        <f ca="1">C47</f>
        <v>2E-3</v>
      </c>
      <c r="E45" s="280" t="s">
        <v>2401</v>
      </c>
      <c r="F45" s="290"/>
      <c r="G45" s="291" t="s">
        <v>2410</v>
      </c>
    </row>
    <row r="46" spans="1:7" s="258" customFormat="1" ht="13.5" customHeight="1">
      <c r="A46" s="954" t="s">
        <v>791</v>
      </c>
      <c r="B46" s="292" t="s">
        <v>2411</v>
      </c>
      <c r="C46" s="293">
        <f ca="1">ROUND((C33+C39)*F27,0)</f>
        <v>145</v>
      </c>
      <c r="D46" s="307"/>
      <c r="E46" s="280"/>
      <c r="F46" s="290"/>
      <c r="G46" s="291"/>
    </row>
    <row r="47" spans="1:7" s="258" customFormat="1" ht="13.5" customHeight="1">
      <c r="A47" s="954" t="s">
        <v>792</v>
      </c>
      <c r="B47" s="292" t="s">
        <v>2412</v>
      </c>
      <c r="C47" s="282">
        <f ca="1">ROUND(C40*F27,4)</f>
        <v>2E-3</v>
      </c>
      <c r="D47" s="307"/>
      <c r="E47" s="280"/>
      <c r="F47" s="290"/>
      <c r="G47" s="291"/>
    </row>
    <row r="48" spans="1:7" s="258" customFormat="1" ht="13.5" customHeight="1">
      <c r="A48" s="299" t="s">
        <v>2374</v>
      </c>
      <c r="B48" s="254" t="s">
        <v>2413</v>
      </c>
      <c r="C48" s="1730">
        <f>ROUND(F30/(1+'数据-取费表'!C42),4)</f>
        <v>5.2400000000000002E-2</v>
      </c>
      <c r="D48" s="280" t="s">
        <v>2401</v>
      </c>
      <c r="E48" s="276"/>
      <c r="F48" s="281"/>
      <c r="G48" s="278" t="s">
        <v>2414</v>
      </c>
    </row>
    <row r="49" spans="1:7" ht="16.5" customHeight="1">
      <c r="A49" s="299" t="s">
        <v>2380</v>
      </c>
      <c r="B49" s="254" t="s">
        <v>2415</v>
      </c>
      <c r="C49" s="276">
        <f ca="1">ROUND((C33+C39+C41+C45)/(1-C40-D41-D45-C48),0)</f>
        <v>1802</v>
      </c>
      <c r="D49" s="276"/>
      <c r="E49" s="276"/>
      <c r="F49" s="308"/>
      <c r="G49" s="278" t="s">
        <v>2416</v>
      </c>
    </row>
    <row r="50" spans="1:7" s="302" customFormat="1" ht="24">
      <c r="A50" s="299" t="s">
        <v>2417</v>
      </c>
      <c r="B50" s="254" t="s">
        <v>2418</v>
      </c>
      <c r="C50" s="276"/>
      <c r="D50" s="276"/>
      <c r="E50" s="276"/>
      <c r="F50" s="308">
        <f>IF('数据-取费表'!B24=0,'数据-取费表'!N16,1)</f>
        <v>0.77</v>
      </c>
      <c r="G50" s="291" t="s">
        <v>2419</v>
      </c>
    </row>
    <row r="51" spans="1:7" ht="16.5" customHeight="1">
      <c r="A51" s="299" t="s">
        <v>2420</v>
      </c>
      <c r="B51" s="254" t="s">
        <v>2421</v>
      </c>
      <c r="C51" s="276">
        <f ca="1">ROUND(C49*F50,0)</f>
        <v>1388</v>
      </c>
      <c r="D51" s="276"/>
      <c r="E51" s="276"/>
      <c r="F51" s="308"/>
      <c r="G51" s="278" t="s">
        <v>2422</v>
      </c>
    </row>
    <row r="52" spans="1:7" s="252" customFormat="1" ht="16.5" thickBot="1">
      <c r="A52" s="309" t="s">
        <v>2423</v>
      </c>
      <c r="B52" s="310"/>
      <c r="C52" s="311">
        <f ca="1">C31+C51</f>
        <v>1780</v>
      </c>
      <c r="D52" s="310"/>
      <c r="E52" s="310"/>
      <c r="F52" s="310"/>
      <c r="G52" s="312"/>
    </row>
    <row r="55" spans="1:7" ht="15">
      <c r="B55" s="314" t="s">
        <v>2424</v>
      </c>
      <c r="C55" s="315"/>
    </row>
    <row r="56" spans="1:7">
      <c r="B56" s="317" t="s">
        <v>1512</v>
      </c>
      <c r="C56" s="319">
        <f ca="1">1-C57</f>
        <v>0.21999999999999997</v>
      </c>
    </row>
    <row r="57" spans="1:7">
      <c r="B57" s="317" t="s">
        <v>1513</v>
      </c>
      <c r="C57" s="318">
        <f ca="1">ROUND(C51/C52,3)</f>
        <v>0.78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6" t="str">
        <f>项目基本情况!B1</f>
        <v>北京市大兴区金苑路32号1幢等2幢工业用房房地产抵押价值预评估</v>
      </c>
      <c r="C37" s="2976"/>
      <c r="D37" s="2976"/>
      <c r="E37" s="2976"/>
      <c r="F37" s="2976"/>
      <c r="G37" s="2976"/>
      <c r="H37" s="2976"/>
      <c r="I37" s="2976"/>
    </row>
    <row r="38" spans="1:9">
      <c r="A38" s="1019"/>
      <c r="B38" s="1019"/>
    </row>
    <row r="39" spans="1:9">
      <c r="A39" s="1017" t="s">
        <v>818</v>
      </c>
      <c r="B39" s="1017" t="s">
        <v>820</v>
      </c>
    </row>
    <row r="40" spans="1:9">
      <c r="A40" s="1017"/>
      <c r="B40" s="1944" t="str">
        <f>项目基本情况!B5</f>
        <v>北京市群英印刷有限公司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康正预评字2018-1-0526-P02DYGJ1号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9"/>
      <c r="C1" s="2555" t="s">
        <v>2425</v>
      </c>
      <c r="D1" s="242"/>
      <c r="E1" s="242"/>
      <c r="F1" s="242"/>
      <c r="G1" s="1381">
        <f>MATCH(B1,'数据-取费表'!A6:A16,0)+5</f>
        <v>7</v>
      </c>
      <c r="H1" s="1284" t="str">
        <f>IF(ISERROR(FIND("住宅",B1)),"非住宅","住宅")</f>
        <v>非住宅</v>
      </c>
    </row>
    <row r="2" spans="1:8" s="244" customFormat="1" ht="18" customHeight="1">
      <c r="A2" s="245" t="s">
        <v>2324</v>
      </c>
      <c r="B2" s="246">
        <f ca="1">ROUND(IF(D2="——",C52/10000,C52/10000-E2),0)</f>
        <v>1716</v>
      </c>
      <c r="C2" s="243" t="s">
        <v>2325</v>
      </c>
      <c r="D2" s="2549" t="s">
        <v>70</v>
      </c>
      <c r="E2" s="1442"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2760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1243566</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1243566</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2342</v>
      </c>
      <c r="C10" s="269">
        <f ca="1">ROUND(D10*E10,0)</f>
        <v>1243566</v>
      </c>
      <c r="D10" s="1035">
        <f ca="1">IF(B1="",'数据-汇总表'!E6,IF(INDIRECT("'数据-取费表'!c"&amp;$G$1)="住宅",INDIRECT("'数据-取费表'!s"&amp;$G$1),INDIRECT("'数据-取费表'!k"&amp;$G$1)+INDIRECT("'数据-取费表'!s"&amp;$G$1)))</f>
        <v>6217.83</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1243566</v>
      </c>
      <c r="D19" s="1039">
        <f ca="1">D9+D10</f>
        <v>6217.83</v>
      </c>
      <c r="E19" s="255">
        <f>'数据-取费表'!B31</f>
        <v>200</v>
      </c>
      <c r="F19" s="275"/>
      <c r="G19" s="2552"/>
    </row>
    <row r="20" spans="1:7" s="258" customFormat="1" ht="13.5" customHeight="1">
      <c r="A20" s="299" t="s">
        <v>2436</v>
      </c>
      <c r="B20" s="254" t="s">
        <v>2437</v>
      </c>
      <c r="C20" s="276">
        <f ca="1">ROUND((C5+C19)*F20,0)</f>
        <v>49743</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2">
        <f ca="1">ROUND(SUM(C23:C25),0)</f>
        <v>244253</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3">
        <f ca="1">ROUND(IF('数据-取费表'!B22&lt;=1,C5*F22*'数据-取费表'!B22,C5*(POWER((1+F22),'数据-取费表'!B22)-1)),0)</f>
        <v>120945</v>
      </c>
      <c r="D23" s="282"/>
      <c r="E23" s="282"/>
      <c r="F23" s="283"/>
      <c r="G23" s="284" t="s">
        <v>2446</v>
      </c>
    </row>
    <row r="24" spans="1:7" s="258" customFormat="1" ht="13.5" customHeight="1">
      <c r="A24" s="954" t="s">
        <v>2336</v>
      </c>
      <c r="B24" s="259" t="s">
        <v>2447</v>
      </c>
      <c r="C24" s="1383">
        <f ca="1">ROUND(IF('数据-取费表'!B22&lt;=1,C19*F22*('数据-取费表'!B19/2+'数据-取费表'!B20),C19*(POWER((1+F22),('数据-取费表'!B19/2+'数据-取费表'!B20))-1)),0)</f>
        <v>120945</v>
      </c>
      <c r="D24" s="282"/>
      <c r="E24" s="282"/>
      <c r="F24" s="283"/>
      <c r="G24" s="284" t="s">
        <v>2448</v>
      </c>
    </row>
    <row r="25" spans="1:7" s="258" customFormat="1" ht="24">
      <c r="A25" s="954" t="s">
        <v>2338</v>
      </c>
      <c r="B25" s="259" t="s">
        <v>2449</v>
      </c>
      <c r="C25" s="1383">
        <f ca="1">ROUND(IF('数据-取费表'!B22&lt;=1,C20*F22*'数据-取费表'!B22/2,C20*(POWER((1+F22),'数据-取费表'!B22/2)-1)),0)</f>
        <v>2363</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253688</v>
      </c>
      <c r="D27" s="279">
        <f ca="1">C29</f>
        <v>2E-3</v>
      </c>
      <c r="E27" s="280" t="s">
        <v>2376</v>
      </c>
      <c r="F27" s="290">
        <f ca="1">IF(B1="",'数据-取费表'!Q16,INDIRECT("'数据-取费表'!q"&amp;$G$1))</f>
        <v>0.1</v>
      </c>
      <c r="G27" s="291" t="s">
        <v>2377</v>
      </c>
    </row>
    <row r="28" spans="1:7" s="258" customFormat="1" ht="13.5" customHeight="1">
      <c r="A28" s="954" t="s">
        <v>791</v>
      </c>
      <c r="B28" s="292" t="s">
        <v>2378</v>
      </c>
      <c r="C28" s="293">
        <f ca="1">ROUND((C5+C19+C20)*F27,0)</f>
        <v>253688</v>
      </c>
      <c r="D28" s="279"/>
      <c r="E28" s="280"/>
      <c r="F28" s="290"/>
      <c r="G28" s="291"/>
    </row>
    <row r="29" spans="1:7" s="258" customFormat="1" ht="13.5" customHeight="1">
      <c r="A29" s="954"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3282302</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14238831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12435660</v>
      </c>
      <c r="D34" s="261"/>
      <c r="E34" s="264"/>
      <c r="F34" s="301"/>
      <c r="G34" s="263"/>
    </row>
    <row r="35" spans="1:7" ht="13.5" customHeight="1">
      <c r="A35" s="954" t="s">
        <v>796</v>
      </c>
      <c r="B35" s="259" t="s">
        <v>2389</v>
      </c>
      <c r="C35" s="264">
        <f ca="1">ROUND(C34*F35,0)</f>
        <v>373070</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1243566</v>
      </c>
      <c r="D37" s="261">
        <f ca="1">D19</f>
        <v>6217.83</v>
      </c>
      <c r="E37" s="293">
        <f>'数据-取费表'!B35</f>
        <v>200</v>
      </c>
      <c r="F37" s="303"/>
      <c r="G37" s="305"/>
    </row>
    <row r="38" spans="1:7" ht="13.5" customHeight="1">
      <c r="A38" s="954" t="s">
        <v>799</v>
      </c>
      <c r="B38" s="259" t="s">
        <v>2395</v>
      </c>
      <c r="C38" s="264">
        <f ca="1">ROUND(C34*F38,0)</f>
        <v>186535</v>
      </c>
      <c r="D38" s="264"/>
      <c r="E38" s="264"/>
      <c r="F38" s="303">
        <f>'数据-取费表'!B36</f>
        <v>1.4999999999999999E-2</v>
      </c>
      <c r="G38" s="263" t="s">
        <v>2390</v>
      </c>
    </row>
    <row r="39" spans="1:7" s="258" customFormat="1" ht="13.5" customHeight="1">
      <c r="A39" s="299" t="s">
        <v>2396</v>
      </c>
      <c r="B39" s="254" t="s">
        <v>2397</v>
      </c>
      <c r="C39" s="276">
        <f ca="1">ROUND(C33*F20,0)</f>
        <v>284777</v>
      </c>
      <c r="D39" s="276"/>
      <c r="E39" s="276"/>
      <c r="F39" s="277"/>
      <c r="G39" s="278" t="s">
        <v>2398</v>
      </c>
    </row>
    <row r="40" spans="1:7" s="258" customFormat="1" ht="13.5" customHeight="1">
      <c r="A40" s="299" t="s">
        <v>2399</v>
      </c>
      <c r="B40" s="254" t="s">
        <v>2400</v>
      </c>
      <c r="C40" s="1730">
        <f>F21</f>
        <v>0.02</v>
      </c>
      <c r="D40" s="280" t="s">
        <v>2401</v>
      </c>
      <c r="E40" s="276"/>
      <c r="F40" s="277"/>
      <c r="G40" s="278" t="s">
        <v>2402</v>
      </c>
    </row>
    <row r="41" spans="1:7" s="258" customFormat="1" ht="13.5" customHeight="1">
      <c r="A41" s="299" t="s">
        <v>2403</v>
      </c>
      <c r="B41" s="254" t="s">
        <v>2404</v>
      </c>
      <c r="C41" s="276">
        <f ca="1">ROUND(SUM(C42:C43),0)</f>
        <v>689871</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676344</v>
      </c>
      <c r="D42" s="282"/>
      <c r="E42" s="282"/>
      <c r="F42" s="283"/>
      <c r="G42" s="3162" t="s">
        <v>2453</v>
      </c>
    </row>
    <row r="43" spans="1:7" ht="13.5" customHeight="1">
      <c r="A43" s="954" t="s">
        <v>792</v>
      </c>
      <c r="B43" s="259" t="s">
        <v>2407</v>
      </c>
      <c r="C43" s="282">
        <f ca="1">ROUND(IF('数据-取费表'!B22&lt;=1,C39*F22*'数据-取费表'!B20/2,C39*(POWER((1+F22),'数据-取费表'!B20/2)-1)),0)</f>
        <v>13527</v>
      </c>
      <c r="D43" s="282"/>
      <c r="E43" s="282"/>
      <c r="F43" s="283"/>
      <c r="G43" s="3163"/>
    </row>
    <row r="44" spans="1:7" ht="13.5" customHeight="1">
      <c r="A44" s="954" t="s">
        <v>793</v>
      </c>
      <c r="B44" s="259" t="s">
        <v>2408</v>
      </c>
      <c r="C44" s="282">
        <f ca="1">ROUND(IF('数据-取费表'!B22&lt;=1,C40*F22*'数据-取费表'!B20/2,C40*(POWER((1+F22),'数据-取费表'!B20/2)-1)),4)</f>
        <v>1E-3</v>
      </c>
      <c r="D44" s="282"/>
      <c r="E44" s="282"/>
      <c r="F44" s="283"/>
      <c r="G44" s="3164"/>
    </row>
    <row r="45" spans="1:7" s="258" customFormat="1" ht="13.5" customHeight="1">
      <c r="A45" s="299" t="s">
        <v>2409</v>
      </c>
      <c r="B45" s="288" t="s">
        <v>2375</v>
      </c>
      <c r="C45" s="289">
        <f ca="1">C46</f>
        <v>1452361</v>
      </c>
      <c r="D45" s="279">
        <f ca="1">C47</f>
        <v>2E-3</v>
      </c>
      <c r="E45" s="280" t="s">
        <v>2401</v>
      </c>
      <c r="F45" s="290"/>
      <c r="G45" s="291" t="s">
        <v>2410</v>
      </c>
    </row>
    <row r="46" spans="1:7" s="258" customFormat="1" ht="13.5" customHeight="1">
      <c r="A46" s="954" t="s">
        <v>791</v>
      </c>
      <c r="B46" s="292" t="s">
        <v>2411</v>
      </c>
      <c r="C46" s="293">
        <f ca="1">ROUND((C33+C39)*F27,0)</f>
        <v>1452361</v>
      </c>
      <c r="D46" s="307"/>
      <c r="E46" s="280"/>
      <c r="F46" s="290"/>
      <c r="G46" s="291"/>
    </row>
    <row r="47" spans="1:7" s="258" customFormat="1" ht="13.5" customHeight="1">
      <c r="A47" s="954"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18024919</v>
      </c>
      <c r="D49" s="276"/>
      <c r="E49" s="276"/>
      <c r="F49" s="308"/>
      <c r="G49" s="278" t="s">
        <v>2416</v>
      </c>
    </row>
    <row r="50" spans="1:7" s="302" customFormat="1">
      <c r="A50" s="299" t="s">
        <v>2417</v>
      </c>
      <c r="B50" s="254" t="s">
        <v>2418</v>
      </c>
      <c r="C50" s="276"/>
      <c r="D50" s="276"/>
      <c r="E50" s="276"/>
      <c r="F50" s="308">
        <f>IF('数据-取费表'!B24=0,'数据-取费表'!N16,1)</f>
        <v>0.77</v>
      </c>
      <c r="G50" s="291"/>
    </row>
    <row r="51" spans="1:7" ht="16.5" customHeight="1">
      <c r="A51" s="299" t="s">
        <v>2420</v>
      </c>
      <c r="B51" s="254" t="s">
        <v>2455</v>
      </c>
      <c r="C51" s="276">
        <f ca="1">ROUND(C49*F50,0)</f>
        <v>13879188</v>
      </c>
      <c r="D51" s="276"/>
      <c r="E51" s="276"/>
      <c r="F51" s="308"/>
      <c r="G51" s="278" t="s">
        <v>2422</v>
      </c>
    </row>
    <row r="52" spans="1:7" s="252" customFormat="1" ht="16.5" thickBot="1">
      <c r="A52" s="309" t="s">
        <v>2423</v>
      </c>
      <c r="B52" s="310"/>
      <c r="C52" s="311">
        <f ca="1">C31+C51</f>
        <v>17161490</v>
      </c>
      <c r="D52" s="310"/>
      <c r="E52" s="310"/>
      <c r="F52" s="310"/>
      <c r="G52" s="312"/>
    </row>
    <row r="55" spans="1:7" ht="15">
      <c r="B55" s="314" t="s">
        <v>2424</v>
      </c>
      <c r="C55" s="315"/>
    </row>
    <row r="56" spans="1:7">
      <c r="B56" s="317" t="s">
        <v>1512</v>
      </c>
      <c r="C56" s="319">
        <f ca="1">1-C57</f>
        <v>0.19099999999999995</v>
      </c>
    </row>
    <row r="57" spans="1:7">
      <c r="B57" s="317" t="s">
        <v>1513</v>
      </c>
      <c r="C57" s="318">
        <f ca="1">ROUND(C51/C52,3)</f>
        <v>0.80900000000000005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3"/>
      <c r="C1" s="1584"/>
      <c r="D1" s="1582"/>
      <c r="E1" s="320"/>
      <c r="F1" s="320"/>
      <c r="G1" s="1583"/>
      <c r="H1" s="320"/>
      <c r="I1" s="320"/>
      <c r="J1" s="320"/>
      <c r="K1" s="320">
        <f>MATCH(C1,'数据-取费表'!A6:A16,0)+5</f>
        <v>7</v>
      </c>
    </row>
    <row r="2" spans="1:33" ht="18" customHeight="1">
      <c r="A2" s="245" t="s">
        <v>2324</v>
      </c>
      <c r="B2" s="248">
        <f ca="1">C32</f>
        <v>-135</v>
      </c>
      <c r="C2" s="320" t="s">
        <v>2457</v>
      </c>
      <c r="D2" s="320"/>
      <c r="E2" s="320"/>
      <c r="F2" s="320"/>
      <c r="G2" s="320"/>
      <c r="H2" s="320"/>
      <c r="I2" s="320"/>
      <c r="J2" s="320"/>
      <c r="K2" s="320"/>
    </row>
    <row r="3" spans="1:33" ht="18" customHeight="1" thickBot="1">
      <c r="A3" s="247" t="s">
        <v>2326</v>
      </c>
      <c r="B3" s="248">
        <f ca="1">ROUND(B2*10000/IF(C1="",'数据-汇总表'!E3,INDIRECT("'数据-取费表'!K"&amp;$K$1)),0)</f>
        <v>-217</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6217.83</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6217.83</v>
      </c>
      <c r="E17" s="24">
        <f>'数据-取费表'!B32</f>
        <v>0</v>
      </c>
      <c r="F17" s="981"/>
      <c r="G17" s="140" t="s">
        <v>2488</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124</v>
      </c>
      <c r="D18" s="1036"/>
      <c r="E18" s="24"/>
      <c r="F18" s="979"/>
      <c r="G18" s="2558"/>
      <c r="H18" s="1579"/>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2492</v>
      </c>
      <c r="C20" s="24">
        <f ca="1">ROUND(D20*E20/10000,0)</f>
        <v>124</v>
      </c>
      <c r="D20" s="1036">
        <f ca="1">IF(C1="",'数据-汇总表'!E6,IF(INDIRECT("'数据-取费表'!c"&amp;$K$1)="住宅",INDIRECT("'数据-取费表'!s"&amp;$K$1),INDIRECT("'数据-取费表'!k"&amp;$K$1)+INDIRECT("'数据-取费表'!s"&amp;$K$1)))</f>
        <v>6217.83</v>
      </c>
      <c r="E20" s="24">
        <f>'数据-取费表'!B28</f>
        <v>200</v>
      </c>
      <c r="F20" s="979"/>
      <c r="G20" s="15"/>
      <c r="H20" s="984"/>
      <c r="I20" s="984"/>
      <c r="J20" s="984"/>
      <c r="K20" s="985"/>
    </row>
    <row r="21" spans="1:33" s="978" customFormat="1" ht="13.5" customHeight="1">
      <c r="A21" s="964" t="s">
        <v>802</v>
      </c>
      <c r="B21" s="988" t="s">
        <v>2493</v>
      </c>
      <c r="C21" s="989">
        <f ca="1">C16+C17+C18</f>
        <v>124</v>
      </c>
      <c r="D21" s="990"/>
      <c r="E21" s="325"/>
      <c r="F21" s="325"/>
      <c r="G21" s="140" t="s">
        <v>2494</v>
      </c>
      <c r="H21" s="982"/>
      <c r="I21" s="982"/>
      <c r="J21" s="982"/>
      <c r="K21" s="983"/>
    </row>
    <row r="22" spans="1:33" s="978" customFormat="1" ht="13.5" customHeight="1">
      <c r="A22" s="964" t="s">
        <v>2466</v>
      </c>
      <c r="B22" s="988" t="s">
        <v>2495</v>
      </c>
      <c r="C22" s="989">
        <f ca="1">ROUND(C21*F22,0)</f>
        <v>2</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13</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13</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-135</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0" zoomScaleNormal="80" workbookViewId="0">
      <selection activeCell="E11" sqref="E1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f>F61</f>
        <v>288</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2326</v>
      </c>
      <c r="B3" s="609">
        <f>ROUND(IF(D3="",B2*10000/'数据-汇总表'!E3,B2*10000/D3),0)</f>
        <v>463</v>
      </c>
      <c r="C3" s="247" t="s">
        <v>2743</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2642</v>
      </c>
      <c r="B4" s="402"/>
      <c r="C4" s="3165" t="s">
        <v>2643</v>
      </c>
      <c r="D4" s="3191"/>
      <c r="E4" s="3192" t="s">
        <v>2644</v>
      </c>
      <c r="F4" s="3193"/>
      <c r="G4" s="3165" t="s">
        <v>2645</v>
      </c>
      <c r="H4" s="3191"/>
      <c r="I4" s="3165" t="s">
        <v>2646</v>
      </c>
      <c r="J4" s="3191"/>
      <c r="K4" s="610" t="s">
        <v>2647</v>
      </c>
      <c r="L4" s="1132"/>
      <c r="M4" s="1133"/>
      <c r="N4" s="1133"/>
      <c r="O4" s="1133"/>
      <c r="P4" s="3194" t="s">
        <v>2648</v>
      </c>
      <c r="Q4" s="3195"/>
      <c r="R4" s="3172" t="s">
        <v>2644</v>
      </c>
      <c r="S4" s="3173"/>
      <c r="T4" s="3172" t="s">
        <v>2645</v>
      </c>
      <c r="U4" s="3173"/>
      <c r="V4" s="3184" t="s">
        <v>2646</v>
      </c>
      <c r="W4" s="3184"/>
      <c r="X4" s="1815"/>
      <c r="Y4" s="3172" t="s">
        <v>2648</v>
      </c>
      <c r="Z4" s="3173"/>
      <c r="AA4" s="3188" t="s">
        <v>2644</v>
      </c>
      <c r="AB4" s="3189" t="s">
        <v>2645</v>
      </c>
      <c r="AC4" s="3188" t="s">
        <v>2646</v>
      </c>
    </row>
    <row r="5" spans="1:29" ht="15">
      <c r="A5" s="404"/>
      <c r="B5" s="405"/>
      <c r="C5" s="3176" t="s">
        <v>2539</v>
      </c>
      <c r="D5" s="3177"/>
      <c r="E5" s="3200" t="str">
        <f>[1]土地案例!A1</f>
        <v>中关村科技园区大兴生物医药产业基地0501-57-2地块</v>
      </c>
      <c r="F5" s="3201"/>
      <c r="G5" s="3176" t="str">
        <f>[1]土地案例!A2</f>
        <v>中关村科技园区大兴生物医药产业基地DX00-0501-6001地块</v>
      </c>
      <c r="H5" s="3177"/>
      <c r="I5" s="3176" t="str">
        <f>[1]土地案例!A3</f>
        <v>中关村科技园区大兴生物医药产业基地0501-57-3地块</v>
      </c>
      <c r="J5" s="3177"/>
      <c r="K5" s="610"/>
      <c r="L5" s="1132"/>
      <c r="M5" s="1133"/>
      <c r="N5" s="1133"/>
      <c r="O5" s="1133"/>
      <c r="P5" s="3196"/>
      <c r="Q5" s="3197"/>
      <c r="R5" s="3174"/>
      <c r="S5" s="3175"/>
      <c r="T5" s="3174"/>
      <c r="U5" s="3175"/>
      <c r="V5" s="3184"/>
      <c r="W5" s="3184"/>
      <c r="X5" s="1815"/>
      <c r="Y5" s="3174"/>
      <c r="Z5" s="3175"/>
      <c r="AA5" s="3189"/>
      <c r="AB5" s="3189"/>
      <c r="AC5" s="3189"/>
    </row>
    <row r="6" spans="1:29" ht="15.75" thickBot="1">
      <c r="A6" s="406"/>
      <c r="B6" s="407"/>
      <c r="C6" s="3178" t="s">
        <v>2794</v>
      </c>
      <c r="D6" s="3179"/>
      <c r="E6" s="3181" t="s">
        <v>3073</v>
      </c>
      <c r="F6" s="3179"/>
      <c r="G6" s="3181" t="s">
        <v>3073</v>
      </c>
      <c r="H6" s="3179"/>
      <c r="I6" s="3181" t="s">
        <v>3073</v>
      </c>
      <c r="J6" s="3179"/>
      <c r="K6" s="610" t="s">
        <v>2544</v>
      </c>
      <c r="L6" s="1132"/>
      <c r="M6" s="1133"/>
      <c r="N6" s="1133"/>
      <c r="O6" s="1133"/>
      <c r="P6" s="3198"/>
      <c r="Q6" s="3199"/>
      <c r="R6" s="3174"/>
      <c r="S6" s="3175"/>
      <c r="T6" s="3182"/>
      <c r="U6" s="3183"/>
      <c r="V6" s="3184"/>
      <c r="W6" s="3184"/>
      <c r="X6" s="1815"/>
      <c r="Y6" s="3182"/>
      <c r="Z6" s="3183"/>
      <c r="AA6" s="3190"/>
      <c r="AB6" s="3190"/>
      <c r="AC6" s="3190"/>
    </row>
    <row r="7" spans="1:29" s="117" customFormat="1" ht="15.75" thickBot="1">
      <c r="A7" s="408" t="s">
        <v>2545</v>
      </c>
      <c r="B7" s="409"/>
      <c r="C7" s="410">
        <f>'数据-取费表'!B2</f>
        <v>43297</v>
      </c>
      <c r="D7" s="411">
        <v>100</v>
      </c>
      <c r="E7" s="412" t="str">
        <f>Sheet1!H19</f>
        <v>2015-09-30</v>
      </c>
      <c r="F7" s="413">
        <f>SUMIF(65:65,YEAR(E7)&amp;"-"&amp;INT((MONTH(E7)+2)/3),66:66)</f>
        <v>88</v>
      </c>
      <c r="G7" s="2698" t="str">
        <f>Sheet1!H20</f>
        <v>2015-09-18</v>
      </c>
      <c r="H7" s="411">
        <f>SUMIF(65:65,YEAR(G7)&amp;"-"&amp;INT((MONTH(G7)+2)/3),66:66)</f>
        <v>88</v>
      </c>
      <c r="I7" s="2698" t="str">
        <f>Sheet1!H23</f>
        <v>2015-09-15</v>
      </c>
      <c r="J7" s="411">
        <f>SUMIF(65:65,YEAR(I7)&amp;"-"&amp;INT((MONTH(I7)+2)/3),66:66)</f>
        <v>88</v>
      </c>
      <c r="K7" s="611"/>
      <c r="L7" s="1134"/>
      <c r="M7" s="1135"/>
      <c r="N7" s="1135"/>
      <c r="O7" s="1135"/>
      <c r="P7" s="3170" t="s">
        <v>2546</v>
      </c>
      <c r="Q7" s="3180"/>
      <c r="R7" s="770" t="s">
        <v>17</v>
      </c>
      <c r="S7" s="771">
        <f t="shared" ref="S7:S15" si="0">F7</f>
        <v>88</v>
      </c>
      <c r="T7" s="770" t="s">
        <v>17</v>
      </c>
      <c r="U7" s="771">
        <f t="shared" ref="U7:U15" si="1">H7</f>
        <v>88</v>
      </c>
      <c r="V7" s="770" t="s">
        <v>17</v>
      </c>
      <c r="W7" s="771">
        <f t="shared" ref="W7:W15" si="2">J7</f>
        <v>88</v>
      </c>
      <c r="X7" s="772"/>
      <c r="Y7" s="3170" t="s">
        <v>2546</v>
      </c>
      <c r="Z7" s="3171"/>
      <c r="AA7" s="773">
        <f>D7/F7</f>
        <v>1.1363636363636365</v>
      </c>
      <c r="AB7" s="773">
        <f>D7/H7</f>
        <v>1.1363636363636365</v>
      </c>
      <c r="AC7" s="773">
        <f>D7/J7</f>
        <v>1.1363636363636365</v>
      </c>
    </row>
    <row r="8" spans="1:29" s="117" customFormat="1" ht="15.75" thickBot="1">
      <c r="A8" s="408" t="s">
        <v>2547</v>
      </c>
      <c r="B8" s="409"/>
      <c r="C8" s="414" t="s">
        <v>2548</v>
      </c>
      <c r="D8" s="411">
        <v>100</v>
      </c>
      <c r="E8" s="414" t="s">
        <v>3072</v>
      </c>
      <c r="F8" s="413">
        <f>SUMIF(68:68,E8,69:69)-SUMIF(68:68,C8,69:69)+100</f>
        <v>100</v>
      </c>
      <c r="G8" s="414" t="s">
        <v>3072</v>
      </c>
      <c r="H8" s="411">
        <f>SUMIF(68:68,G8,69:69)-SUMIF(68:68,C8,69:69)+100</f>
        <v>100</v>
      </c>
      <c r="I8" s="414" t="s">
        <v>3072</v>
      </c>
      <c r="J8" s="411">
        <f>SUMIF(68:68,I8,69:69)-SUMIF(68:68,C8,69:69)+100</f>
        <v>100</v>
      </c>
      <c r="K8" s="611"/>
      <c r="L8" s="1134"/>
      <c r="M8" s="1135"/>
      <c r="N8" s="1135"/>
      <c r="O8" s="1135"/>
      <c r="P8" s="3170" t="s">
        <v>2549</v>
      </c>
      <c r="Q8" s="3171"/>
      <c r="R8" s="770" t="s">
        <v>17</v>
      </c>
      <c r="S8" s="771">
        <f t="shared" si="0"/>
        <v>100</v>
      </c>
      <c r="T8" s="770" t="s">
        <v>17</v>
      </c>
      <c r="U8" s="771">
        <f t="shared" si="1"/>
        <v>100</v>
      </c>
      <c r="V8" s="770" t="s">
        <v>17</v>
      </c>
      <c r="W8" s="771">
        <f t="shared" si="2"/>
        <v>100</v>
      </c>
      <c r="X8" s="772"/>
      <c r="Y8" s="3170" t="s">
        <v>2549</v>
      </c>
      <c r="Z8" s="3171"/>
      <c r="AA8" s="773">
        <f t="shared" ref="AA8:AA40" si="3">D8/F8</f>
        <v>1</v>
      </c>
      <c r="AB8" s="773">
        <f t="shared" ref="AB8:AB40" si="4">D8/H8</f>
        <v>1</v>
      </c>
      <c r="AC8" s="773">
        <f t="shared" ref="AC8:AC40" si="5">D8/J8</f>
        <v>1</v>
      </c>
    </row>
    <row r="9" spans="1:29" s="117" customFormat="1">
      <c r="A9" s="415" t="s">
        <v>2550</v>
      </c>
      <c r="B9" s="71" t="s">
        <v>2551</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4"/>
      <c r="M9" s="1135"/>
      <c r="N9" s="1135"/>
      <c r="O9" s="1136"/>
      <c r="P9" s="3168" t="s">
        <v>2552</v>
      </c>
      <c r="Q9" s="1797"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32">
        <f>项目基本情况!I15</f>
        <v>35.86</v>
      </c>
      <c r="D10" s="136">
        <v>100</v>
      </c>
      <c r="E10" s="432">
        <v>50</v>
      </c>
      <c r="F10" s="136">
        <f>ROUND(100/'数据-取费表'!G16,0)</f>
        <v>112</v>
      </c>
      <c r="G10" s="432">
        <v>50</v>
      </c>
      <c r="H10" s="136">
        <f>ROUND(100/'数据-取费表'!G16,0)</f>
        <v>112</v>
      </c>
      <c r="I10" s="432">
        <v>50</v>
      </c>
      <c r="J10" s="136">
        <f>ROUND(100/'数据-取费表'!G16,0)</f>
        <v>112</v>
      </c>
      <c r="K10" s="672"/>
      <c r="L10" s="1137"/>
      <c r="M10" s="1138"/>
      <c r="N10" s="1138"/>
      <c r="O10" s="1139"/>
      <c r="P10" s="3168"/>
      <c r="Q10" s="1797" t="str">
        <f t="shared" si="6"/>
        <v>土地使用年限（年）</v>
      </c>
      <c r="R10" s="770" t="s">
        <v>17</v>
      </c>
      <c r="S10" s="771">
        <f t="shared" si="0"/>
        <v>112</v>
      </c>
      <c r="T10" s="770" t="s">
        <v>17</v>
      </c>
      <c r="U10" s="771">
        <f t="shared" si="1"/>
        <v>112</v>
      </c>
      <c r="V10" s="770" t="s">
        <v>17</v>
      </c>
      <c r="W10" s="771">
        <f t="shared" si="2"/>
        <v>112</v>
      </c>
      <c r="X10" s="772"/>
      <c r="Y10" s="3020"/>
      <c r="Z10" s="55" t="str">
        <f t="shared" si="7"/>
        <v>土地使用年限（年）</v>
      </c>
      <c r="AA10" s="773">
        <f t="shared" si="3"/>
        <v>0.8928571428571429</v>
      </c>
      <c r="AB10" s="773">
        <f t="shared" si="4"/>
        <v>0.8928571428571429</v>
      </c>
      <c r="AC10" s="773">
        <f t="shared" si="5"/>
        <v>0.8928571428571429</v>
      </c>
    </row>
    <row r="11" spans="1:29" ht="15">
      <c r="A11" s="428"/>
      <c r="B11" s="422" t="s">
        <v>2555</v>
      </c>
      <c r="C11" s="429">
        <f>'数据-汇总表'!I6</f>
        <v>2.57</v>
      </c>
      <c r="D11" s="136">
        <v>100</v>
      </c>
      <c r="E11" s="429">
        <v>1.4</v>
      </c>
      <c r="F11" s="136">
        <f>LOOKUP(E11,75:75,76:76)-LOOKUP(C11,75:75,76:76)+100</f>
        <v>100</v>
      </c>
      <c r="G11" s="430">
        <v>1.5</v>
      </c>
      <c r="H11" s="136">
        <f>LOOKUP(G11,75:75,76:76)-LOOKUP(C11,75:75,76:76)+100</f>
        <v>100</v>
      </c>
      <c r="I11" s="429">
        <v>1.4</v>
      </c>
      <c r="J11" s="136">
        <f>LOOKUP(I11,75:75,76:76)-LOOKUP(C11,75:75,76:76)+100</f>
        <v>100</v>
      </c>
      <c r="K11" s="673">
        <v>0</v>
      </c>
      <c r="L11" s="1140"/>
      <c r="M11" s="1133"/>
      <c r="N11" s="1133"/>
      <c r="O11" s="1141"/>
      <c r="P11" s="3168"/>
      <c r="Q11" s="1797" t="str">
        <f t="shared" si="6"/>
        <v>容积率</v>
      </c>
      <c r="R11" s="770" t="s">
        <v>17</v>
      </c>
      <c r="S11" s="771">
        <f t="shared" si="0"/>
        <v>100</v>
      </c>
      <c r="T11" s="770" t="s">
        <v>17</v>
      </c>
      <c r="U11" s="771">
        <f t="shared" si="1"/>
        <v>100</v>
      </c>
      <c r="V11" s="770" t="s">
        <v>17</v>
      </c>
      <c r="W11" s="771">
        <f t="shared" si="2"/>
        <v>100</v>
      </c>
      <c r="X11" s="772"/>
      <c r="Y11" s="3020"/>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8"/>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8"/>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8"/>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120.75" customHeight="1">
      <c r="A15" s="440" t="s">
        <v>2556</v>
      </c>
      <c r="B15" s="629" t="s">
        <v>2795</v>
      </c>
      <c r="C15" s="2695" t="str">
        <f>估价对象房地状况!G15</f>
        <v>估价对象位于大兴开发区，周边1公里范围内有平客集文华创业园、北京锦秋文化创意产业园等，产业集聚程度较好。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2"/>
      <c r="M15" s="1133"/>
      <c r="N15" s="1133"/>
      <c r="O15" s="1141"/>
      <c r="P15" s="3185" t="s">
        <v>2557</v>
      </c>
      <c r="Q15" s="1812" t="str">
        <f t="shared" si="6"/>
        <v>产业集聚程度</v>
      </c>
      <c r="R15" s="774" t="s">
        <v>17</v>
      </c>
      <c r="S15" s="775">
        <f t="shared" si="0"/>
        <v>100</v>
      </c>
      <c r="T15" s="774" t="s">
        <v>17</v>
      </c>
      <c r="U15" s="775">
        <f t="shared" si="1"/>
        <v>100</v>
      </c>
      <c r="V15" s="774" t="s">
        <v>17</v>
      </c>
      <c r="W15" s="775">
        <f t="shared" si="2"/>
        <v>100</v>
      </c>
      <c r="X15" s="1815"/>
      <c r="Y15" s="3185" t="s">
        <v>2557</v>
      </c>
      <c r="Z15" s="1816" t="str">
        <f t="shared" si="7"/>
        <v>产业集聚程度</v>
      </c>
      <c r="AA15" s="1813">
        <f t="shared" si="3"/>
        <v>1</v>
      </c>
      <c r="AB15" s="1813">
        <f t="shared" si="4"/>
        <v>1</v>
      </c>
      <c r="AC15" s="1813">
        <f t="shared" si="5"/>
        <v>1</v>
      </c>
    </row>
    <row r="16" spans="1:29" ht="15">
      <c r="A16" s="428"/>
      <c r="B16" s="630"/>
      <c r="C16" s="447" t="s">
        <v>3186</v>
      </c>
      <c r="D16" s="448"/>
      <c r="E16" s="2613" t="s">
        <v>3186</v>
      </c>
      <c r="F16" s="448"/>
      <c r="G16" s="2613" t="s">
        <v>3186</v>
      </c>
      <c r="H16" s="450"/>
      <c r="I16" s="2613" t="s">
        <v>3186</v>
      </c>
      <c r="J16" s="448"/>
      <c r="K16" s="672"/>
      <c r="L16" s="1142"/>
      <c r="M16" s="1133"/>
      <c r="N16" s="1133"/>
      <c r="O16" s="1141"/>
      <c r="P16" s="3186"/>
      <c r="Q16" s="1812"/>
      <c r="R16" s="774"/>
      <c r="S16" s="775"/>
      <c r="T16" s="774"/>
      <c r="U16" s="775"/>
      <c r="V16" s="774"/>
      <c r="W16" s="775"/>
      <c r="X16" s="1815"/>
      <c r="Y16" s="3186"/>
      <c r="Z16" s="1816"/>
      <c r="AA16" s="1813">
        <v>1</v>
      </c>
      <c r="AB16" s="1813">
        <v>1</v>
      </c>
      <c r="AC16" s="1813">
        <v>1</v>
      </c>
    </row>
    <row r="17" spans="1:29" ht="99.75">
      <c r="A17" s="428"/>
      <c r="B17" s="631" t="s">
        <v>2706</v>
      </c>
      <c r="C17" s="2609" t="str">
        <f>估价对象房地状况!G16</f>
        <v>周边1公里范围内有专67路、954路、兴36路等公交线路，停车便捷度较好，交通便捷度一般。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2"/>
      <c r="M17" s="1133"/>
      <c r="N17" s="1133"/>
      <c r="O17" s="1141"/>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632"/>
      <c r="C18" s="447" t="s">
        <v>3187</v>
      </c>
      <c r="D18" s="448"/>
      <c r="E18" s="2607" t="s">
        <v>3187</v>
      </c>
      <c r="F18" s="448"/>
      <c r="G18" s="2607" t="s">
        <v>3187</v>
      </c>
      <c r="H18" s="448"/>
      <c r="I18" s="2606" t="s">
        <v>3187</v>
      </c>
      <c r="J18" s="448"/>
      <c r="K18" s="672"/>
      <c r="L18" s="1142"/>
      <c r="M18" s="1133"/>
      <c r="N18" s="1133"/>
      <c r="O18" s="1141"/>
      <c r="P18" s="3186"/>
      <c r="Q18" s="1812"/>
      <c r="R18" s="774"/>
      <c r="S18" s="775"/>
      <c r="T18" s="774"/>
      <c r="U18" s="775"/>
      <c r="V18" s="774"/>
      <c r="W18" s="775"/>
      <c r="X18" s="1815"/>
      <c r="Y18" s="3186"/>
      <c r="Z18" s="1816"/>
      <c r="AA18" s="1813">
        <v>1</v>
      </c>
      <c r="AB18" s="1813">
        <v>1</v>
      </c>
      <c r="AC18" s="1813">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2"/>
      <c r="M19" s="1133"/>
      <c r="N19" s="1133"/>
      <c r="O19" s="1141"/>
      <c r="P19" s="3186"/>
      <c r="Q19" s="1812" t="str">
        <f t="shared" ref="Q19:Q33" si="8">B19</f>
        <v>区域土地利用方向</v>
      </c>
      <c r="R19" s="774" t="s">
        <v>17</v>
      </c>
      <c r="S19" s="775">
        <f>F19</f>
        <v>100</v>
      </c>
      <c r="T19" s="774" t="s">
        <v>17</v>
      </c>
      <c r="U19" s="775">
        <f>H19</f>
        <v>100</v>
      </c>
      <c r="V19" s="774" t="s">
        <v>17</v>
      </c>
      <c r="W19" s="775">
        <f>J19</f>
        <v>100</v>
      </c>
      <c r="X19" s="1815"/>
      <c r="Y19" s="3186"/>
      <c r="Z19" s="1816" t="str">
        <f>Q19</f>
        <v>区域土地利用方向</v>
      </c>
      <c r="AA19" s="1813">
        <f t="shared" si="3"/>
        <v>1</v>
      </c>
      <c r="AB19" s="1813">
        <f t="shared" si="4"/>
        <v>1</v>
      </c>
      <c r="AC19" s="1813">
        <f t="shared" si="5"/>
        <v>1</v>
      </c>
    </row>
    <row r="20" spans="1:29" ht="15">
      <c r="A20" s="404"/>
      <c r="B20" s="632"/>
      <c r="C20" s="447" t="s">
        <v>3186</v>
      </c>
      <c r="D20" s="448"/>
      <c r="E20" s="2607" t="s">
        <v>3186</v>
      </c>
      <c r="F20" s="448"/>
      <c r="G20" s="2607" t="s">
        <v>3186</v>
      </c>
      <c r="H20" s="448"/>
      <c r="I20" s="2607" t="s">
        <v>3186</v>
      </c>
      <c r="J20" s="448"/>
      <c r="K20" s="812"/>
      <c r="L20" s="1142"/>
      <c r="M20" s="1133"/>
      <c r="N20" s="1133"/>
      <c r="O20" s="1141"/>
      <c r="P20" s="3186"/>
      <c r="Q20" s="1812"/>
      <c r="R20" s="774"/>
      <c r="S20" s="775"/>
      <c r="T20" s="774"/>
      <c r="U20" s="775"/>
      <c r="V20" s="774"/>
      <c r="W20" s="775"/>
      <c r="X20" s="1815"/>
      <c r="Y20" s="3186"/>
      <c r="Z20" s="1816"/>
      <c r="AA20" s="1813"/>
      <c r="AB20" s="1813"/>
      <c r="AC20" s="1813"/>
    </row>
    <row r="21" spans="1:29" ht="71.25">
      <c r="A21" s="404"/>
      <c r="B21" s="631" t="s">
        <v>2796</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2"/>
      <c r="M21" s="1133"/>
      <c r="N21" s="1133"/>
      <c r="O21" s="1141"/>
      <c r="P21" s="3186"/>
      <c r="Q21" s="1812" t="str">
        <f t="shared" si="8"/>
        <v>环境状况</v>
      </c>
      <c r="R21" s="774" t="s">
        <v>17</v>
      </c>
      <c r="S21" s="775">
        <f>F21</f>
        <v>100</v>
      </c>
      <c r="T21" s="774" t="s">
        <v>17</v>
      </c>
      <c r="U21" s="775">
        <f>H21</f>
        <v>100</v>
      </c>
      <c r="V21" s="774" t="s">
        <v>17</v>
      </c>
      <c r="W21" s="775">
        <f>J21</f>
        <v>100</v>
      </c>
      <c r="X21" s="1815"/>
      <c r="Y21" s="3186"/>
      <c r="Z21" s="1816" t="str">
        <f>Q21</f>
        <v>环境状况</v>
      </c>
      <c r="AA21" s="1813">
        <f t="shared" si="3"/>
        <v>1</v>
      </c>
      <c r="AB21" s="1813">
        <f t="shared" si="4"/>
        <v>1</v>
      </c>
      <c r="AC21" s="1813">
        <f t="shared" si="5"/>
        <v>1</v>
      </c>
    </row>
    <row r="22" spans="1:29" ht="15">
      <c r="A22" s="404"/>
      <c r="B22" s="632"/>
      <c r="C22" s="447" t="s">
        <v>3186</v>
      </c>
      <c r="D22" s="448"/>
      <c r="E22" s="2613" t="s">
        <v>3186</v>
      </c>
      <c r="F22" s="448"/>
      <c r="G22" s="2613" t="s">
        <v>3186</v>
      </c>
      <c r="H22" s="448"/>
      <c r="I22" s="447" t="s">
        <v>3186</v>
      </c>
      <c r="J22" s="448"/>
      <c r="K22" s="672"/>
      <c r="L22" s="1142"/>
      <c r="M22" s="1133"/>
      <c r="N22" s="1133"/>
      <c r="O22" s="1141"/>
      <c r="P22" s="3186"/>
      <c r="Q22" s="1812"/>
      <c r="R22" s="774"/>
      <c r="S22" s="775"/>
      <c r="T22" s="774"/>
      <c r="U22" s="775"/>
      <c r="V22" s="774"/>
      <c r="W22" s="775"/>
      <c r="X22" s="1815"/>
      <c r="Y22" s="3186"/>
      <c r="Z22" s="1816"/>
      <c r="AA22" s="1813">
        <v>1</v>
      </c>
      <c r="AB22" s="1813">
        <v>1</v>
      </c>
      <c r="AC22" s="1813">
        <v>1</v>
      </c>
    </row>
    <row r="23" spans="1:29" s="117" customFormat="1" ht="71.25" customHeight="1">
      <c r="A23" s="649"/>
      <c r="B23" s="633" t="s">
        <v>2651</v>
      </c>
      <c r="C23" s="2609" t="str">
        <f>估价对象房地状况!G19</f>
        <v>周边2公里内有银行、超市、餐饮等配套，公共服务设施一般</v>
      </c>
      <c r="D23" s="450">
        <v>100</v>
      </c>
      <c r="E23" s="452"/>
      <c r="F23" s="450">
        <f>SUMIF(91:91,E24,92:92)-SUMIF(91:91,C24,92:92)+100</f>
        <v>98</v>
      </c>
      <c r="G23" s="452"/>
      <c r="H23" s="450">
        <f>SUMIF(91:91,G24,92:92)-SUMIF(91:91,C24,92:92)+100</f>
        <v>98</v>
      </c>
      <c r="I23" s="454"/>
      <c r="J23" s="450">
        <f>SUMIF(91:91,I24,92:92)-SUMIF(91:91,C24,92:92)+100</f>
        <v>98</v>
      </c>
      <c r="K23" s="673">
        <v>2</v>
      </c>
      <c r="L23" s="1134"/>
      <c r="M23" s="1135"/>
      <c r="N23" s="1135"/>
      <c r="O23" s="1136"/>
      <c r="P23" s="3186"/>
      <c r="Q23" s="1797" t="str">
        <f t="shared" si="8"/>
        <v>公共配套设施</v>
      </c>
      <c r="R23" s="770" t="s">
        <v>17</v>
      </c>
      <c r="S23" s="771">
        <f>F23</f>
        <v>98</v>
      </c>
      <c r="T23" s="770" t="s">
        <v>17</v>
      </c>
      <c r="U23" s="771">
        <f>H23</f>
        <v>98</v>
      </c>
      <c r="V23" s="770" t="s">
        <v>17</v>
      </c>
      <c r="W23" s="771">
        <f>J23</f>
        <v>98</v>
      </c>
      <c r="X23" s="772"/>
      <c r="Y23" s="3186"/>
      <c r="Z23" s="55" t="str">
        <f>Q23</f>
        <v>公共配套设施</v>
      </c>
      <c r="AA23" s="1813">
        <f>D23/F23</f>
        <v>1.0204081632653061</v>
      </c>
      <c r="AB23" s="1813">
        <f>D23/H23</f>
        <v>1.0204081632653061</v>
      </c>
      <c r="AC23" s="1813">
        <f>D23/J23</f>
        <v>1.0204081632653061</v>
      </c>
    </row>
    <row r="24" spans="1:29" s="117" customFormat="1" ht="15">
      <c r="A24" s="649"/>
      <c r="B24" s="632"/>
      <c r="C24" s="2702" t="s">
        <v>3187</v>
      </c>
      <c r="D24" s="448"/>
      <c r="E24" s="2613" t="s">
        <v>3191</v>
      </c>
      <c r="F24" s="448"/>
      <c r="G24" s="2613" t="s">
        <v>3191</v>
      </c>
      <c r="H24" s="448"/>
      <c r="I24" s="447" t="s">
        <v>3191</v>
      </c>
      <c r="J24" s="448"/>
      <c r="K24" s="672"/>
      <c r="L24" s="1134"/>
      <c r="M24" s="1135"/>
      <c r="N24" s="1135"/>
      <c r="O24" s="1136"/>
      <c r="P24" s="3186"/>
      <c r="Q24" s="1797"/>
      <c r="R24" s="770"/>
      <c r="S24" s="771"/>
      <c r="T24" s="770"/>
      <c r="U24" s="771"/>
      <c r="V24" s="770"/>
      <c r="W24" s="771"/>
      <c r="X24" s="772"/>
      <c r="Y24" s="3186"/>
      <c r="Z24" s="55"/>
      <c r="AA24" s="773">
        <v>1</v>
      </c>
      <c r="AB24" s="773">
        <v>1</v>
      </c>
      <c r="AC24" s="773">
        <v>1</v>
      </c>
    </row>
    <row r="25" spans="1:29" s="117" customFormat="1" ht="15">
      <c r="A25" s="649"/>
      <c r="B25" s="633" t="s">
        <v>2652</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4"/>
      <c r="M25" s="1135"/>
      <c r="N25" s="1135"/>
      <c r="O25" s="1136"/>
      <c r="P25" s="3186"/>
      <c r="Q25" s="1797"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3">
        <f>D25/F25</f>
        <v>1</v>
      </c>
      <c r="AB25" s="1813">
        <f>D25/H25</f>
        <v>1</v>
      </c>
      <c r="AC25" s="1813">
        <f>D25/J25</f>
        <v>1</v>
      </c>
    </row>
    <row r="26" spans="1:29" s="117" customFormat="1" ht="15">
      <c r="A26" s="649"/>
      <c r="B26" s="632"/>
      <c r="C26" s="2702" t="s">
        <v>3188</v>
      </c>
      <c r="D26" s="448"/>
      <c r="E26" s="2703" t="s">
        <v>3188</v>
      </c>
      <c r="F26" s="448"/>
      <c r="G26" s="2703" t="s">
        <v>3188</v>
      </c>
      <c r="H26" s="448"/>
      <c r="I26" s="2703" t="s">
        <v>3188</v>
      </c>
      <c r="J26" s="448"/>
      <c r="K26" s="672"/>
      <c r="L26" s="1134"/>
      <c r="M26" s="1135"/>
      <c r="N26" s="1135"/>
      <c r="O26" s="1136"/>
      <c r="P26" s="3186"/>
      <c r="Q26" s="1797"/>
      <c r="R26" s="770"/>
      <c r="S26" s="771"/>
      <c r="T26" s="770"/>
      <c r="U26" s="771"/>
      <c r="V26" s="770"/>
      <c r="W26" s="771"/>
      <c r="X26" s="772"/>
      <c r="Y26" s="3186"/>
      <c r="Z26" s="55"/>
      <c r="AA26" s="773">
        <v>1</v>
      </c>
      <c r="AB26" s="773">
        <v>1</v>
      </c>
      <c r="AC26" s="773">
        <v>1</v>
      </c>
    </row>
    <row r="27" spans="1:29" ht="15">
      <c r="A27" s="428"/>
      <c r="B27" s="632" t="s">
        <v>2653</v>
      </c>
      <c r="C27" s="616" t="s">
        <v>3189</v>
      </c>
      <c r="D27" s="435">
        <v>100</v>
      </c>
      <c r="E27" s="634" t="s">
        <v>3189</v>
      </c>
      <c r="F27" s="435">
        <f>SUMIF(95:95,E27,96:96)-SUMIF(95:95,C27,96:96)+100</f>
        <v>100</v>
      </c>
      <c r="G27" s="634" t="s">
        <v>3192</v>
      </c>
      <c r="H27" s="435">
        <f>SUMIF(95:95,G27,96:96)-SUMIF(95:95,C27,96:96)+100</f>
        <v>102</v>
      </c>
      <c r="I27" s="634" t="s">
        <v>3193</v>
      </c>
      <c r="J27" s="435">
        <f>SUMIF(95:95,I27,96:96)-SUMIF(95:95,C27,96:96)+100</f>
        <v>101</v>
      </c>
      <c r="K27" s="673">
        <v>1</v>
      </c>
      <c r="L27" s="1142"/>
      <c r="M27" s="1133"/>
      <c r="N27" s="1133"/>
      <c r="O27" s="1141"/>
      <c r="P27" s="3186"/>
      <c r="Q27" s="1812" t="str">
        <f t="shared" si="8"/>
        <v>临街状况</v>
      </c>
      <c r="R27" s="774" t="s">
        <v>17</v>
      </c>
      <c r="S27" s="775">
        <f t="shared" ref="S27:S40" si="10">F27</f>
        <v>100</v>
      </c>
      <c r="T27" s="774" t="s">
        <v>17</v>
      </c>
      <c r="U27" s="775">
        <f t="shared" ref="U27:U40" si="11">H27</f>
        <v>102</v>
      </c>
      <c r="V27" s="774" t="s">
        <v>17</v>
      </c>
      <c r="W27" s="775">
        <f t="shared" ref="W27:W40" si="12">J27</f>
        <v>101</v>
      </c>
      <c r="X27" s="1815"/>
      <c r="Y27" s="3186"/>
      <c r="Z27" s="1816" t="str">
        <f t="shared" ref="Z27:Z40" si="13">Q27</f>
        <v>临街状况</v>
      </c>
      <c r="AA27" s="1813">
        <f t="shared" si="3"/>
        <v>1</v>
      </c>
      <c r="AB27" s="1813">
        <f t="shared" si="4"/>
        <v>0.98039215686274506</v>
      </c>
      <c r="AC27" s="1813">
        <f t="shared" si="5"/>
        <v>0.99009900990099009</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2"/>
      <c r="M28" s="1133"/>
      <c r="N28" s="1133"/>
      <c r="O28" s="1141"/>
      <c r="P28" s="3186"/>
      <c r="Q28" s="1812" t="str">
        <f t="shared" si="8"/>
        <v>毗邻道路的类型与等级</v>
      </c>
      <c r="R28" s="774" t="s">
        <v>17</v>
      </c>
      <c r="S28" s="775">
        <f t="shared" si="10"/>
        <v>100</v>
      </c>
      <c r="T28" s="774" t="s">
        <v>17</v>
      </c>
      <c r="U28" s="775">
        <f t="shared" si="11"/>
        <v>100</v>
      </c>
      <c r="V28" s="774" t="s">
        <v>17</v>
      </c>
      <c r="W28" s="775">
        <f t="shared" si="12"/>
        <v>100</v>
      </c>
      <c r="X28" s="1815"/>
      <c r="Y28" s="3186"/>
      <c r="Z28" s="1816" t="str">
        <f t="shared" si="13"/>
        <v>毗邻道路的类型与等级</v>
      </c>
      <c r="AA28" s="1813">
        <f t="shared" si="3"/>
        <v>1</v>
      </c>
      <c r="AB28" s="1813">
        <f t="shared" si="4"/>
        <v>1</v>
      </c>
      <c r="AC28" s="1813">
        <f t="shared" si="5"/>
        <v>1</v>
      </c>
    </row>
    <row r="29" spans="1:29" ht="15.75" thickBot="1">
      <c r="A29" s="428"/>
      <c r="B29" s="632"/>
      <c r="C29" s="447" t="s">
        <v>3200</v>
      </c>
      <c r="D29" s="448"/>
      <c r="E29" s="2613" t="s">
        <v>3200</v>
      </c>
      <c r="F29" s="448"/>
      <c r="G29" s="2613" t="s">
        <v>3200</v>
      </c>
      <c r="H29" s="448"/>
      <c r="I29" s="2613" t="s">
        <v>3200</v>
      </c>
      <c r="J29" s="448"/>
      <c r="K29" s="613"/>
      <c r="L29" s="1142"/>
      <c r="M29" s="1133"/>
      <c r="N29" s="1133"/>
      <c r="O29" s="1141"/>
      <c r="P29" s="3186"/>
      <c r="Q29" s="1812"/>
      <c r="R29" s="774"/>
      <c r="S29" s="775"/>
      <c r="T29" s="774"/>
      <c r="U29" s="775"/>
      <c r="V29" s="774"/>
      <c r="W29" s="775"/>
      <c r="X29" s="1815"/>
      <c r="Y29" s="3186"/>
      <c r="Z29" s="1816"/>
      <c r="AA29" s="1813">
        <v>1</v>
      </c>
      <c r="AB29" s="1813">
        <v>1</v>
      </c>
      <c r="AC29" s="1813">
        <v>1</v>
      </c>
    </row>
    <row r="30" spans="1:29" ht="15" hidden="1">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6"/>
      <c r="Q30" s="1812" t="str">
        <f t="shared" si="8"/>
        <v>土地级别</v>
      </c>
      <c r="R30" s="774" t="s">
        <v>17</v>
      </c>
      <c r="S30" s="775">
        <f t="shared" si="10"/>
        <v>100</v>
      </c>
      <c r="T30" s="774" t="s">
        <v>17</v>
      </c>
      <c r="U30" s="775">
        <f t="shared" si="11"/>
        <v>100</v>
      </c>
      <c r="V30" s="774" t="s">
        <v>17</v>
      </c>
      <c r="W30" s="775">
        <f t="shared" si="12"/>
        <v>100</v>
      </c>
      <c r="X30" s="1815"/>
      <c r="Y30" s="3186"/>
      <c r="Z30" s="1816" t="str">
        <f t="shared" si="13"/>
        <v>土地级别</v>
      </c>
      <c r="AA30" s="1813">
        <f t="shared" si="3"/>
        <v>1</v>
      </c>
      <c r="AB30" s="1813">
        <f t="shared" si="4"/>
        <v>1</v>
      </c>
      <c r="AC30" s="1813">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6"/>
      <c r="Q31" s="1812">
        <f t="shared" si="8"/>
        <v>111</v>
      </c>
      <c r="R31" s="774" t="s">
        <v>17</v>
      </c>
      <c r="S31" s="775">
        <f t="shared" si="10"/>
        <v>100</v>
      </c>
      <c r="T31" s="774" t="s">
        <v>17</v>
      </c>
      <c r="U31" s="775">
        <f t="shared" si="11"/>
        <v>100</v>
      </c>
      <c r="V31" s="774" t="s">
        <v>17</v>
      </c>
      <c r="W31" s="775">
        <f t="shared" si="12"/>
        <v>100</v>
      </c>
      <c r="X31" s="1815"/>
      <c r="Y31" s="3186"/>
      <c r="Z31" s="1816">
        <f t="shared" si="13"/>
        <v>111</v>
      </c>
      <c r="AA31" s="1813">
        <f t="shared" si="3"/>
        <v>1</v>
      </c>
      <c r="AB31" s="1813">
        <f t="shared" si="4"/>
        <v>1</v>
      </c>
      <c r="AC31" s="1813">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2" t="s">
        <v>2562</v>
      </c>
      <c r="Q32" s="1812">
        <f t="shared" si="8"/>
        <v>111</v>
      </c>
      <c r="R32" s="774" t="s">
        <v>17</v>
      </c>
      <c r="S32" s="775">
        <f t="shared" si="10"/>
        <v>100</v>
      </c>
      <c r="T32" s="774" t="s">
        <v>17</v>
      </c>
      <c r="U32" s="775">
        <f t="shared" si="11"/>
        <v>100</v>
      </c>
      <c r="V32" s="774" t="s">
        <v>17</v>
      </c>
      <c r="W32" s="775">
        <f t="shared" si="12"/>
        <v>100</v>
      </c>
      <c r="X32" s="1815"/>
      <c r="Y32" s="3187" t="s">
        <v>2562</v>
      </c>
      <c r="Z32" s="1816">
        <f t="shared" si="13"/>
        <v>111</v>
      </c>
      <c r="AA32" s="1813">
        <f t="shared" si="3"/>
        <v>1</v>
      </c>
      <c r="AB32" s="1813">
        <f t="shared" si="4"/>
        <v>1</v>
      </c>
      <c r="AC32" s="1813">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87"/>
      <c r="Q33" s="1812">
        <f t="shared" si="8"/>
        <v>111</v>
      </c>
      <c r="R33" s="777" t="s">
        <v>17</v>
      </c>
      <c r="S33" s="778">
        <f t="shared" si="10"/>
        <v>100</v>
      </c>
      <c r="T33" s="777" t="s">
        <v>17</v>
      </c>
      <c r="U33" s="778">
        <f t="shared" si="11"/>
        <v>100</v>
      </c>
      <c r="V33" s="777" t="s">
        <v>17</v>
      </c>
      <c r="W33" s="778">
        <f t="shared" si="12"/>
        <v>100</v>
      </c>
      <c r="X33" s="779"/>
      <c r="Y33" s="3187"/>
      <c r="Z33" s="780">
        <f t="shared" si="13"/>
        <v>111</v>
      </c>
      <c r="AA33" s="1813">
        <f t="shared" si="3"/>
        <v>1</v>
      </c>
      <c r="AB33" s="1813">
        <f t="shared" si="4"/>
        <v>1</v>
      </c>
      <c r="AC33" s="1813">
        <f t="shared" si="5"/>
        <v>1</v>
      </c>
    </row>
    <row r="34" spans="1:29" ht="15">
      <c r="A34" s="440" t="s">
        <v>2560</v>
      </c>
      <c r="B34" s="456" t="s">
        <v>2748</v>
      </c>
      <c r="C34" s="679">
        <f>'数据-基础表'!A3</f>
        <v>2422.36</v>
      </c>
      <c r="D34" s="467">
        <v>100</v>
      </c>
      <c r="E34" s="679">
        <f>Sheet1!D19</f>
        <v>26676.58</v>
      </c>
      <c r="F34" s="467">
        <f>LOOKUP(E34,108:108,109:109)-LOOKUP(C34,108:108,109:109)+100</f>
        <v>102</v>
      </c>
      <c r="G34" s="679">
        <f>Sheet1!D20</f>
        <v>50030.87</v>
      </c>
      <c r="H34" s="467">
        <f>LOOKUP(G34,108:108,109:109)-LOOKUP(C34,108:108,109:109)+100</f>
        <v>104</v>
      </c>
      <c r="I34" s="530">
        <f>Sheet1!D23</f>
        <v>5352.49</v>
      </c>
      <c r="J34" s="467">
        <f>LOOKUP(I34,108:108,109:109)-LOOKUP(C34,108:108,109:109)+100</f>
        <v>100</v>
      </c>
      <c r="K34" s="613"/>
      <c r="L34" s="1142"/>
      <c r="M34" s="1133"/>
      <c r="N34" s="1133"/>
      <c r="O34" s="1141"/>
      <c r="P34" s="3187"/>
      <c r="Q34" s="1812" t="str">
        <f>B34</f>
        <v>宗地面积</v>
      </c>
      <c r="R34" s="774" t="s">
        <v>17</v>
      </c>
      <c r="S34" s="775">
        <f t="shared" si="10"/>
        <v>102</v>
      </c>
      <c r="T34" s="774" t="s">
        <v>17</v>
      </c>
      <c r="U34" s="775">
        <f t="shared" si="11"/>
        <v>104</v>
      </c>
      <c r="V34" s="774" t="s">
        <v>17</v>
      </c>
      <c r="W34" s="775">
        <f t="shared" si="12"/>
        <v>100</v>
      </c>
      <c r="X34" s="1815"/>
      <c r="Y34" s="3187"/>
      <c r="Z34" s="1816" t="str">
        <f t="shared" si="13"/>
        <v>宗地面积</v>
      </c>
      <c r="AA34" s="1813">
        <f t="shared" si="3"/>
        <v>0.98039215686274506</v>
      </c>
      <c r="AB34" s="1813">
        <f t="shared" si="4"/>
        <v>0.96153846153846156</v>
      </c>
      <c r="AC34" s="1813">
        <f t="shared" si="5"/>
        <v>1</v>
      </c>
    </row>
    <row r="35" spans="1:29" ht="15">
      <c r="A35" s="472"/>
      <c r="B35" s="422" t="s">
        <v>2749</v>
      </c>
      <c r="C35" s="2615" t="s">
        <v>3210</v>
      </c>
      <c r="D35" s="435">
        <v>100</v>
      </c>
      <c r="E35" s="2615" t="s">
        <v>3210</v>
      </c>
      <c r="F35" s="435">
        <f>SUMIF(110:110,E35,111:111)-SUMIF(110:110,C35,111:111)+100</f>
        <v>100</v>
      </c>
      <c r="G35" s="2615" t="s">
        <v>3210</v>
      </c>
      <c r="H35" s="435">
        <f>SUMIF(110:110,G35,111:111)-SUMIF(110:110,C35,111:111)+100</f>
        <v>100</v>
      </c>
      <c r="I35" s="2615" t="s">
        <v>3210</v>
      </c>
      <c r="J35" s="435">
        <f>SUMIF(110:110,I35,111:111)-SUMIF(110:110,C35,111:111)+100</f>
        <v>100</v>
      </c>
      <c r="K35" s="612">
        <v>2</v>
      </c>
      <c r="L35" s="1142"/>
      <c r="M35" s="1133"/>
      <c r="N35" s="1133"/>
      <c r="O35" s="1141"/>
      <c r="P35" s="3187"/>
      <c r="Q35" s="1812" t="str">
        <f t="shared" ref="Q35:Q40" si="14">B35</f>
        <v>宗地形状</v>
      </c>
      <c r="R35" s="774" t="s">
        <v>17</v>
      </c>
      <c r="S35" s="775">
        <f t="shared" si="10"/>
        <v>100</v>
      </c>
      <c r="T35" s="774" t="s">
        <v>17</v>
      </c>
      <c r="U35" s="775">
        <f t="shared" si="11"/>
        <v>100</v>
      </c>
      <c r="V35" s="774" t="s">
        <v>17</v>
      </c>
      <c r="W35" s="775">
        <f t="shared" si="12"/>
        <v>100</v>
      </c>
      <c r="X35" s="1815"/>
      <c r="Y35" s="3187"/>
      <c r="Z35" s="1816" t="str">
        <f t="shared" si="13"/>
        <v>宗地形状</v>
      </c>
      <c r="AA35" s="1813">
        <f t="shared" si="3"/>
        <v>1</v>
      </c>
      <c r="AB35" s="1813">
        <f t="shared" si="4"/>
        <v>1</v>
      </c>
      <c r="AC35" s="1813">
        <f t="shared" si="5"/>
        <v>1</v>
      </c>
    </row>
    <row r="36" spans="1:29" s="117" customFormat="1" ht="15">
      <c r="A36" s="473"/>
      <c r="B36" s="422" t="s">
        <v>2751</v>
      </c>
      <c r="C36" s="2704" t="s">
        <v>3188</v>
      </c>
      <c r="D36" s="136">
        <v>100</v>
      </c>
      <c r="E36" s="2704" t="s">
        <v>3206</v>
      </c>
      <c r="F36" s="435">
        <f>SUMIF(112:112,E36,113:113)-SUMIF(112:112,C36,113:113)+100</f>
        <v>98</v>
      </c>
      <c r="G36" s="2704" t="s">
        <v>3206</v>
      </c>
      <c r="H36" s="435">
        <f>SUMIF(112:112,G36,113:113)-SUMIF(112:112,C36,113:113)+100</f>
        <v>98</v>
      </c>
      <c r="I36" s="2704" t="s">
        <v>3206</v>
      </c>
      <c r="J36" s="435">
        <f>SUMIF(112:112,I36,113:113)-SUMIF(112:112,C36,113:113)+100</f>
        <v>98</v>
      </c>
      <c r="K36" s="612">
        <v>1</v>
      </c>
      <c r="L36" s="1134"/>
      <c r="M36" s="1135"/>
      <c r="N36" s="1135"/>
      <c r="O36" s="1136"/>
      <c r="P36" s="3187"/>
      <c r="Q36" s="1812" t="str">
        <f t="shared" si="14"/>
        <v>宗地开发程度</v>
      </c>
      <c r="R36" s="770" t="s">
        <v>17</v>
      </c>
      <c r="S36" s="771">
        <f t="shared" si="10"/>
        <v>98</v>
      </c>
      <c r="T36" s="770" t="s">
        <v>17</v>
      </c>
      <c r="U36" s="771">
        <f t="shared" si="11"/>
        <v>98</v>
      </c>
      <c r="V36" s="770" t="s">
        <v>17</v>
      </c>
      <c r="W36" s="771">
        <f t="shared" si="12"/>
        <v>98</v>
      </c>
      <c r="X36" s="772"/>
      <c r="Y36" s="3187"/>
      <c r="Z36" s="55" t="str">
        <f t="shared" si="13"/>
        <v>宗地开发程度</v>
      </c>
      <c r="AA36" s="773">
        <f t="shared" si="3"/>
        <v>1.0204081632653061</v>
      </c>
      <c r="AB36" s="773">
        <f t="shared" si="4"/>
        <v>1.0204081632653061</v>
      </c>
      <c r="AC36" s="773">
        <f t="shared" si="5"/>
        <v>1.0204081632653061</v>
      </c>
    </row>
    <row r="37" spans="1:29" ht="15.75" thickBot="1">
      <c r="A37" s="472"/>
      <c r="B37" s="422" t="s">
        <v>2752</v>
      </c>
      <c r="C37" s="2615" t="s">
        <v>3186</v>
      </c>
      <c r="D37" s="435">
        <v>100</v>
      </c>
      <c r="E37" s="2615" t="s">
        <v>3186</v>
      </c>
      <c r="F37" s="435">
        <f>SUMIF(114:114,E37,115:115)-SUMIF(114:114,C37,115:115)+100</f>
        <v>100</v>
      </c>
      <c r="G37" s="2615" t="s">
        <v>3186</v>
      </c>
      <c r="H37" s="435">
        <f>SUMIF(114:114,G37,115:115)-SUMIF(114:114,C37,115:115)+100</f>
        <v>100</v>
      </c>
      <c r="I37" s="2615" t="s">
        <v>3186</v>
      </c>
      <c r="J37" s="435">
        <f>SUMIF(114:114,I37,115:115)-SUMIF(114:114,C37,115:115)+100</f>
        <v>100</v>
      </c>
      <c r="K37" s="612">
        <v>2</v>
      </c>
      <c r="L37" s="1142"/>
      <c r="M37" s="1133"/>
      <c r="N37" s="1133"/>
      <c r="O37" s="1141"/>
      <c r="P37" s="3187" t="s">
        <v>2562</v>
      </c>
      <c r="Q37" s="1812" t="str">
        <f t="shared" si="14"/>
        <v>工程地质条件</v>
      </c>
      <c r="R37" s="774" t="s">
        <v>17</v>
      </c>
      <c r="S37" s="775">
        <f t="shared" si="10"/>
        <v>100</v>
      </c>
      <c r="T37" s="774" t="s">
        <v>17</v>
      </c>
      <c r="U37" s="775">
        <f t="shared" si="11"/>
        <v>100</v>
      </c>
      <c r="V37" s="774" t="s">
        <v>17</v>
      </c>
      <c r="W37" s="775">
        <f t="shared" si="12"/>
        <v>100</v>
      </c>
      <c r="X37" s="1815"/>
      <c r="Y37" s="3187" t="s">
        <v>2562</v>
      </c>
      <c r="Z37" s="1816" t="str">
        <f t="shared" si="13"/>
        <v>工程地质条件</v>
      </c>
      <c r="AA37" s="1813">
        <f t="shared" si="3"/>
        <v>1</v>
      </c>
      <c r="AB37" s="1813">
        <f t="shared" si="4"/>
        <v>1</v>
      </c>
      <c r="AC37" s="1813">
        <f t="shared" si="5"/>
        <v>1</v>
      </c>
    </row>
    <row r="38" spans="1:29" ht="15" hidden="1">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87"/>
      <c r="Q38" s="1812">
        <f t="shared" si="14"/>
        <v>111</v>
      </c>
      <c r="R38" s="774" t="s">
        <v>17</v>
      </c>
      <c r="S38" s="775">
        <f t="shared" si="10"/>
        <v>100</v>
      </c>
      <c r="T38" s="774" t="s">
        <v>17</v>
      </c>
      <c r="U38" s="775">
        <f t="shared" si="11"/>
        <v>100</v>
      </c>
      <c r="V38" s="774" t="s">
        <v>17</v>
      </c>
      <c r="W38" s="775">
        <f t="shared" si="12"/>
        <v>100</v>
      </c>
      <c r="X38" s="1815"/>
      <c r="Y38" s="3187"/>
      <c r="Z38" s="1816">
        <f t="shared" si="13"/>
        <v>111</v>
      </c>
      <c r="AA38" s="1813">
        <f t="shared" si="3"/>
        <v>1</v>
      </c>
      <c r="AB38" s="1813">
        <f t="shared" si="4"/>
        <v>1</v>
      </c>
      <c r="AC38" s="1813">
        <f t="shared" si="5"/>
        <v>1</v>
      </c>
    </row>
    <row r="39" spans="1:29" ht="15" hidden="1">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87"/>
      <c r="Q39" s="1812">
        <f t="shared" si="14"/>
        <v>111</v>
      </c>
      <c r="R39" s="774" t="s">
        <v>17</v>
      </c>
      <c r="S39" s="775">
        <f t="shared" si="10"/>
        <v>100</v>
      </c>
      <c r="T39" s="774" t="s">
        <v>17</v>
      </c>
      <c r="U39" s="775">
        <f t="shared" si="11"/>
        <v>100</v>
      </c>
      <c r="V39" s="774" t="s">
        <v>17</v>
      </c>
      <c r="W39" s="775">
        <f t="shared" si="12"/>
        <v>100</v>
      </c>
      <c r="X39" s="1815"/>
      <c r="Y39" s="3187"/>
      <c r="Z39" s="1816">
        <f t="shared" si="13"/>
        <v>111</v>
      </c>
      <c r="AA39" s="1813">
        <f t="shared" si="3"/>
        <v>1</v>
      </c>
      <c r="AB39" s="1813">
        <f t="shared" si="4"/>
        <v>1</v>
      </c>
      <c r="AC39" s="1813">
        <f t="shared" si="5"/>
        <v>1</v>
      </c>
    </row>
    <row r="40" spans="1:29" s="471" customFormat="1" ht="15.75" hidden="1"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87"/>
      <c r="Q40" s="1812">
        <f t="shared" si="14"/>
        <v>111</v>
      </c>
      <c r="R40" s="777" t="s">
        <v>17</v>
      </c>
      <c r="S40" s="778">
        <f t="shared" si="10"/>
        <v>100</v>
      </c>
      <c r="T40" s="777" t="s">
        <v>17</v>
      </c>
      <c r="U40" s="778">
        <f t="shared" si="11"/>
        <v>100</v>
      </c>
      <c r="V40" s="777" t="s">
        <v>17</v>
      </c>
      <c r="W40" s="778">
        <f t="shared" si="12"/>
        <v>100</v>
      </c>
      <c r="X40" s="779"/>
      <c r="Y40" s="3187"/>
      <c r="Z40" s="780">
        <f t="shared" si="13"/>
        <v>111</v>
      </c>
      <c r="AA40" s="1813">
        <f t="shared" si="3"/>
        <v>1</v>
      </c>
      <c r="AB40" s="1813">
        <f t="shared" si="4"/>
        <v>1</v>
      </c>
      <c r="AC40" s="1813">
        <f t="shared" si="5"/>
        <v>1</v>
      </c>
    </row>
    <row r="41" spans="1:29" ht="15">
      <c r="A41" s="479" t="s">
        <v>2717</v>
      </c>
      <c r="B41" s="2706" t="s">
        <v>3194</v>
      </c>
      <c r="C41" s="682" t="s">
        <v>1</v>
      </c>
      <c r="D41" s="481"/>
      <c r="E41" s="482">
        <f>Sheet1!K19</f>
        <v>1138</v>
      </c>
      <c r="F41" s="483"/>
      <c r="G41" s="484">
        <f>Sheet1!K20</f>
        <v>1189</v>
      </c>
      <c r="H41" s="485"/>
      <c r="I41" s="482">
        <f>Sheet1!K23</f>
        <v>1145</v>
      </c>
      <c r="J41" s="485"/>
      <c r="K41" s="783"/>
      <c r="L41" s="1145"/>
      <c r="M41" s="1133"/>
      <c r="N41" s="1133"/>
      <c r="O41" s="1146"/>
      <c r="P41" s="3168" t="str">
        <f>A41</f>
        <v>成交单价</v>
      </c>
      <c r="Q41" s="3168"/>
      <c r="R41" s="3184">
        <f>E41</f>
        <v>1138</v>
      </c>
      <c r="S41" s="3184"/>
      <c r="T41" s="3184">
        <f>G41</f>
        <v>1189</v>
      </c>
      <c r="U41" s="3184"/>
      <c r="V41" s="3184">
        <f>I41</f>
        <v>1145</v>
      </c>
      <c r="W41" s="3184"/>
      <c r="X41" s="759"/>
      <c r="Y41" s="781"/>
      <c r="Z41" s="759"/>
      <c r="AA41" s="759"/>
      <c r="AB41" s="759"/>
      <c r="AC41" s="759"/>
    </row>
    <row r="42" spans="1:29" ht="15.75" thickBot="1">
      <c r="A42" s="486" t="s">
        <v>2666</v>
      </c>
      <c r="B42" s="683"/>
      <c r="C42" s="490">
        <f>R43</f>
        <v>1187</v>
      </c>
      <c r="D42" s="489"/>
      <c r="E42" s="490">
        <f>R42</f>
        <v>1179</v>
      </c>
      <c r="F42" s="491"/>
      <c r="G42" s="488">
        <f>T42</f>
        <v>1184</v>
      </c>
      <c r="H42" s="489"/>
      <c r="I42" s="490">
        <f>V42</f>
        <v>1198</v>
      </c>
      <c r="J42" s="489"/>
      <c r="K42" s="784"/>
      <c r="L42" s="1145"/>
      <c r="M42" s="1133"/>
      <c r="N42" s="1133"/>
      <c r="O42" s="1146"/>
      <c r="P42" s="3168" t="str">
        <f>A42</f>
        <v>比较价值（元/平方米）</v>
      </c>
      <c r="Q42" s="3168"/>
      <c r="R42" s="3206">
        <f>ROUND(PRODUCT(R41,AA7:AA40),0)</f>
        <v>1179</v>
      </c>
      <c r="S42" s="3206"/>
      <c r="T42" s="3206">
        <f>ROUND(PRODUCT(T41,AB7:AB40),0)</f>
        <v>1184</v>
      </c>
      <c r="U42" s="3206"/>
      <c r="V42" s="3206">
        <f>ROUND(PRODUCT(V41,AC7:AC40),0)</f>
        <v>1198</v>
      </c>
      <c r="W42" s="3206"/>
      <c r="X42" s="759"/>
      <c r="Y42" s="759"/>
      <c r="Z42" s="759"/>
      <c r="AA42" s="759"/>
      <c r="AB42" s="759"/>
      <c r="AC42" s="759"/>
    </row>
    <row r="43" spans="1:29" ht="15.75" thickBot="1">
      <c r="A43" s="492" t="s">
        <v>2667</v>
      </c>
      <c r="B43" s="493"/>
      <c r="C43" s="494">
        <f>R43</f>
        <v>1187</v>
      </c>
      <c r="D43" s="494"/>
      <c r="E43" s="494"/>
      <c r="F43" s="494"/>
      <c r="G43" s="494"/>
      <c r="H43" s="494"/>
      <c r="I43" s="494"/>
      <c r="J43" s="494"/>
      <c r="K43" s="785"/>
      <c r="L43" s="1145"/>
      <c r="M43" s="1133"/>
      <c r="N43" s="1133"/>
      <c r="O43" s="1146"/>
      <c r="P43" s="3203" t="str">
        <f>A43</f>
        <v>估价对象XX用房的比较价值（楼面单价，元/平方米）</v>
      </c>
      <c r="Q43" s="3204"/>
      <c r="R43" s="3205">
        <f>ROUND(AVERAGE(R42:V42),0)</f>
        <v>1187</v>
      </c>
      <c r="S43" s="3205"/>
      <c r="T43" s="3205"/>
      <c r="U43" s="3205"/>
      <c r="V43" s="3205"/>
      <c r="W43" s="3205"/>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f>IF(E41&lt;E42,E42/E41-1,E41/E42-1)</f>
        <v>3.6028119507908629E-2</v>
      </c>
      <c r="F46" s="500" t="str">
        <f>IF(OR(E46&gt;=0.3,E46&lt;=-0.3),"超过30%","")</f>
        <v/>
      </c>
      <c r="G46" s="499">
        <f>IF(G41&lt;G42,G42/G41-1,G41/G42-1)</f>
        <v>4.222972972973027E-3</v>
      </c>
      <c r="H46" s="500" t="str">
        <f>IF(OR(G46&gt;=0.3,G46&lt;=-0.3),"超过30%","")</f>
        <v/>
      </c>
      <c r="I46" s="499">
        <f>IF(I41&lt;I42,I42/I41-1,I41/I42-1)</f>
        <v>4.6288209606986985E-2</v>
      </c>
      <c r="J46" s="500" t="str">
        <f>IF(OR(I46&gt;=0.3,I46&lt;=-0.3),"超过30%","")</f>
        <v/>
      </c>
      <c r="K46" s="1107"/>
      <c r="L46" s="1108"/>
      <c r="M46" s="1133"/>
      <c r="N46" s="1133"/>
      <c r="O46" s="1146"/>
    </row>
    <row r="47" spans="1:29" ht="13.5" customHeight="1">
      <c r="A47" s="1146"/>
      <c r="B47" s="1146"/>
      <c r="C47" s="497" t="s">
        <v>2669</v>
      </c>
      <c r="D47" s="501"/>
      <c r="E47" s="499">
        <f>IF(E42&lt;G42,G42/E42-1,E42/G42-1)</f>
        <v>4.2408821034776167E-3</v>
      </c>
      <c r="F47" s="500" t="str">
        <f>IF(OR(E47&gt;=0.2,E47&lt;=-0.2),"超过20%","")</f>
        <v/>
      </c>
      <c r="G47" s="499">
        <f>IF(G42&lt;I42,I42/G42-1,G42/I42-1)</f>
        <v>1.1824324324324342E-2</v>
      </c>
      <c r="H47" s="500" t="str">
        <f>IF(OR(G47&gt;=0.2,G47&lt;=-0.2),"超过20%","")</f>
        <v/>
      </c>
      <c r="I47" s="499">
        <f>IF(I42&lt;E42,E42/I42-1,I42/E42-1)</f>
        <v>1.6115351993214677E-2</v>
      </c>
      <c r="J47" s="500" t="str">
        <f>IF(OR(I47&gt;=0.2,I47&lt;=-0.2),"超过20%","")</f>
        <v/>
      </c>
      <c r="K47" s="1107"/>
      <c r="L47" s="1108"/>
      <c r="M47" s="1146"/>
      <c r="N47" s="1146"/>
      <c r="O47" s="1146"/>
    </row>
    <row r="48" spans="1:29" s="502" customFormat="1" ht="13.5" customHeight="1">
      <c r="A48" s="1147"/>
      <c r="B48" s="1147"/>
      <c r="C48" s="497" t="s">
        <v>2670</v>
      </c>
      <c r="D48" s="501"/>
      <c r="E48" s="499">
        <f>IF(E41&lt;G41,G41/E41-1,E41/G41-1)</f>
        <v>4.4815465729349802E-2</v>
      </c>
      <c r="F48" s="500" t="str">
        <f>IF(OR(E48&gt;=0.3,E48&lt;=-0.3),"超过30%","")</f>
        <v/>
      </c>
      <c r="G48" s="499">
        <f>IF(G41&lt;I41,I41/G41-1,G41/I41-1)</f>
        <v>3.8427947598253187E-2</v>
      </c>
      <c r="H48" s="500" t="str">
        <f>IF(OR(G48&gt;=0.3,G48&lt;=-0.3),"超过30%","")</f>
        <v/>
      </c>
      <c r="I48" s="499">
        <f>IF(I41&lt;E41,E41/I41-1,I41/E41-1)</f>
        <v>6.1511423550086874E-3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2755</v>
      </c>
      <c r="B50" s="685" t="s">
        <v>2756</v>
      </c>
      <c r="C50" s="2707" t="s">
        <v>2757</v>
      </c>
      <c r="D50" s="2708" t="s">
        <v>2758</v>
      </c>
      <c r="E50" s="686" t="s">
        <v>2759</v>
      </c>
      <c r="F50" s="687" t="s">
        <v>2760</v>
      </c>
      <c r="G50" s="3165" t="s">
        <v>2761</v>
      </c>
      <c r="H50" s="3166"/>
      <c r="I50" s="1816" t="s">
        <v>2797</v>
      </c>
      <c r="J50" s="1816">
        <f>项目基本情况!F35</f>
        <v>0</v>
      </c>
      <c r="K50" s="2710" t="s">
        <v>2763</v>
      </c>
      <c r="L50" s="1108"/>
      <c r="M50" s="1146"/>
      <c r="N50" s="1146"/>
      <c r="O50" s="1146"/>
    </row>
    <row r="51" spans="1:17" s="692" customFormat="1">
      <c r="A51" s="688" t="s">
        <v>2764</v>
      </c>
      <c r="B51" s="689">
        <f>C43</f>
        <v>1187</v>
      </c>
      <c r="C51" s="690">
        <v>1</v>
      </c>
      <c r="D51" s="1165">
        <v>1</v>
      </c>
      <c r="E51" s="690">
        <f>'数据-汇总表'!E8+'数据-汇总表'!E9</f>
        <v>6217.83</v>
      </c>
      <c r="F51" s="691">
        <f t="shared" ref="F51:F60" si="15">ROUND(B51*E51/10000,0)</f>
        <v>738</v>
      </c>
      <c r="G51" s="3167"/>
      <c r="H51" s="3168"/>
      <c r="I51" s="945">
        <v>1</v>
      </c>
      <c r="J51" s="945">
        <v>1</v>
      </c>
      <c r="K51" s="1147"/>
      <c r="L51" s="944"/>
      <c r="M51" s="944"/>
      <c r="N51" s="944"/>
      <c r="O51" s="944"/>
    </row>
    <row r="52" spans="1:17" s="692" customFormat="1">
      <c r="A52" s="693" t="s">
        <v>2765</v>
      </c>
      <c r="B52" s="262">
        <f>ROUND($C$43*C52*D52,0)</f>
        <v>0</v>
      </c>
      <c r="C52" s="200">
        <f t="shared" ref="C52:C60" si="16">IF($C$50="北京市系数",I52,J52)</f>
        <v>0</v>
      </c>
      <c r="D52" s="1166">
        <v>0.25</v>
      </c>
      <c r="E52" s="694"/>
      <c r="F52" s="691">
        <f t="shared" si="15"/>
        <v>0</v>
      </c>
      <c r="G52" s="3169" t="s">
        <v>2766</v>
      </c>
      <c r="H52" s="1106">
        <f>项目基本情况!B37</f>
        <v>0</v>
      </c>
      <c r="I52" s="945">
        <f>SUMIF(修正!A45:A56,H52,修正!B45:B56)</f>
        <v>0</v>
      </c>
      <c r="J52" s="946"/>
      <c r="K52" s="1146"/>
      <c r="L52" s="944"/>
      <c r="M52" s="944"/>
      <c r="N52" s="944"/>
      <c r="O52" s="944"/>
    </row>
    <row r="53" spans="1:17" s="692" customFormat="1">
      <c r="A53" s="693" t="s">
        <v>2767</v>
      </c>
      <c r="B53" s="262">
        <f t="shared" ref="B53:B60" si="17">ROUND($C$43*C53*D53,0)</f>
        <v>0</v>
      </c>
      <c r="C53" s="200">
        <f t="shared" si="16"/>
        <v>0</v>
      </c>
      <c r="D53" s="1166">
        <v>0.25</v>
      </c>
      <c r="E53" s="694"/>
      <c r="F53" s="691">
        <f t="shared" si="15"/>
        <v>0</v>
      </c>
      <c r="G53" s="3169"/>
      <c r="H53" s="1106">
        <f>项目基本情况!B37</f>
        <v>0</v>
      </c>
      <c r="I53" s="945">
        <f>SUMIF(修正!A45:A56,H53,修正!C45:C56)</f>
        <v>0</v>
      </c>
      <c r="J53" s="946"/>
      <c r="K53" s="1147"/>
      <c r="L53" s="944"/>
      <c r="M53" s="944"/>
      <c r="N53" s="944"/>
      <c r="O53" s="944"/>
    </row>
    <row r="54" spans="1:17" s="692" customFormat="1">
      <c r="A54" s="693" t="s">
        <v>2768</v>
      </c>
      <c r="B54" s="262">
        <f t="shared" si="17"/>
        <v>0</v>
      </c>
      <c r="C54" s="200">
        <f t="shared" si="16"/>
        <v>0</v>
      </c>
      <c r="D54" s="1166">
        <v>0.25</v>
      </c>
      <c r="E54" s="694"/>
      <c r="F54" s="691">
        <f t="shared" si="15"/>
        <v>0</v>
      </c>
      <c r="G54" s="3169"/>
      <c r="H54" s="1106">
        <f>项目基本情况!B37</f>
        <v>0</v>
      </c>
      <c r="I54" s="945">
        <f>SUMIF(修正!A45:A56,H54,修正!D45:D56)</f>
        <v>0</v>
      </c>
      <c r="J54" s="946"/>
      <c r="K54" s="1146"/>
      <c r="L54" s="944"/>
      <c r="M54" s="944"/>
      <c r="N54" s="944"/>
      <c r="O54" s="944"/>
    </row>
    <row r="55" spans="1:17" s="692" customFormat="1">
      <c r="A55" s="693" t="s">
        <v>2769</v>
      </c>
      <c r="B55" s="262">
        <f t="shared" si="17"/>
        <v>0</v>
      </c>
      <c r="C55" s="200">
        <f t="shared" si="16"/>
        <v>0</v>
      </c>
      <c r="D55" s="1166">
        <v>0.25</v>
      </c>
      <c r="E55" s="694"/>
      <c r="F55" s="691">
        <f t="shared" si="15"/>
        <v>0</v>
      </c>
      <c r="G55" s="3169"/>
      <c r="H55" s="1106">
        <f>项目基本情况!B37</f>
        <v>0</v>
      </c>
      <c r="I55" s="945">
        <f>SUMIF(修正!A45:A56,H55,修正!E45:E56)</f>
        <v>0</v>
      </c>
      <c r="J55" s="946"/>
      <c r="K55" s="1147"/>
      <c r="L55" s="944"/>
      <c r="M55" s="944"/>
      <c r="N55" s="944"/>
      <c r="O55" s="944"/>
    </row>
    <row r="56" spans="1:17" s="692" customFormat="1">
      <c r="A56" s="693" t="s">
        <v>2770</v>
      </c>
      <c r="B56" s="262">
        <f t="shared" si="17"/>
        <v>0</v>
      </c>
      <c r="C56" s="200">
        <f t="shared" si="16"/>
        <v>0</v>
      </c>
      <c r="D56" s="1166">
        <v>0.25</v>
      </c>
      <c r="E56" s="261">
        <f>'数据-汇总表'!E11</f>
        <v>0</v>
      </c>
      <c r="F56" s="691">
        <f t="shared" si="15"/>
        <v>0</v>
      </c>
      <c r="G56" s="2711" t="s">
        <v>2771</v>
      </c>
      <c r="H56" s="1106">
        <f>项目基本情况!C37</f>
        <v>0</v>
      </c>
      <c r="I56" s="945">
        <f>SUMIF(修正!A45:A56,H56,修正!F45:F56)</f>
        <v>0</v>
      </c>
      <c r="J56" s="946"/>
      <c r="K56" s="1146"/>
      <c r="L56" s="944"/>
      <c r="M56" s="944"/>
      <c r="N56" s="944"/>
      <c r="O56" s="944"/>
    </row>
    <row r="57" spans="1:17" s="692" customFormat="1">
      <c r="A57" s="693" t="s">
        <v>2772</v>
      </c>
      <c r="B57" s="262">
        <f t="shared" si="17"/>
        <v>0</v>
      </c>
      <c r="C57" s="200">
        <f t="shared" si="16"/>
        <v>0</v>
      </c>
      <c r="D57" s="1166">
        <v>0.25</v>
      </c>
      <c r="E57" s="261">
        <f>'数据-汇总表'!E12</f>
        <v>0</v>
      </c>
      <c r="F57" s="691">
        <f t="shared" si="15"/>
        <v>0</v>
      </c>
      <c r="G57" s="1111" t="s">
        <v>2773</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2774</v>
      </c>
      <c r="B58" s="262">
        <f t="shared" si="17"/>
        <v>0</v>
      </c>
      <c r="C58" s="200">
        <f t="shared" si="16"/>
        <v>0</v>
      </c>
      <c r="D58" s="1166">
        <v>0.25</v>
      </c>
      <c r="E58" s="261">
        <f>'数据-汇总表'!E13</f>
        <v>0</v>
      </c>
      <c r="F58" s="691">
        <f t="shared" si="15"/>
        <v>0</v>
      </c>
      <c r="G58" s="1111" t="s">
        <v>2775</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2776</v>
      </c>
      <c r="B59" s="262">
        <f t="shared" si="17"/>
        <v>0</v>
      </c>
      <c r="C59" s="200">
        <f t="shared" si="16"/>
        <v>0</v>
      </c>
      <c r="D59" s="1166">
        <v>0.25</v>
      </c>
      <c r="E59" s="261">
        <f>'数据-汇总表'!E14</f>
        <v>0</v>
      </c>
      <c r="F59" s="691">
        <f t="shared" si="15"/>
        <v>0</v>
      </c>
      <c r="G59" s="2711" t="s">
        <v>2766</v>
      </c>
      <c r="H59" s="1106">
        <f>项目基本情况!B37</f>
        <v>0</v>
      </c>
      <c r="I59" s="945">
        <f>SUMIF(修正!A45:A56,H59,修正!H45:H56)</f>
        <v>0</v>
      </c>
      <c r="J59" s="946"/>
      <c r="K59" s="1147"/>
      <c r="L59" s="944"/>
      <c r="M59" s="944"/>
      <c r="N59" s="944"/>
      <c r="O59" s="944"/>
    </row>
    <row r="60" spans="1:17" s="692" customFormat="1" ht="15" thickBot="1">
      <c r="A60" s="693" t="s">
        <v>2777</v>
      </c>
      <c r="B60" s="262">
        <f t="shared" si="17"/>
        <v>0</v>
      </c>
      <c r="C60" s="200">
        <f t="shared" si="16"/>
        <v>0</v>
      </c>
      <c r="D60" s="1166">
        <v>0.25</v>
      </c>
      <c r="E60" s="261">
        <f>'数据-汇总表'!E15</f>
        <v>0</v>
      </c>
      <c r="F60" s="691">
        <f t="shared" si="15"/>
        <v>0</v>
      </c>
      <c r="G60" s="2712" t="s">
        <v>2771</v>
      </c>
      <c r="H60" s="1116">
        <f>项目基本情况!C37</f>
        <v>0</v>
      </c>
      <c r="I60" s="945">
        <f>SUMIF(修正!A45:A56,H60,修正!H45:H56)</f>
        <v>0</v>
      </c>
      <c r="J60" s="946"/>
      <c r="K60" s="1146"/>
      <c r="L60" s="944"/>
      <c r="M60" s="944"/>
      <c r="N60" s="944"/>
      <c r="O60" s="944"/>
    </row>
    <row r="61" spans="1:17" s="692" customFormat="1" ht="15" thickBot="1">
      <c r="A61" s="695" t="s">
        <v>2778</v>
      </c>
      <c r="B61" s="696" t="s">
        <v>28</v>
      </c>
      <c r="C61" s="696" t="s">
        <v>29</v>
      </c>
      <c r="D61" s="696" t="s">
        <v>1029</v>
      </c>
      <c r="E61" s="696">
        <f>IF(B41="楼面地价",SUM(E51:E60),'数据-汇总表'!D3)</f>
        <v>2422.36</v>
      </c>
      <c r="F61" s="697">
        <f>IF(B41="楼面地价",SUM(F51:F60),ROUND(C43*E61/10000,0))</f>
        <v>288</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2671</v>
      </c>
      <c r="B64" s="759"/>
      <c r="C64" s="764"/>
      <c r="D64" s="764"/>
      <c r="E64" s="764"/>
      <c r="F64" s="765"/>
      <c r="G64" s="765"/>
      <c r="H64" s="764"/>
      <c r="I64" s="764"/>
      <c r="J64" s="764"/>
      <c r="K64" s="766"/>
      <c r="L64" s="767"/>
      <c r="M64" s="764"/>
      <c r="N64" s="764"/>
      <c r="O64" s="1161"/>
      <c r="P64" s="503"/>
      <c r="Q64" s="504"/>
    </row>
    <row r="65" spans="1:17" s="508" customFormat="1" ht="15">
      <c r="A65" s="2713" t="s">
        <v>2779</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2798</v>
      </c>
      <c r="B66" s="332" t="str">
        <f>"北京市平均增长率"&amp;TEXT(基准地价修正!P24,"0.00%")</f>
        <v>北京市平均增长率0.00%</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2960" t="s">
        <v>3180</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6"/>
      <c r="O92" s="1156"/>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2688</v>
      </c>
      <c r="C97" s="2964" t="s">
        <v>3195</v>
      </c>
      <c r="D97" s="2964" t="s">
        <v>3196</v>
      </c>
      <c r="E97" s="2964" t="s">
        <v>3197</v>
      </c>
      <c r="F97" s="2964" t="s">
        <v>3198</v>
      </c>
      <c r="G97" s="2964" t="s">
        <v>3199</v>
      </c>
      <c r="H97" s="583"/>
      <c r="I97" s="583"/>
      <c r="J97" s="583"/>
      <c r="K97" s="584"/>
      <c r="L97" s="585"/>
      <c r="M97" s="586"/>
      <c r="N97" s="1154"/>
      <c r="O97" s="1154"/>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2560</v>
      </c>
      <c r="B107" s="528" t="s">
        <v>2788</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8" t="str">
        <f t="shared" si="26"/>
        <v>(含)-</v>
      </c>
      <c r="L107" s="1768" t="str">
        <f t="shared" si="26"/>
        <v>(含)-</v>
      </c>
      <c r="M107" s="1769" t="str">
        <f>M108&amp;"(含)"&amp;"-"&amp;P108</f>
        <v>(含)-</v>
      </c>
      <c r="N107" s="1154"/>
      <c r="O107" s="1154"/>
      <c r="P107" s="45"/>
      <c r="Q107" s="504"/>
    </row>
    <row r="108" spans="1:17" ht="15">
      <c r="A108" s="534"/>
      <c r="B108" s="546"/>
      <c r="C108" s="595">
        <v>0</v>
      </c>
      <c r="D108" s="595">
        <v>20000</v>
      </c>
      <c r="E108" s="595">
        <v>40000</v>
      </c>
      <c r="F108" s="595">
        <v>60000</v>
      </c>
      <c r="G108" s="595"/>
      <c r="H108" s="595"/>
      <c r="I108" s="595"/>
      <c r="J108" s="596"/>
      <c r="K108" s="596"/>
      <c r="L108" s="597"/>
      <c r="M108" s="598"/>
      <c r="N108" s="1154"/>
      <c r="O108" s="1154"/>
      <c r="P108" s="45"/>
      <c r="Q108" s="504"/>
    </row>
    <row r="109" spans="1:17" ht="15.75" thickBot="1">
      <c r="A109" s="534"/>
      <c r="B109" s="543"/>
      <c r="C109" s="570">
        <v>100</v>
      </c>
      <c r="D109" s="591">
        <v>102</v>
      </c>
      <c r="E109" s="591">
        <v>104</v>
      </c>
      <c r="F109" s="591">
        <v>106</v>
      </c>
      <c r="G109" s="591"/>
      <c r="H109" s="591"/>
      <c r="I109" s="591"/>
      <c r="J109" s="591"/>
      <c r="K109" s="591"/>
      <c r="L109" s="591"/>
      <c r="M109" s="592"/>
      <c r="N109" s="1155"/>
      <c r="O109" s="1155"/>
      <c r="P109" s="45"/>
      <c r="Q109" s="504"/>
    </row>
    <row r="110" spans="1:17" ht="15" thickTop="1">
      <c r="A110" s="599"/>
      <c r="B110" s="538" t="s">
        <v>2789</v>
      </c>
      <c r="C110" s="2965" t="s">
        <v>3201</v>
      </c>
      <c r="D110" s="2965" t="s">
        <v>3202</v>
      </c>
      <c r="E110" s="2965" t="s">
        <v>3203</v>
      </c>
      <c r="F110" s="2965" t="s">
        <v>3204</v>
      </c>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5"/>
      <c r="O111" s="1155"/>
      <c r="P111" s="45"/>
      <c r="Q111" s="504"/>
    </row>
    <row r="112" spans="1:17" s="471" customFormat="1" ht="15" thickTop="1">
      <c r="A112" s="593"/>
      <c r="B112" s="538" t="s">
        <v>2791</v>
      </c>
      <c r="C112" s="554" t="s">
        <v>3188</v>
      </c>
      <c r="D112" s="554" t="s">
        <v>3205</v>
      </c>
      <c r="E112" s="554" t="s">
        <v>3206</v>
      </c>
      <c r="F112" s="554" t="s">
        <v>3207</v>
      </c>
      <c r="G112" s="554" t="s">
        <v>3208</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2792</v>
      </c>
      <c r="C114" s="554" t="s">
        <v>3190</v>
      </c>
      <c r="D114" s="554" t="s">
        <v>3186</v>
      </c>
      <c r="E114" s="583" t="s">
        <v>3187</v>
      </c>
      <c r="F114" s="583" t="s">
        <v>3191</v>
      </c>
      <c r="G114" s="583" t="s">
        <v>3209</v>
      </c>
      <c r="H114" s="583"/>
      <c r="I114" s="583"/>
      <c r="J114" s="583"/>
      <c r="K114" s="584"/>
      <c r="L114" s="585"/>
      <c r="M114" s="586"/>
      <c r="N114" s="1154"/>
      <c r="O114" s="1154"/>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8" priority="14" stopIfTrue="1" operator="containsText" text="超过">
      <formula>NOT(ISERROR(SEARCH("超过",F46)))</formula>
    </cfRule>
  </conditionalFormatting>
  <conditionalFormatting sqref="J48">
    <cfRule type="containsText" dxfId="137" priority="13" stopIfTrue="1" operator="containsText" text="超过">
      <formula>NOT(ISERROR(SEARCH("超过",J48)))</formula>
    </cfRule>
  </conditionalFormatting>
  <conditionalFormatting sqref="H48">
    <cfRule type="containsText" dxfId="136" priority="12" stopIfTrue="1" operator="containsText" text="超过">
      <formula>NOT(ISERROR(SEARCH("超过",H48)))</formula>
    </cfRule>
  </conditionalFormatting>
  <conditionalFormatting sqref="F48">
    <cfRule type="containsText" dxfId="135" priority="11" stopIfTrue="1" operator="containsText" text="超过">
      <formula>NOT(ISERROR(SEARCH("超过",F48)))</formula>
    </cfRule>
  </conditionalFormatting>
  <conditionalFormatting sqref="F47 H47 J47">
    <cfRule type="containsText" dxfId="134" priority="10" stopIfTrue="1" operator="containsText" text="超过">
      <formula>NOT(ISERROR(SEARCH("超过",F47)))</formula>
    </cfRule>
  </conditionalFormatting>
  <conditionalFormatting sqref="E46">
    <cfRule type="expression" dxfId="133" priority="9" stopIfTrue="1">
      <formula>$F$46="超过30%"</formula>
    </cfRule>
  </conditionalFormatting>
  <conditionalFormatting sqref="G48">
    <cfRule type="expression" dxfId="132" priority="8" stopIfTrue="1">
      <formula>$H$48="超过30%"</formula>
    </cfRule>
  </conditionalFormatting>
  <conditionalFormatting sqref="E48">
    <cfRule type="expression" dxfId="131" priority="6" stopIfTrue="1">
      <formula>$F$48="超过30%"</formula>
    </cfRule>
  </conditionalFormatting>
  <conditionalFormatting sqref="G46">
    <cfRule type="expression" dxfId="130" priority="5" stopIfTrue="1">
      <formula>$H$46="超过30%"</formula>
    </cfRule>
  </conditionalFormatting>
  <conditionalFormatting sqref="G47">
    <cfRule type="expression" dxfId="129" priority="4" stopIfTrue="1">
      <formula>$H$47="超过20%"</formula>
    </cfRule>
  </conditionalFormatting>
  <conditionalFormatting sqref="I46">
    <cfRule type="expression" dxfId="128" priority="3" stopIfTrue="1">
      <formula>$J$46="超过30%"</formula>
    </cfRule>
  </conditionalFormatting>
  <conditionalFormatting sqref="I47">
    <cfRule type="expression" dxfId="127" priority="2" stopIfTrue="1">
      <formula>$J$47="超过20%"</formula>
    </cfRule>
  </conditionalFormatting>
  <conditionalFormatting sqref="I48">
    <cfRule type="expression" dxfId="126" priority="1" stopIfTrue="1">
      <formula>$J$48="超过30%"</formula>
    </cfRule>
  </conditionalFormatting>
  <conditionalFormatting sqref="E47">
    <cfRule type="expression" dxfId="1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3" sqref="G2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2523</v>
      </c>
      <c r="B1" s="2564"/>
      <c r="C1" s="2564"/>
      <c r="D1" s="2564"/>
      <c r="E1" s="2565"/>
    </row>
    <row r="2" spans="1:6" ht="15.75">
      <c r="A2" s="2566" t="s">
        <v>2324</v>
      </c>
      <c r="B2" s="2567">
        <f ca="1">SUMIF(B6:B13,"&lt;&gt;#ref!",B6:B13)</f>
        <v>2930</v>
      </c>
      <c r="C2" s="2568" t="s">
        <v>2516</v>
      </c>
      <c r="D2" s="2569" t="s">
        <v>2517</v>
      </c>
      <c r="E2" s="2570">
        <f>SUM(E6:E13)</f>
        <v>6217.83</v>
      </c>
    </row>
    <row r="3" spans="1:6" ht="15.75">
      <c r="A3" s="2566" t="s">
        <v>1395</v>
      </c>
      <c r="B3" s="2567">
        <f ca="1">ROUND(B2*10000/E2,0)</f>
        <v>4712</v>
      </c>
      <c r="C3" s="2568" t="s">
        <v>2524</v>
      </c>
      <c r="D3" s="2571"/>
      <c r="E3" s="2572"/>
    </row>
    <row r="4" spans="1:6" ht="15.75">
      <c r="A4" s="2573"/>
      <c r="B4" s="2571"/>
      <c r="C4" s="2571"/>
      <c r="D4" s="2571"/>
      <c r="E4" s="2572"/>
    </row>
    <row r="5" spans="1:6" ht="15">
      <c r="A5" s="2574" t="s">
        <v>2518</v>
      </c>
      <c r="B5" s="3207" t="s">
        <v>2519</v>
      </c>
      <c r="C5" s="3207"/>
      <c r="D5" s="2575"/>
      <c r="E5" s="2576" t="s">
        <v>2520</v>
      </c>
      <c r="F5" s="2577" t="s">
        <v>2521</v>
      </c>
    </row>
    <row r="6" spans="1:6">
      <c r="A6" s="2578" t="str">
        <f>'数据-取费表'!AN6</f>
        <v>收益法</v>
      </c>
      <c r="B6" s="2577">
        <f ca="1">IF(F6="是",'数据-取费表'!AO6,0)</f>
        <v>2930</v>
      </c>
      <c r="C6" s="2568" t="s">
        <v>2516</v>
      </c>
      <c r="D6" s="2571"/>
      <c r="E6" s="2579">
        <f>IF(OR(A6=0,F6="否"),0,'数据-取费表'!K6+'数据-取费表'!S6)</f>
        <v>6217.83</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 sqref="D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3219</v>
      </c>
      <c r="D1" s="1822" t="s">
        <v>70</v>
      </c>
      <c r="E1" s="1823" t="s">
        <v>1387</v>
      </c>
      <c r="F1" s="1285"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t="e">
        <f ca="1">C40+J29+L46</f>
        <v>#N/A</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208" t="s">
        <v>1403</v>
      </c>
      <c r="C6" s="1298" t="e">
        <f ca="1">ROUND(F6*F8*F7*(1-F9)/10000,0)</f>
        <v>#N/A</v>
      </c>
      <c r="D6" s="164" t="s">
        <v>3030</v>
      </c>
      <c r="E6" s="347" t="s">
        <v>1405</v>
      </c>
      <c r="F6" s="348" t="e">
        <f ca="1">INDIRECT("'数据-取费表'!u"&amp;$G$1)</f>
        <v>#N/A</v>
      </c>
      <c r="G6" s="1853"/>
      <c r="H6" s="1293" t="s">
        <v>1035</v>
      </c>
      <c r="I6" s="3208" t="s">
        <v>1403</v>
      </c>
      <c r="J6" s="346" t="e">
        <f ca="1">ROUND(M6*M8*M7*(1-M9)/10000,0)</f>
        <v>#N/A</v>
      </c>
      <c r="K6" s="164" t="s">
        <v>3029</v>
      </c>
      <c r="L6" s="347" t="s">
        <v>1405</v>
      </c>
      <c r="M6" s="348" t="e">
        <f ca="1">INDIRECT("'数据-取费表'!z"&amp;$G$1)</f>
        <v>#N/A</v>
      </c>
    </row>
    <row r="7" spans="1:37" ht="18" customHeight="1">
      <c r="A7" s="1297"/>
      <c r="B7" s="3209"/>
      <c r="C7" s="1299"/>
      <c r="D7" s="352"/>
      <c r="E7" s="2954" t="s">
        <v>1406</v>
      </c>
      <c r="F7" s="348" t="e">
        <f ca="1">IF(INDIRECT("'数据-取费表'!ah"&amp;$G$1)="",INDIRECT("'数据-取费表'!k"&amp;$G$1),INDIRECT("'数据-取费表'!ah"&amp;$G$1))</f>
        <v>#N/A</v>
      </c>
      <c r="G7" s="1853"/>
      <c r="H7" s="349"/>
      <c r="I7" s="3209"/>
      <c r="J7" s="351"/>
      <c r="K7" s="352"/>
      <c r="L7" s="347" t="s">
        <v>1406</v>
      </c>
      <c r="M7" s="348" t="e">
        <f ca="1">F7</f>
        <v>#N/A</v>
      </c>
    </row>
    <row r="8" spans="1:37" ht="18" customHeight="1">
      <c r="A8" s="349"/>
      <c r="B8" s="3209"/>
      <c r="C8" s="351"/>
      <c r="D8" s="352"/>
      <c r="E8" s="347" t="s">
        <v>1407</v>
      </c>
      <c r="F8" s="348" t="e">
        <f ca="1">INDIRECT("'数据-取费表'!ai"&amp;$G$1)</f>
        <v>#N/A</v>
      </c>
      <c r="G8" s="1853"/>
      <c r="H8" s="349"/>
      <c r="I8" s="3209"/>
      <c r="J8" s="351"/>
      <c r="K8" s="352"/>
      <c r="L8" s="347" t="s">
        <v>1407</v>
      </c>
      <c r="M8" s="348" t="e">
        <f ca="1">INDIRECT("'数据-取费表'!ai"&amp;$G$1)</f>
        <v>#N/A</v>
      </c>
    </row>
    <row r="9" spans="1:37" ht="18" customHeight="1">
      <c r="A9" s="349"/>
      <c r="B9" s="3210"/>
      <c r="C9" s="351"/>
      <c r="D9" s="352"/>
      <c r="E9" s="347" t="s">
        <v>1408</v>
      </c>
      <c r="F9" s="357" t="e">
        <f ca="1">INDIRECT("'数据-取费表'!w"&amp;$G$1)</f>
        <v>#N/A</v>
      </c>
      <c r="G9" s="1853"/>
      <c r="H9" s="349"/>
      <c r="I9" s="3210"/>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3038</v>
      </c>
      <c r="E10" s="358" t="s">
        <v>1410</v>
      </c>
      <c r="F10" s="1368" t="s">
        <v>3213</v>
      </c>
      <c r="G10" s="1853"/>
      <c r="H10" s="1293" t="s">
        <v>1039</v>
      </c>
      <c r="I10" s="1825" t="s">
        <v>1409</v>
      </c>
      <c r="J10" s="346" t="e">
        <f ca="1">ROUND(IF(M10="押一",J6/12*M11,IF(M10="押二",J6/12*2*M11,IF(M10="押三",J6/12*3*M11,J11*M11))),0)</f>
        <v>#N/A</v>
      </c>
      <c r="K10" s="1826" t="s">
        <v>3038</v>
      </c>
      <c r="L10" s="358" t="s">
        <v>1410</v>
      </c>
      <c r="M10" s="1368" t="s">
        <v>3213</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t="e">
        <f ca="1">ROUND(C29*F13,0)</f>
        <v>#N/A</v>
      </c>
      <c r="D13" s="1333" t="s">
        <v>1414</v>
      </c>
      <c r="E13" s="1333" t="s">
        <v>1415</v>
      </c>
      <c r="F13" s="1334" t="e">
        <f ca="1">INDIRECT("'数据-取费表'!y"&amp;$G$1)</f>
        <v>#N/A</v>
      </c>
      <c r="G13" s="1853"/>
      <c r="H13" s="1331">
        <v>2</v>
      </c>
      <c r="I13" s="1332" t="s">
        <v>1413</v>
      </c>
      <c r="J13" s="1292" t="e">
        <f ca="1">ROUND(J14*J15,0)</f>
        <v>#N/A</v>
      </c>
      <c r="K13" s="1339" t="s">
        <v>1414</v>
      </c>
      <c r="L13" s="1854"/>
      <c r="M13" s="1855"/>
    </row>
    <row r="14" spans="1:37" ht="18" customHeight="1">
      <c r="A14" s="1203" t="s">
        <v>1034</v>
      </c>
      <c r="B14" s="347" t="s">
        <v>1416</v>
      </c>
      <c r="C14" s="363" t="e">
        <f ca="1">INDIRECT("'数据-取费表'!m"&amp;$G$1)+INDIRECT("'数据-取费表'!t"&amp;$G$1)</f>
        <v>#N/A</v>
      </c>
      <c r="D14" s="2948" t="s">
        <v>1417</v>
      </c>
      <c r="E14" s="2946"/>
      <c r="F14" s="364"/>
      <c r="G14" s="1853"/>
      <c r="H14" s="1203" t="s">
        <v>1035</v>
      </c>
      <c r="I14" s="347" t="s">
        <v>1418</v>
      </c>
      <c r="J14" s="24" t="e">
        <f ca="1">C29</f>
        <v>#N/A</v>
      </c>
      <c r="K14" s="2953"/>
      <c r="L14" s="982"/>
      <c r="M14" s="983"/>
    </row>
    <row r="15" spans="1:37" s="1860" customFormat="1" ht="18" customHeight="1" thickBot="1">
      <c r="A15" s="1203" t="s">
        <v>1036</v>
      </c>
      <c r="B15" s="347" t="s">
        <v>1419</v>
      </c>
      <c r="C15" s="24" t="e">
        <f ca="1">ROUND(C14*F15,0)</f>
        <v>#N/A</v>
      </c>
      <c r="D15" s="365" t="s">
        <v>1420</v>
      </c>
      <c r="E15" s="365" t="s">
        <v>1421</v>
      </c>
      <c r="F15" s="366">
        <f>'数据-取费表'!B33</f>
        <v>0.03</v>
      </c>
      <c r="G15" s="1856"/>
      <c r="H15" s="1341" t="s">
        <v>1039</v>
      </c>
      <c r="I15" s="1342" t="s">
        <v>1415</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t="e">
        <f ca="1">ROUND(INDIRECT("'数据-取费表'!m"&amp;$G$1)*F16,0)</f>
        <v>#N/A</v>
      </c>
      <c r="D16" s="347" t="s">
        <v>1420</v>
      </c>
      <c r="E16" s="347" t="s">
        <v>1421</v>
      </c>
      <c r="F16" s="367" t="e">
        <f ca="1">IF(INDIRECT("'数据-取费表'!c"&amp;$G$1)="住宅",'数据-取费表'!B34,0)</f>
        <v>#N/A</v>
      </c>
      <c r="G16" s="1853"/>
      <c r="H16" s="1331" t="s">
        <v>1030</v>
      </c>
      <c r="I16" s="1332" t="s">
        <v>1423</v>
      </c>
      <c r="J16" s="355" t="e">
        <f ca="1">ROUND(J17+J22+J23+J24,0)</f>
        <v>#N/A</v>
      </c>
      <c r="K16" s="1339" t="s">
        <v>1424</v>
      </c>
      <c r="L16" s="2949"/>
      <c r="M16" s="1296"/>
    </row>
    <row r="17" spans="1:37" s="1860" customFormat="1" ht="18" customHeight="1">
      <c r="A17" s="1203" t="s">
        <v>1390</v>
      </c>
      <c r="B17" s="347" t="s">
        <v>1425</v>
      </c>
      <c r="C17" s="24" t="e">
        <f ca="1">ROUND(F17*(F43+INDIRECT("'数据-取费表'!S"&amp;$G$1))/10000,0)</f>
        <v>#N/A</v>
      </c>
      <c r="D17" s="347" t="s">
        <v>1426</v>
      </c>
      <c r="E17" s="347" t="s">
        <v>1427</v>
      </c>
      <c r="F17" s="26">
        <f>'数据-取费表'!B35</f>
        <v>200</v>
      </c>
      <c r="G17" s="1856"/>
      <c r="H17" s="1203" t="s">
        <v>1035</v>
      </c>
      <c r="I17" s="347" t="s">
        <v>1428</v>
      </c>
      <c r="J17" s="24" t="e">
        <f ca="1">ROUND(IF(项目基本情况!B11="自然人",J5*M17,J18+J19+J20),1)</f>
        <v>#N/A</v>
      </c>
      <c r="K17" s="2948" t="s">
        <v>1429</v>
      </c>
      <c r="L17" s="2947"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t="e">
        <f ca="1">ROUND(C14*F18,0)</f>
        <v>#N/A</v>
      </c>
      <c r="D18" s="347" t="s">
        <v>1420</v>
      </c>
      <c r="E18" s="347" t="s">
        <v>1421</v>
      </c>
      <c r="F18" s="367">
        <f>'数据-取费表'!B36</f>
        <v>1.4999999999999999E-2</v>
      </c>
      <c r="G18" s="1856"/>
      <c r="H18" s="1203" t="s">
        <v>1034</v>
      </c>
      <c r="I18" s="347" t="s">
        <v>1432</v>
      </c>
      <c r="J18" s="24" t="e">
        <f ca="1">ROUND(J5*M18/(1+'数据-取费表'!C42),2)</f>
        <v>#N/A</v>
      </c>
      <c r="K18" s="2947"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t="e">
        <f ca="1">SUM(C14:C18)</f>
        <v>#N/A</v>
      </c>
      <c r="D19" s="140" t="s">
        <v>1435</v>
      </c>
      <c r="E19" s="2952"/>
      <c r="F19" s="26"/>
      <c r="G19" s="1853"/>
      <c r="H19" s="1203" t="s">
        <v>1036</v>
      </c>
      <c r="I19" s="347" t="s">
        <v>1436</v>
      </c>
      <c r="J19" s="24" t="e">
        <f ca="1">IF(K19="按租金收入计税",ROUND(J5*M19,2),ROUND(C29*M19*0.7,2))</f>
        <v>#N/A</v>
      </c>
      <c r="K19" s="1830" t="s">
        <v>3214</v>
      </c>
      <c r="L19" s="347" t="s">
        <v>1421</v>
      </c>
      <c r="M19" s="367">
        <f>IF(K19="按租金收入计税",'数据-取费表'!B51,'数据-取费表'!B50)</f>
        <v>0.12</v>
      </c>
    </row>
    <row r="20" spans="1:37" s="1860" customFormat="1" ht="18" customHeight="1">
      <c r="A20" s="1203" t="s">
        <v>1039</v>
      </c>
      <c r="B20" s="347" t="s">
        <v>1438</v>
      </c>
      <c r="C20" s="24" t="e">
        <f ca="1">ROUND(C19*F20,0)</f>
        <v>#N/A</v>
      </c>
      <c r="D20" s="369" t="s">
        <v>1439</v>
      </c>
      <c r="E20" s="347" t="s">
        <v>1421</v>
      </c>
      <c r="F20" s="367">
        <f>'数据-取费表'!B37</f>
        <v>0.02</v>
      </c>
      <c r="G20" s="1856"/>
      <c r="H20" s="1203" t="s">
        <v>1389</v>
      </c>
      <c r="I20" s="164" t="s">
        <v>1440</v>
      </c>
      <c r="J20" s="25" t="e">
        <f ca="1">ROUND(M20*M21/10000,2)</f>
        <v>#N/A</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2952"/>
      <c r="F22" s="26"/>
      <c r="G22" s="1853"/>
      <c r="H22" s="1203" t="s">
        <v>1039</v>
      </c>
      <c r="I22" s="347" t="s">
        <v>1448</v>
      </c>
      <c r="J22" s="24" t="e">
        <f ca="1">ROUND(J14*M22,1)</f>
        <v>#N/A</v>
      </c>
      <c r="K22" s="2947" t="s">
        <v>1449</v>
      </c>
      <c r="L22" s="347" t="s">
        <v>1421</v>
      </c>
      <c r="M22" s="374" t="e">
        <f ca="1">INDIRECT("'数据-取费表'!Ak"&amp;$G$1)</f>
        <v>#N/A</v>
      </c>
    </row>
    <row r="23" spans="1:37" s="1860" customFormat="1" ht="18" customHeight="1">
      <c r="A23" s="1203"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t="e">
        <f ca="1">ROUND(J13*M23,1)</f>
        <v>#N/A</v>
      </c>
      <c r="K23" s="2947" t="s">
        <v>1453</v>
      </c>
      <c r="L23" s="347" t="s">
        <v>1421</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1392</v>
      </c>
      <c r="I24" s="1342" t="s">
        <v>1438</v>
      </c>
      <c r="J24" s="1343" t="e">
        <f ca="1">ROUND(J5*M24,1)</f>
        <v>#N/A</v>
      </c>
      <c r="K24" s="1344" t="s">
        <v>1458</v>
      </c>
      <c r="L24" s="1342" t="s">
        <v>1421</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2952"/>
      <c r="F25" s="26"/>
      <c r="G25" s="1853"/>
      <c r="H25" s="1331" t="s">
        <v>1031</v>
      </c>
      <c r="I25" s="1346" t="s">
        <v>1462</v>
      </c>
      <c r="J25" s="355" t="e">
        <f ca="1">J5-J16</f>
        <v>#N/A</v>
      </c>
      <c r="K25" s="1347" t="s">
        <v>1463</v>
      </c>
      <c r="L25" s="1348"/>
      <c r="M25" s="1349"/>
    </row>
    <row r="26" spans="1:37">
      <c r="A26" s="1203" t="s">
        <v>1034</v>
      </c>
      <c r="B26" s="347" t="s">
        <v>1464</v>
      </c>
      <c r="C26" s="24" t="e">
        <f ca="1">ROUND((C19+C20)*F26,0)</f>
        <v>#N/A</v>
      </c>
      <c r="D26" s="369" t="s">
        <v>1465</v>
      </c>
      <c r="E26" s="358" t="s">
        <v>1466</v>
      </c>
      <c r="F26" s="357" t="e">
        <f ca="1">INDIRECT("'数据-取费表'!q"&amp;$G$1)</f>
        <v>#N/A</v>
      </c>
      <c r="G26" s="1853"/>
      <c r="H26" s="344" t="s">
        <v>1032</v>
      </c>
      <c r="I26" s="345" t="s">
        <v>1467</v>
      </c>
      <c r="J26" s="346" t="e">
        <f ca="1">IF(J5&lt;&gt;0,ROUND(J25*(1-((1+M28)/(1+M26))^M27)/(M26-M28),0),0)</f>
        <v>#N/A</v>
      </c>
      <c r="K26" s="370" t="s">
        <v>1468</v>
      </c>
      <c r="L26" s="347" t="s">
        <v>1469</v>
      </c>
      <c r="M26" s="357" t="e">
        <f ca="1">INDIRECT("'数据-取费表'!I"&amp;$G$1)</f>
        <v>#N/A</v>
      </c>
    </row>
    <row r="27" spans="1:37" ht="18" customHeight="1">
      <c r="A27" s="1203" t="s">
        <v>1036</v>
      </c>
      <c r="B27" s="347" t="s">
        <v>1470</v>
      </c>
      <c r="C27" s="24" t="e">
        <f ca="1">ROUND(F21*F26,4)</f>
        <v>#N/A</v>
      </c>
      <c r="D27" s="369" t="s">
        <v>1471</v>
      </c>
      <c r="E27" s="365"/>
      <c r="F27" s="366"/>
      <c r="G27" s="1853"/>
      <c r="H27" s="349"/>
      <c r="I27" s="350"/>
      <c r="J27" s="351"/>
      <c r="K27" s="378" t="s">
        <v>1472</v>
      </c>
      <c r="L27" s="347" t="s">
        <v>1473</v>
      </c>
      <c r="M27" s="379" t="e">
        <f ca="1">INDIRECT("'数据-取费表'!ag"&amp;$G$1)</f>
        <v>#N/A</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t="e">
        <f ca="1">ROUND((C19+C20+C23+C26)/(1-F21-C24-C27-C28),0)</f>
        <v>#N/A</v>
      </c>
      <c r="D29" s="1344"/>
      <c r="E29" s="1342"/>
      <c r="F29" s="1345"/>
      <c r="G29" s="1856"/>
      <c r="H29" s="380" t="s">
        <v>1033</v>
      </c>
      <c r="I29" s="381" t="s">
        <v>1478</v>
      </c>
      <c r="J29" s="382" t="e">
        <f ca="1">ROUND(J26/(1+F40)^F41,0)</f>
        <v>#N/A</v>
      </c>
      <c r="K29" s="383" t="s">
        <v>1479</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t="e">
        <f ca="1">ROUND(C31+C36+C37+C38,0)</f>
        <v>#N/A</v>
      </c>
      <c r="D30" s="1339" t="s">
        <v>1424</v>
      </c>
      <c r="E30" s="2949"/>
      <c r="F30" s="1296"/>
      <c r="G30" s="1853"/>
      <c r="H30" s="745"/>
      <c r="I30" s="746"/>
      <c r="J30" s="747"/>
      <c r="K30" s="748"/>
      <c r="L30" s="749"/>
      <c r="M30" s="750"/>
    </row>
    <row r="31" spans="1:37" ht="18" customHeight="1">
      <c r="A31" s="1203" t="s">
        <v>1035</v>
      </c>
      <c r="B31" s="347" t="s">
        <v>1428</v>
      </c>
      <c r="C31" s="24" t="e">
        <f ca="1">ROUND(IF(项目基本情况!B11="自然人",C5*F31,C32+C33+C34),1)</f>
        <v>#N/A</v>
      </c>
      <c r="D31" s="2948" t="s">
        <v>1429</v>
      </c>
      <c r="E31" s="2947"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t="e">
        <f ca="1">IF(项目基本情况!B11="自然人","——",ROUND(C5*F32/(1+'数据-取费表'!C42),2))</f>
        <v>#N/A</v>
      </c>
      <c r="D32" s="2947" t="s">
        <v>1433</v>
      </c>
      <c r="E32" s="347" t="s">
        <v>1421</v>
      </c>
      <c r="F32" s="377">
        <f>'数据-取费表'!B41</f>
        <v>5.5000000000000007E-2</v>
      </c>
      <c r="G32" s="1853"/>
      <c r="H32" s="745"/>
      <c r="I32" s="746"/>
      <c r="J32" s="747"/>
      <c r="K32" s="748"/>
      <c r="L32" s="749"/>
      <c r="M32" s="750"/>
    </row>
    <row r="33" spans="1:18" ht="18" customHeight="1">
      <c r="A33" s="1203" t="s">
        <v>1036</v>
      </c>
      <c r="B33" s="347" t="s">
        <v>1436</v>
      </c>
      <c r="C33" s="24" t="e">
        <f ca="1">IF(项目基本情况!B11="自然人","——",IF(D33="按租金收入计税",ROUND(C5*F33,2),IF(D33="按房产原值计税",ROUND(C29*F33*0.7,2),INDIRECT("'数据-取费表'!Aj"&amp;$G$1))))</f>
        <v>#N/A</v>
      </c>
      <c r="D33" s="1830" t="s">
        <v>3214</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t="e">
        <f ca="1">IF(项目基本情况!B11="自然人","——",ROUND(F34*F35/10000,2))</f>
        <v>#N/A</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t="e">
        <f ca="1">INDIRECT("'数据-取费表'!r"&amp;$G$1)</f>
        <v>#N/A</v>
      </c>
      <c r="G35" s="1853"/>
      <c r="H35" s="745"/>
      <c r="I35" s="1862"/>
      <c r="J35" s="1863"/>
      <c r="K35" s="1864"/>
      <c r="L35" s="1861"/>
      <c r="M35" s="1861"/>
    </row>
    <row r="36" spans="1:18" ht="18" customHeight="1">
      <c r="A36" s="1354" t="s">
        <v>1039</v>
      </c>
      <c r="B36" s="347" t="s">
        <v>1448</v>
      </c>
      <c r="C36" s="24" t="e">
        <f ca="1">ROUND(C29*F36,1)</f>
        <v>#N/A</v>
      </c>
      <c r="D36" s="2947" t="s">
        <v>1481</v>
      </c>
      <c r="E36" s="347" t="s">
        <v>1421</v>
      </c>
      <c r="F36" s="374" t="e">
        <f ca="1">INDIRECT("'数据-取费表'!Ak"&amp;$G$1)</f>
        <v>#N/A</v>
      </c>
      <c r="G36" s="1853"/>
      <c r="H36" s="1861"/>
      <c r="I36" s="1862"/>
      <c r="J36" s="1863"/>
      <c r="K36" s="751"/>
      <c r="L36" s="1861"/>
      <c r="M36" s="1861"/>
    </row>
    <row r="37" spans="1:18" ht="18" customHeight="1">
      <c r="A37" s="1203" t="s">
        <v>1075</v>
      </c>
      <c r="B37" s="347" t="s">
        <v>1452</v>
      </c>
      <c r="C37" s="24" t="e">
        <f ca="1">ROUND(C13*F37,1)</f>
        <v>#N/A</v>
      </c>
      <c r="D37" s="2947" t="s">
        <v>1453</v>
      </c>
      <c r="E37" s="347" t="s">
        <v>1421</v>
      </c>
      <c r="F37" s="376" t="e">
        <f ca="1">INDIRECT("'数据-取费表'!Al"&amp;$G$1)</f>
        <v>#N/A</v>
      </c>
      <c r="G37" s="1853"/>
      <c r="H37" s="1861"/>
      <c r="I37" s="1862"/>
      <c r="J37" s="1863"/>
      <c r="K37" s="751"/>
      <c r="L37" s="1861"/>
      <c r="M37" s="1861"/>
    </row>
    <row r="38" spans="1:18" ht="18" customHeight="1" thickBot="1">
      <c r="A38" s="1341" t="s">
        <v>1392</v>
      </c>
      <c r="B38" s="1342" t="s">
        <v>1438</v>
      </c>
      <c r="C38" s="1343" t="e">
        <f ca="1">ROUND(C5*F38,1)</f>
        <v>#N/A</v>
      </c>
      <c r="D38" s="1344" t="s">
        <v>1458</v>
      </c>
      <c r="E38" s="1342" t="s">
        <v>1421</v>
      </c>
      <c r="F38" s="1338" t="e">
        <f ca="1">INDIRECT("'数据-取费表'!Am"&amp;$G$1)</f>
        <v>#N/A</v>
      </c>
      <c r="G38" s="1853"/>
      <c r="H38" s="1861"/>
      <c r="I38" s="1862"/>
      <c r="J38" s="1863"/>
      <c r="K38" s="1867"/>
      <c r="L38" s="1861"/>
      <c r="M38" s="1861"/>
    </row>
    <row r="39" spans="1:18" ht="24.6" customHeight="1" thickTop="1">
      <c r="A39" s="1331" t="s">
        <v>1031</v>
      </c>
      <c r="B39" s="1346" t="s">
        <v>1462</v>
      </c>
      <c r="C39" s="355" t="e">
        <f ca="1">C5-C30</f>
        <v>#N/A</v>
      </c>
      <c r="D39" s="1347" t="s">
        <v>1463</v>
      </c>
      <c r="E39" s="1348"/>
      <c r="F39" s="1349"/>
      <c r="G39" s="1853"/>
      <c r="H39" s="1861"/>
      <c r="I39" s="1862"/>
      <c r="J39" s="1863"/>
      <c r="K39" s="1867"/>
      <c r="L39" s="1861"/>
      <c r="M39" s="1861"/>
    </row>
    <row r="40" spans="1:18" ht="18" customHeight="1">
      <c r="A40" s="344" t="s">
        <v>1032</v>
      </c>
      <c r="B40" s="345" t="s">
        <v>1484</v>
      </c>
      <c r="C40" s="346" t="e">
        <f ca="1">ROUND(C39*(1-((1+F42)/(1+F40))^F41)/(F40-F42),0)</f>
        <v>#N/A</v>
      </c>
      <c r="D40" s="370" t="s">
        <v>1468</v>
      </c>
      <c r="E40" s="347" t="s">
        <v>1469</v>
      </c>
      <c r="F40" s="357" t="e">
        <f ca="1">INDIRECT("'数据-取费表'!I"&amp;$G$1)</f>
        <v>#N/A</v>
      </c>
      <c r="G40" s="1853"/>
      <c r="H40" s="1841"/>
      <c r="I40" s="1862"/>
      <c r="J40" s="1863"/>
      <c r="K40" s="1867"/>
      <c r="L40" s="1841"/>
      <c r="M40" s="1841"/>
    </row>
    <row r="41" spans="1:18" ht="18" customHeight="1">
      <c r="A41" s="349"/>
      <c r="B41" s="350"/>
      <c r="C41" s="351"/>
      <c r="D41" s="378" t="s">
        <v>1485</v>
      </c>
      <c r="E41" s="347" t="s">
        <v>1473</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1476</v>
      </c>
      <c r="F42" s="357" t="e">
        <f ca="1">INDIRECT("'数据-取费表'!v"&amp;$G$1)</f>
        <v>#N/A</v>
      </c>
      <c r="G42" s="1853"/>
      <c r="H42" s="732"/>
      <c r="I42" s="1862"/>
      <c r="J42" s="1863"/>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t="e">
        <f ca="1">C68-C40</f>
        <v>#N/A</v>
      </c>
      <c r="D46" s="1874" t="str">
        <f>C2</f>
        <v>万元</v>
      </c>
      <c r="E46" s="1868"/>
      <c r="F46" s="1868"/>
      <c r="I46" s="1875" t="s">
        <v>1520</v>
      </c>
      <c r="J46" s="1876"/>
      <c r="K46" s="1877"/>
      <c r="L46" s="1878" t="e">
        <f ca="1">IF(M47="住宅",0,IF(L48&gt;J51,L60,J60))</f>
        <v>#N/A</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3215</v>
      </c>
      <c r="K47" s="1884" t="s">
        <v>1526</v>
      </c>
      <c r="L47" s="1885" t="e">
        <f ca="1">INDIRECT("'数据-取费表'!d"&amp;$G$1)</f>
        <v>#N/A</v>
      </c>
      <c r="M47" s="1840" t="str">
        <f>IF(ISNUMBER(FIND("住宅",C1)),"住宅","非住宅")</f>
        <v>非住宅</v>
      </c>
      <c r="O47" s="1886" t="s">
        <v>1040</v>
      </c>
      <c r="P47" s="1887" t="s">
        <v>1527</v>
      </c>
      <c r="Q47" s="1888" t="e">
        <f ca="1">C40+J29</f>
        <v>#N/A</v>
      </c>
      <c r="R47" s="1888" t="s">
        <v>1528</v>
      </c>
    </row>
    <row r="48" spans="1:18" s="1844" customFormat="1" ht="28.5" thickBot="1">
      <c r="A48" s="1362" t="s">
        <v>1135</v>
      </c>
      <c r="B48" s="345" t="s">
        <v>1401</v>
      </c>
      <c r="C48" s="2951" t="e">
        <f ca="1">C49+C53+C55</f>
        <v>#N/A</v>
      </c>
      <c r="D48" s="1364"/>
      <c r="E48" s="1365"/>
      <c r="F48" s="1183"/>
      <c r="G48" s="792"/>
      <c r="H48" s="793"/>
      <c r="I48" s="1889" t="s">
        <v>1529</v>
      </c>
      <c r="J48" s="1890" t="s">
        <v>3216</v>
      </c>
      <c r="K48" s="1891" t="s">
        <v>1530</v>
      </c>
      <c r="L48" s="1892" t="e">
        <f ca="1">INDIRECT("'数据-取费表'!f"&amp;$G$1)</f>
        <v>#N/A</v>
      </c>
      <c r="O48" s="1886" t="s">
        <v>1041</v>
      </c>
      <c r="P48" s="1887" t="s">
        <v>1531</v>
      </c>
      <c r="Q48" s="1888" t="e">
        <f ca="1">J60</f>
        <v>#N/A</v>
      </c>
      <c r="R48" s="1888" t="s">
        <v>1532</v>
      </c>
    </row>
    <row r="49" spans="1:18" s="1844" customFormat="1" ht="13.5" thickBot="1">
      <c r="A49" s="1196" t="s">
        <v>1136</v>
      </c>
      <c r="B49" s="1831" t="s">
        <v>1489</v>
      </c>
      <c r="C49" s="1366" t="e">
        <f ca="1">ROUND(F49*F51*F50*(1-F52)/10000,0)</f>
        <v>#N/A</v>
      </c>
      <c r="D49" s="1278" t="s">
        <v>3029</v>
      </c>
      <c r="E49" s="1832" t="s">
        <v>1490</v>
      </c>
      <c r="F49" s="1283"/>
      <c r="G49" s="1893"/>
      <c r="H49" s="793"/>
      <c r="I49" s="1889" t="s">
        <v>1533</v>
      </c>
      <c r="J49" s="1894"/>
      <c r="K49" s="1891" t="s">
        <v>1534</v>
      </c>
      <c r="L49" s="1895"/>
      <c r="O49" s="1896" t="s">
        <v>1042</v>
      </c>
      <c r="P49" s="1887" t="s">
        <v>1535</v>
      </c>
      <c r="Q49" s="1888" t="e">
        <f ca="1">C29</f>
        <v>#N/A</v>
      </c>
      <c r="R49" s="1888" t="s">
        <v>1528</v>
      </c>
    </row>
    <row r="50" spans="1:18" s="1844" customFormat="1" ht="13.5" thickBot="1">
      <c r="A50" s="1197"/>
      <c r="B50" s="1200"/>
      <c r="C50" s="1370"/>
      <c r="D50" s="1174"/>
      <c r="E50" s="1279" t="s">
        <v>1406</v>
      </c>
      <c r="F50" s="1280" t="e">
        <f ca="1">F7</f>
        <v>#N/A</v>
      </c>
      <c r="H50" s="793"/>
      <c r="I50" s="1889" t="s">
        <v>1536</v>
      </c>
      <c r="J50" s="1897">
        <f>SUMPRODUCT((I63:I65=J47)*(J62:L62=J48)*(J63:L65))</f>
        <v>60</v>
      </c>
      <c r="K50" s="1891" t="s">
        <v>1537</v>
      </c>
      <c r="L50" s="1895"/>
      <c r="M50" s="1898"/>
      <c r="O50" s="1896" t="s">
        <v>1043</v>
      </c>
      <c r="P50" s="1887" t="s">
        <v>1538</v>
      </c>
      <c r="Q50" s="1899" t="e">
        <f ca="1">J58</f>
        <v>#N/A</v>
      </c>
      <c r="R50" s="1888"/>
    </row>
    <row r="51" spans="1:18" s="1844" customFormat="1" ht="13.5" thickBot="1">
      <c r="A51" s="1198"/>
      <c r="B51" s="1200"/>
      <c r="C51" s="1201"/>
      <c r="D51" s="1174"/>
      <c r="E51" s="1202" t="s">
        <v>1407</v>
      </c>
      <c r="F51" s="348" t="e">
        <f ca="1">F8</f>
        <v>#N/A</v>
      </c>
      <c r="I51" s="1900" t="s">
        <v>1539</v>
      </c>
      <c r="J51" s="1901">
        <f>IF(J49="",J50,J49+J50-YEAR('数据-取费表'!B2))</f>
        <v>60</v>
      </c>
      <c r="K51" s="1902" t="s">
        <v>1540</v>
      </c>
      <c r="L51" s="1903" t="e">
        <f ca="1">ROUND(-PV(INDIRECT("'数据-取费表'!h"&amp;$G$1),L48,(C39-C13*C76),0),0)</f>
        <v>#N/A</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e">
        <f ca="1">J53</f>
        <v>#N/A</v>
      </c>
      <c r="R52" s="1888" t="s">
        <v>1545</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1546</v>
      </c>
      <c r="J53" s="1908" t="e">
        <f ca="1">IF(M47="住宅",IF(D1="——",MAX(J51,L48),IF(D1="在建（套用方法）",MAX(J51,L48-'数据-取费表'!B24),MAX(J51,L48-'数据-取费表'!B20))),IF(D1="——",MIN(J51,L48),IF(D1="在建（套用方法）",MIN(J51,L48-'数据-取费表'!B24),IF(D1="土地（套用方法）",MIN(J51,L48-'数据-取费表'!B20)))))</f>
        <v>#N/A</v>
      </c>
      <c r="K53" s="3211" t="s">
        <v>1547</v>
      </c>
      <c r="L53" s="3212"/>
      <c r="O53" s="1886" t="s">
        <v>1046</v>
      </c>
      <c r="P53" s="1887" t="s">
        <v>1548</v>
      </c>
      <c r="Q53" s="1888" t="e">
        <f ca="1">Q47+Q48</f>
        <v>#N/A</v>
      </c>
      <c r="R53" s="1888" t="s">
        <v>1047</v>
      </c>
    </row>
    <row r="54" spans="1:18" s="1844" customFormat="1" ht="13.5" thickBot="1">
      <c r="A54" s="1408"/>
      <c r="B54" s="1827" t="s">
        <v>1388</v>
      </c>
      <c r="C54" s="1180"/>
      <c r="D54" s="1826"/>
      <c r="E54" s="2950"/>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1549</v>
      </c>
      <c r="P54" s="1841"/>
      <c r="Q54" s="1841"/>
      <c r="R54" s="1841"/>
    </row>
    <row r="55" spans="1:18" s="1844" customFormat="1" ht="13.5" thickBot="1">
      <c r="A55" s="1335" t="s">
        <v>1075</v>
      </c>
      <c r="B55" s="1829" t="s">
        <v>1412</v>
      </c>
      <c r="C55" s="1336"/>
      <c r="D55" s="1826"/>
      <c r="E55" s="2950"/>
      <c r="F55" s="1909"/>
      <c r="I55" s="1912" t="s">
        <v>1550</v>
      </c>
      <c r="J55" s="1913" t="e">
        <f ca="1">ROUND(IF(J47="钢混",J57/J50,1-(1-2%)*(J50-J57)/J50),3)</f>
        <v>#N/A</v>
      </c>
      <c r="K55" s="1914" t="s">
        <v>1551</v>
      </c>
      <c r="L55" s="1915" t="s">
        <v>1552</v>
      </c>
      <c r="O55" s="1879" t="s">
        <v>1521</v>
      </c>
      <c r="P55" s="1880" t="s">
        <v>1522</v>
      </c>
      <c r="Q55" s="1881" t="s">
        <v>1523</v>
      </c>
      <c r="R55" s="1881" t="s">
        <v>1524</v>
      </c>
    </row>
    <row r="56" spans="1:18" s="1844" customFormat="1" ht="25.5" thickTop="1" thickBot="1">
      <c r="A56" s="1178">
        <v>2</v>
      </c>
      <c r="B56" s="1179" t="s">
        <v>1413</v>
      </c>
      <c r="C56" s="276" t="e">
        <f ca="1">C13</f>
        <v>#N/A</v>
      </c>
      <c r="D56" s="1916"/>
      <c r="E56" s="1917"/>
      <c r="F56" s="1909"/>
      <c r="I56" s="1918" t="s">
        <v>1553</v>
      </c>
      <c r="J56" s="1919" t="s">
        <v>3052</v>
      </c>
      <c r="K56" s="1889" t="s">
        <v>1554</v>
      </c>
      <c r="L56" s="1892" t="e">
        <f ca="1">IF(L48&lt;J51,"——",L48-J53)</f>
        <v>#N/A</v>
      </c>
      <c r="O56" s="1886" t="s">
        <v>1040</v>
      </c>
      <c r="P56" s="1887" t="s">
        <v>1527</v>
      </c>
      <c r="Q56" s="1888" t="e">
        <f ca="1">C40+J29</f>
        <v>#N/A</v>
      </c>
      <c r="R56" s="1888" t="s">
        <v>1528</v>
      </c>
    </row>
    <row r="57" spans="1:18" s="1844" customFormat="1" ht="24.75" thickBot="1">
      <c r="A57" s="1920"/>
      <c r="B57" s="1171" t="s">
        <v>1477</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79" t="s">
        <v>1423</v>
      </c>
      <c r="C58" s="361" t="e">
        <f ca="1">ROUND(C59+C64+C65+C66,0)</f>
        <v>#N/A</v>
      </c>
      <c r="D58" s="1181" t="s">
        <v>1424</v>
      </c>
      <c r="E58" s="1182"/>
      <c r="F58" s="1183"/>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1528</v>
      </c>
    </row>
    <row r="59" spans="1:18" s="1844" customFormat="1" ht="24.75" thickBot="1">
      <c r="A59" s="1203" t="s">
        <v>1035</v>
      </c>
      <c r="B59" s="1171" t="s">
        <v>1428</v>
      </c>
      <c r="C59" s="24" t="e">
        <f ca="1">ROUND(IF(项目基本情况!B11="自然人",C48*F59,C60+C61+C62),1)</f>
        <v>#N/A</v>
      </c>
      <c r="D59" s="1184" t="s">
        <v>1429</v>
      </c>
      <c r="E59" s="1185" t="s">
        <v>1430</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3" t="s">
        <v>1034</v>
      </c>
      <c r="B60" s="1171" t="s">
        <v>1432</v>
      </c>
      <c r="C60" s="24" t="e">
        <f ca="1">IF(项目基本情况!B11="自然人","——",ROUND(C48*F60/(1+'数据-取费表'!C42),2))</f>
        <v>#N/A</v>
      </c>
      <c r="D60" s="1185" t="s">
        <v>1433</v>
      </c>
      <c r="E60" s="1171" t="s">
        <v>1421</v>
      </c>
      <c r="F60" s="377">
        <f t="shared" ref="F60:F66" si="0">F32</f>
        <v>5.5000000000000007E-2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3" t="s">
        <v>1491</v>
      </c>
      <c r="B61" s="1171" t="s">
        <v>1436</v>
      </c>
      <c r="C61" s="24" t="e">
        <f ca="1">IF(项目基本情况!B11="自然人","——",IF(D61="按租金收入计税",ROUND(C48*F61,2),IF(D61="按房产原值计税",ROUND(C57*F61*0.7,2),INDIRECT("'数据-取费表'!Aj"&amp;$G$1))))</f>
        <v>#N/A</v>
      </c>
      <c r="D61" s="1830" t="s">
        <v>1437</v>
      </c>
      <c r="E61" s="1171" t="s">
        <v>1421</v>
      </c>
      <c r="F61" s="367">
        <f t="shared" si="0"/>
        <v>0.12</v>
      </c>
      <c r="I61" s="1930"/>
      <c r="J61" s="1930"/>
      <c r="K61" s="1930"/>
      <c r="L61" s="1930"/>
      <c r="O61" s="1896" t="s">
        <v>1045</v>
      </c>
      <c r="P61" s="1887" t="str">
        <f>K59</f>
        <v>建筑物剩余耐用年限下的土地年期修正系数Kn</v>
      </c>
      <c r="Q61" s="1888" t="e">
        <f ca="1">L59</f>
        <v>#N/A</v>
      </c>
      <c r="R61" s="1888" t="s">
        <v>1568</v>
      </c>
    </row>
    <row r="62" spans="1:18" s="1844" customFormat="1" ht="13.5" thickBot="1">
      <c r="A62" s="1203" t="s">
        <v>1494</v>
      </c>
      <c r="B62" s="1170" t="s">
        <v>1440</v>
      </c>
      <c r="C62" s="25" t="e">
        <f ca="1">IF(项目基本情况!B11="自然人","——",ROUND(F62*F63/10000,2))</f>
        <v>#N/A</v>
      </c>
      <c r="D62" s="1186" t="s">
        <v>1441</v>
      </c>
      <c r="E62" s="1171" t="s">
        <v>1442</v>
      </c>
      <c r="F62" s="371">
        <f t="shared" si="0"/>
        <v>1.5</v>
      </c>
      <c r="I62" s="1931" t="s">
        <v>1569</v>
      </c>
      <c r="J62" s="1932" t="s">
        <v>1570</v>
      </c>
      <c r="K62" s="1932" t="s">
        <v>1571</v>
      </c>
      <c r="L62" s="1932" t="s">
        <v>1572</v>
      </c>
      <c r="M62" s="1933" t="s">
        <v>1573</v>
      </c>
      <c r="O62" s="1886" t="s">
        <v>1046</v>
      </c>
      <c r="P62" s="1887" t="s">
        <v>1548</v>
      </c>
      <c r="Q62" s="1888" t="e">
        <f ca="1">Q56+Q57</f>
        <v>#N/A</v>
      </c>
      <c r="R62" s="1888" t="s">
        <v>1047</v>
      </c>
    </row>
    <row r="63" spans="1:18" s="1844" customFormat="1" ht="13.5" thickBot="1">
      <c r="A63" s="372"/>
      <c r="B63" s="1177"/>
      <c r="C63" s="29"/>
      <c r="D63" s="1187"/>
      <c r="E63" s="1171" t="s">
        <v>1446</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t="e">
        <f ca="1">ROUND(C57*F64,1)</f>
        <v>#N/A</v>
      </c>
      <c r="D64" s="1185" t="s">
        <v>1481</v>
      </c>
      <c r="E64" s="1171" t="s">
        <v>1421</v>
      </c>
      <c r="F64" s="374" t="e">
        <f t="shared" ca="1" si="0"/>
        <v>#N/A</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t="e">
        <f ca="1">ROUND(C56*F65,1)</f>
        <v>#N/A</v>
      </c>
      <c r="D65" s="1185" t="s">
        <v>1453</v>
      </c>
      <c r="E65" s="1171" t="s">
        <v>1421</v>
      </c>
      <c r="F65" s="376" t="e">
        <f t="shared" ca="1" si="0"/>
        <v>#N/A</v>
      </c>
      <c r="I65" s="1931" t="s">
        <v>1578</v>
      </c>
      <c r="J65" s="1932">
        <v>40</v>
      </c>
      <c r="K65" s="1932">
        <v>30</v>
      </c>
      <c r="L65" s="1932">
        <v>50</v>
      </c>
      <c r="M65" s="1934">
        <v>0.02</v>
      </c>
      <c r="O65" s="1886" t="s">
        <v>1040</v>
      </c>
      <c r="P65" s="1887" t="s">
        <v>1527</v>
      </c>
      <c r="Q65" s="1888" t="e">
        <f ca="1">C40+J29</f>
        <v>#N/A</v>
      </c>
      <c r="R65" s="1888" t="s">
        <v>1528</v>
      </c>
    </row>
    <row r="66" spans="1:18" s="1844" customFormat="1" ht="16.5" thickBot="1">
      <c r="A66" s="1203" t="s">
        <v>1503</v>
      </c>
      <c r="B66" s="1171" t="s">
        <v>1438</v>
      </c>
      <c r="C66" s="24" t="e">
        <f ca="1">ROUND(C48*F66,1)</f>
        <v>#N/A</v>
      </c>
      <c r="D66" s="1185" t="s">
        <v>1458</v>
      </c>
      <c r="E66" s="1171" t="s">
        <v>1421</v>
      </c>
      <c r="F66" s="357" t="e">
        <f t="shared" ca="1" si="0"/>
        <v>#N/A</v>
      </c>
      <c r="O66" s="1886" t="s">
        <v>1041</v>
      </c>
      <c r="P66" s="1887" t="s">
        <v>1557</v>
      </c>
      <c r="Q66" s="1888" t="e">
        <f ca="1">L60</f>
        <v>#N/A</v>
      </c>
      <c r="R66" s="1888" t="s">
        <v>1580</v>
      </c>
    </row>
    <row r="67" spans="1:18" s="1844" customFormat="1" ht="16.5" thickBot="1">
      <c r="A67" s="1178" t="s">
        <v>1031</v>
      </c>
      <c r="B67" s="1188" t="s">
        <v>1462</v>
      </c>
      <c r="C67" s="361" t="e">
        <f ca="1">C48-C58</f>
        <v>#N/A</v>
      </c>
      <c r="D67" s="1184" t="s">
        <v>1463</v>
      </c>
      <c r="E67" s="1189"/>
      <c r="F67" s="1190"/>
      <c r="O67" s="1896" t="s">
        <v>1042</v>
      </c>
      <c r="P67" s="1887" t="s">
        <v>1561</v>
      </c>
      <c r="Q67" s="1935" t="e">
        <f ca="1">L51</f>
        <v>#N/A</v>
      </c>
      <c r="R67" s="1888" t="s">
        <v>1581</v>
      </c>
    </row>
    <row r="68" spans="1:18" s="1844" customFormat="1" ht="16.5" thickBot="1">
      <c r="A68" s="1168" t="s">
        <v>1032</v>
      </c>
      <c r="B68" s="1169" t="s">
        <v>1484</v>
      </c>
      <c r="C68" s="346" t="e">
        <f ca="1">ROUND(C67*(1-((1+F70)/(1+F68))^F69)/(F68-F70),0)</f>
        <v>#N/A</v>
      </c>
      <c r="D68" s="1186" t="s">
        <v>1468</v>
      </c>
      <c r="E68" s="1171" t="s">
        <v>1469</v>
      </c>
      <c r="F68" s="357" t="e">
        <f ca="1">F40</f>
        <v>#N/A</v>
      </c>
      <c r="O68" s="1896" t="s">
        <v>1043</v>
      </c>
      <c r="P68" s="1936" t="s">
        <v>1582</v>
      </c>
      <c r="Q68" s="1888" t="e">
        <f ca="1">ROUND(Q69-Q70*Q71,0)</f>
        <v>#N/A</v>
      </c>
      <c r="R68" s="1888" t="s">
        <v>1051</v>
      </c>
    </row>
    <row r="69" spans="1:18" s="1844" customFormat="1" ht="13.5" thickBot="1">
      <c r="A69" s="1172"/>
      <c r="B69" s="1173"/>
      <c r="C69" s="351"/>
      <c r="D69" s="1191" t="s">
        <v>1472</v>
      </c>
      <c r="E69" s="1171" t="s">
        <v>1473</v>
      </c>
      <c r="F69" s="379" t="e">
        <f ca="1">F41</f>
        <v>#N/A</v>
      </c>
      <c r="O69" s="1896" t="s">
        <v>1048</v>
      </c>
      <c r="P69" s="1936" t="s">
        <v>1583</v>
      </c>
      <c r="Q69" s="1888" t="e">
        <f ca="1">C39</f>
        <v>#N/A</v>
      </c>
      <c r="R69" s="1888" t="s">
        <v>1528</v>
      </c>
    </row>
    <row r="70" spans="1:18" s="1844" customFormat="1" ht="13.5" thickBot="1">
      <c r="A70" s="1175"/>
      <c r="B70" s="1176"/>
      <c r="C70" s="355"/>
      <c r="D70" s="1187"/>
      <c r="E70" s="1171" t="s">
        <v>1476</v>
      </c>
      <c r="F70" s="1277"/>
      <c r="O70" s="1896" t="s">
        <v>1049</v>
      </c>
      <c r="P70" s="1936" t="s">
        <v>1584</v>
      </c>
      <c r="Q70" s="1888" t="e">
        <f ca="1">C13</f>
        <v>#N/A</v>
      </c>
      <c r="R70" s="1888" t="s">
        <v>1528</v>
      </c>
    </row>
    <row r="71" spans="1:18" s="1844" customFormat="1" ht="13.5" thickBot="1">
      <c r="A71" s="1192" t="s">
        <v>1033</v>
      </c>
      <c r="B71" s="1193" t="s">
        <v>1486</v>
      </c>
      <c r="C71" s="382" t="e">
        <f ca="1">ROUND(C68*10000/F71,0)</f>
        <v>#N/A</v>
      </c>
      <c r="D71" s="1194" t="s">
        <v>1487</v>
      </c>
      <c r="E71" s="1195" t="s">
        <v>1488</v>
      </c>
      <c r="F71" s="385" t="e">
        <f ca="1">F43</f>
        <v>#N/A</v>
      </c>
      <c r="O71" s="1896" t="s">
        <v>1050</v>
      </c>
      <c r="P71" s="1936" t="s">
        <v>1585</v>
      </c>
      <c r="Q71" s="1899" t="e">
        <f ca="1">C76</f>
        <v>#N/A</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#N/A</v>
      </c>
      <c r="R74" s="1888" t="s">
        <v>1568</v>
      </c>
    </row>
    <row r="75" spans="1:18" ht="13.5" thickBot="1">
      <c r="A75" s="1844"/>
      <c r="B75" s="386" t="s">
        <v>1505</v>
      </c>
      <c r="C75" s="387" t="e">
        <f ca="1">ROUND(C13*C76,0)</f>
        <v>#N/A</v>
      </c>
      <c r="D75" s="1844"/>
      <c r="E75" s="1844"/>
      <c r="F75" s="1844"/>
      <c r="K75" s="1870"/>
      <c r="L75" s="1844"/>
      <c r="O75" s="1886" t="s">
        <v>1046</v>
      </c>
      <c r="P75" s="1887" t="s">
        <v>1548</v>
      </c>
      <c r="Q75" s="1888" t="e">
        <f ca="1">Q65+Q66</f>
        <v>#N/A</v>
      </c>
      <c r="R75" s="1888" t="s">
        <v>1047</v>
      </c>
    </row>
    <row r="76" spans="1:18">
      <c r="B76" s="388" t="s">
        <v>1506</v>
      </c>
      <c r="C76" s="389" t="e">
        <f ca="1">INDIRECT("'数据-取费表'!j"&amp;$G$1)</f>
        <v>#N/A</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6</v>
      </c>
      <c r="D1" s="1822" t="s">
        <v>70</v>
      </c>
      <c r="E1" s="1823" t="s">
        <v>1387</v>
      </c>
      <c r="F1" s="1285">
        <f ca="1">J53</f>
        <v>35.86</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2930</v>
      </c>
      <c r="C2" s="1847" t="s">
        <v>1515</v>
      </c>
      <c r="D2" s="1847"/>
      <c r="E2" s="1848"/>
      <c r="F2" s="1849"/>
      <c r="G2" s="1850"/>
      <c r="H2" s="1842"/>
      <c r="I2" s="1842"/>
      <c r="J2" s="1842"/>
      <c r="K2" s="1843"/>
      <c r="L2" s="1842"/>
      <c r="M2" s="1842"/>
    </row>
    <row r="3" spans="1:37" ht="18" customHeight="1" thickBot="1">
      <c r="A3" s="1851" t="s">
        <v>1516</v>
      </c>
      <c r="B3" s="1852">
        <f ca="1">IF(ISERROR(B2*10000/F43),0,ROUND(B2*10000/F43,0))</f>
        <v>4712</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204</v>
      </c>
      <c r="D5" s="1824" t="s">
        <v>1402</v>
      </c>
      <c r="E5" s="1295"/>
      <c r="F5" s="1296"/>
      <c r="G5" s="1853"/>
      <c r="H5" s="344">
        <v>1</v>
      </c>
      <c r="I5" s="345" t="s">
        <v>1401</v>
      </c>
      <c r="J5" s="1294">
        <f ca="1">J6+J10+J12</f>
        <v>0</v>
      </c>
      <c r="K5" s="1824" t="s">
        <v>1402</v>
      </c>
      <c r="L5" s="1295"/>
      <c r="M5" s="1296"/>
    </row>
    <row r="6" spans="1:37" ht="18" customHeight="1">
      <c r="A6" s="1293" t="s">
        <v>1035</v>
      </c>
      <c r="B6" s="3208" t="s">
        <v>1403</v>
      </c>
      <c r="C6" s="1298">
        <f ca="1">ROUND(F6*F8*F7*(1-F9)/10000,0)</f>
        <v>204</v>
      </c>
      <c r="D6" s="164" t="s">
        <v>3030</v>
      </c>
      <c r="E6" s="347" t="s">
        <v>1405</v>
      </c>
      <c r="F6" s="348">
        <f ca="1">INDIRECT("'数据-取费表'!u"&amp;$G$1)</f>
        <v>1</v>
      </c>
      <c r="G6" s="1853"/>
      <c r="H6" s="1293" t="s">
        <v>1035</v>
      </c>
      <c r="I6" s="3208" t="s">
        <v>1403</v>
      </c>
      <c r="J6" s="346">
        <f ca="1">ROUND(M6*M8*M7*(1-M9)/10000,0)</f>
        <v>0</v>
      </c>
      <c r="K6" s="164" t="s">
        <v>3029</v>
      </c>
      <c r="L6" s="347" t="s">
        <v>1405</v>
      </c>
      <c r="M6" s="348">
        <f ca="1">INDIRECT("'数据-取费表'!z"&amp;$G$1)</f>
        <v>0</v>
      </c>
    </row>
    <row r="7" spans="1:37" ht="18" customHeight="1">
      <c r="A7" s="1297"/>
      <c r="B7" s="3209"/>
      <c r="C7" s="1299"/>
      <c r="D7" s="352"/>
      <c r="E7" s="1300" t="s">
        <v>1406</v>
      </c>
      <c r="F7" s="348">
        <f ca="1">IF(INDIRECT("'数据-取费表'!ah"&amp;$G$1)="",INDIRECT("'数据-取费表'!k"&amp;$G$1),INDIRECT("'数据-取费表'!ah"&amp;$G$1))</f>
        <v>6217.83</v>
      </c>
      <c r="G7" s="1853"/>
      <c r="H7" s="349"/>
      <c r="I7" s="3209"/>
      <c r="J7" s="351"/>
      <c r="K7" s="352"/>
      <c r="L7" s="347" t="s">
        <v>1406</v>
      </c>
      <c r="M7" s="348">
        <f ca="1">F7</f>
        <v>6217.83</v>
      </c>
    </row>
    <row r="8" spans="1:37" ht="18" customHeight="1">
      <c r="A8" s="349"/>
      <c r="B8" s="3209"/>
      <c r="C8" s="351"/>
      <c r="D8" s="352"/>
      <c r="E8" s="347" t="s">
        <v>1407</v>
      </c>
      <c r="F8" s="348">
        <f ca="1">INDIRECT("'数据-取费表'!ai"&amp;$G$1)</f>
        <v>365</v>
      </c>
      <c r="G8" s="1853"/>
      <c r="H8" s="349"/>
      <c r="I8" s="3209"/>
      <c r="J8" s="351"/>
      <c r="K8" s="352"/>
      <c r="L8" s="347" t="s">
        <v>1407</v>
      </c>
      <c r="M8" s="348">
        <f ca="1">INDIRECT("'数据-取费表'!ai"&amp;$G$1)</f>
        <v>365</v>
      </c>
    </row>
    <row r="9" spans="1:37" ht="18" customHeight="1">
      <c r="A9" s="349"/>
      <c r="B9" s="3210"/>
      <c r="C9" s="351"/>
      <c r="D9" s="352"/>
      <c r="E9" s="347" t="s">
        <v>1408</v>
      </c>
      <c r="F9" s="357">
        <f ca="1">INDIRECT("'数据-取费表'!w"&amp;$G$1)</f>
        <v>0.1</v>
      </c>
      <c r="G9" s="1853"/>
      <c r="H9" s="349"/>
      <c r="I9" s="3210"/>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3039</v>
      </c>
      <c r="E10" s="358" t="s">
        <v>1410</v>
      </c>
      <c r="F10" s="1368" t="s">
        <v>3213</v>
      </c>
      <c r="G10" s="1853"/>
      <c r="H10" s="1293" t="s">
        <v>1039</v>
      </c>
      <c r="I10" s="1825" t="s">
        <v>1409</v>
      </c>
      <c r="J10" s="346">
        <f ca="1">ROUND(IF(M10="押一",J6/12*M11,IF(M10="押二",J6/12*2*M11,IF(M10="押三",J6/12*3*M11,J11*M11))),0)</f>
        <v>0</v>
      </c>
      <c r="K10" s="1826" t="s">
        <v>3038</v>
      </c>
      <c r="L10" s="358" t="s">
        <v>1410</v>
      </c>
      <c r="M10" s="1368" t="s">
        <v>3213</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1388</v>
      </c>
      <c r="D13" s="1333" t="s">
        <v>1414</v>
      </c>
      <c r="E13" s="1333" t="s">
        <v>1415</v>
      </c>
      <c r="F13" s="1334">
        <f ca="1">INDIRECT("'数据-取费表'!y"&amp;$G$1)</f>
        <v>0.77</v>
      </c>
      <c r="G13" s="1853"/>
      <c r="H13" s="1331">
        <v>2</v>
      </c>
      <c r="I13" s="1332" t="s">
        <v>1413</v>
      </c>
      <c r="J13" s="1292">
        <f ca="1">ROUND(J14*J15,0)</f>
        <v>0</v>
      </c>
      <c r="K13" s="1339" t="s">
        <v>1414</v>
      </c>
      <c r="L13" s="1854"/>
      <c r="M13" s="1855"/>
    </row>
    <row r="14" spans="1:37" ht="18" customHeight="1">
      <c r="A14" s="1203" t="s">
        <v>1034</v>
      </c>
      <c r="B14" s="347" t="s">
        <v>1416</v>
      </c>
      <c r="C14" s="363">
        <f ca="1">INDIRECT("'数据-取费表'!m"&amp;$G$1)+INDIRECT("'数据-取费表'!t"&amp;$G$1)</f>
        <v>1244</v>
      </c>
      <c r="D14" s="1802" t="s">
        <v>1417</v>
      </c>
      <c r="E14" s="1796"/>
      <c r="F14" s="364"/>
      <c r="G14" s="1853"/>
      <c r="H14" s="1203" t="s">
        <v>1035</v>
      </c>
      <c r="I14" s="347" t="s">
        <v>1418</v>
      </c>
      <c r="J14" s="24">
        <f ca="1">C29</f>
        <v>1802</v>
      </c>
      <c r="K14" s="15"/>
      <c r="L14" s="982"/>
      <c r="M14" s="983"/>
    </row>
    <row r="15" spans="1:37" s="1860" customFormat="1" ht="18" customHeight="1" thickBot="1">
      <c r="A15" s="1203" t="s">
        <v>1036</v>
      </c>
      <c r="B15" s="347" t="s">
        <v>1419</v>
      </c>
      <c r="C15" s="24">
        <f ca="1">ROUND(C14*F15,0)</f>
        <v>37</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27</v>
      </c>
      <c r="K16" s="1339" t="s">
        <v>1424</v>
      </c>
      <c r="L16" s="1340"/>
      <c r="M16" s="1296"/>
    </row>
    <row r="17" spans="1:37" s="1860" customFormat="1" ht="18" customHeight="1">
      <c r="A17" s="1203" t="s">
        <v>1390</v>
      </c>
      <c r="B17" s="347" t="s">
        <v>1425</v>
      </c>
      <c r="C17" s="24">
        <f ca="1">ROUND(F17*(F43+INDIRECT("'数据-取费表'!S"&amp;$G$1))/10000,0)</f>
        <v>124</v>
      </c>
      <c r="D17" s="347" t="s">
        <v>1426</v>
      </c>
      <c r="E17" s="347" t="s">
        <v>1427</v>
      </c>
      <c r="F17" s="26">
        <f>'数据-取费表'!B35</f>
        <v>200</v>
      </c>
      <c r="G17" s="1856"/>
      <c r="H17" s="1203" t="s">
        <v>1035</v>
      </c>
      <c r="I17" s="347" t="s">
        <v>1428</v>
      </c>
      <c r="J17" s="24">
        <f ca="1">ROUND(IF(项目基本情况!B11="自然人",J5*M17,J18+J19+J20),1)</f>
        <v>0.4</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19</v>
      </c>
      <c r="D18" s="347" t="s">
        <v>1420</v>
      </c>
      <c r="E18" s="347" t="s">
        <v>1421</v>
      </c>
      <c r="F18" s="367">
        <f>'数据-取费表'!B36</f>
        <v>1.4999999999999999E-2</v>
      </c>
      <c r="G18" s="1856"/>
      <c r="H18" s="1203"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1424</v>
      </c>
      <c r="D19" s="140" t="s">
        <v>1435</v>
      </c>
      <c r="E19" s="1820"/>
      <c r="F19" s="26"/>
      <c r="G19" s="1853"/>
      <c r="H19" s="1203" t="s">
        <v>1036</v>
      </c>
      <c r="I19" s="347" t="s">
        <v>1436</v>
      </c>
      <c r="J19" s="24">
        <f ca="1">IF(K19="按租金收入计税",ROUND(J5*M19,2),ROUND(C29*M19*0.7,2))</f>
        <v>0</v>
      </c>
      <c r="K19" s="1830" t="s">
        <v>3214</v>
      </c>
      <c r="L19" s="347" t="s">
        <v>1421</v>
      </c>
      <c r="M19" s="367">
        <f>IF(K19="按租金收入计税",'数据-取费表'!B51,'数据-取费表'!B50)</f>
        <v>0.12</v>
      </c>
    </row>
    <row r="20" spans="1:37" s="1860" customFormat="1" ht="18" customHeight="1">
      <c r="A20" s="1203" t="s">
        <v>1039</v>
      </c>
      <c r="B20" s="347" t="s">
        <v>1438</v>
      </c>
      <c r="C20" s="24">
        <f ca="1">ROUND(C19*F20,0)</f>
        <v>28</v>
      </c>
      <c r="D20" s="369" t="s">
        <v>1439</v>
      </c>
      <c r="E20" s="347" t="s">
        <v>1421</v>
      </c>
      <c r="F20" s="367">
        <f>'数据-取费表'!B37</f>
        <v>0.02</v>
      </c>
      <c r="G20" s="1856"/>
      <c r="H20" s="1203" t="s">
        <v>1389</v>
      </c>
      <c r="I20" s="164" t="s">
        <v>1440</v>
      </c>
      <c r="J20" s="25">
        <f ca="1">ROUND(M20*M21/10000,2)</f>
        <v>0.36</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2422.36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ROUND(J14*M22,1)</f>
        <v>27</v>
      </c>
      <c r="K22" s="1800"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69</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ROUND(J5*M24,1)</f>
        <v>0</v>
      </c>
      <c r="K24" s="1344" t="s">
        <v>1458</v>
      </c>
      <c r="L24" s="1342" t="s">
        <v>1454</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1820"/>
      <c r="F25" s="26"/>
      <c r="G25" s="1853"/>
      <c r="H25" s="1331" t="s">
        <v>1031</v>
      </c>
      <c r="I25" s="1346" t="s">
        <v>1462</v>
      </c>
      <c r="J25" s="355">
        <f ca="1">J5-J16</f>
        <v>-27</v>
      </c>
      <c r="K25" s="1347" t="s">
        <v>1463</v>
      </c>
      <c r="L25" s="1348"/>
      <c r="M25" s="1349"/>
    </row>
    <row r="26" spans="1:37">
      <c r="A26" s="1203" t="s">
        <v>1034</v>
      </c>
      <c r="B26" s="347" t="s">
        <v>1464</v>
      </c>
      <c r="C26" s="24">
        <f ca="1">ROUND((C19+C20)*F26,0)</f>
        <v>145</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1802</v>
      </c>
      <c r="D29" s="1344"/>
      <c r="E29" s="1342"/>
      <c r="F29" s="1345"/>
      <c r="G29" s="1856"/>
      <c r="H29" s="380" t="s">
        <v>1033</v>
      </c>
      <c r="I29" s="381" t="s">
        <v>1478</v>
      </c>
      <c r="J29" s="382">
        <f ca="1">ROUND(J26/(1+F40)^F41,0)</f>
        <v>0</v>
      </c>
      <c r="K29" s="383" t="s">
        <v>1479</v>
      </c>
      <c r="L29" s="384"/>
      <c r="M29" s="385">
        <f ca="1">INDIRECT("'数据-取费表'!k"&amp;$G$1)</f>
        <v>6217.83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68</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ROUND(IF(项目基本情况!B11="自然人",C5*F31,C32+C33+C34),1)</f>
        <v>35.5</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10.69</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24.48</v>
      </c>
      <c r="D33" s="1830" t="s">
        <v>3214</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0.36</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2422.36</v>
      </c>
      <c r="G35" s="1853"/>
      <c r="H35" s="745"/>
      <c r="I35" s="1862"/>
      <c r="J35" s="1863"/>
      <c r="K35" s="1864"/>
      <c r="L35" s="1861"/>
      <c r="M35" s="1861"/>
    </row>
    <row r="36" spans="1:18" ht="18" customHeight="1">
      <c r="A36" s="1354" t="s">
        <v>1039</v>
      </c>
      <c r="B36" s="347" t="s">
        <v>1448</v>
      </c>
      <c r="C36" s="24">
        <f ca="1">ROUND(C29*F36,1)</f>
        <v>27</v>
      </c>
      <c r="D36" s="1800"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2.8</v>
      </c>
      <c r="D37" s="1800" t="s">
        <v>1453</v>
      </c>
      <c r="E37" s="347" t="s">
        <v>1454</v>
      </c>
      <c r="F37" s="376">
        <f ca="1">INDIRECT("'数据-取费表'!Al"&amp;$G$1)</f>
        <v>2E-3</v>
      </c>
      <c r="G37" s="1853"/>
      <c r="H37" s="1861"/>
      <c r="I37" s="1862"/>
      <c r="J37" s="1863"/>
      <c r="K37" s="751"/>
      <c r="L37" s="1861"/>
      <c r="M37" s="1861"/>
    </row>
    <row r="38" spans="1:18" ht="18" customHeight="1" thickBot="1">
      <c r="A38" s="1341" t="s">
        <v>1393</v>
      </c>
      <c r="B38" s="1342" t="s">
        <v>1438</v>
      </c>
      <c r="C38" s="1343">
        <f ca="1">ROUND(C5*F38,1)</f>
        <v>3.1</v>
      </c>
      <c r="D38" s="1344" t="s">
        <v>1458</v>
      </c>
      <c r="E38" s="1342" t="s">
        <v>1454</v>
      </c>
      <c r="F38" s="1338">
        <f ca="1">INDIRECT("'数据-取费表'!Am"&amp;$G$1)</f>
        <v>1.4999999999999999E-2</v>
      </c>
      <c r="G38" s="1853"/>
      <c r="H38" s="1861"/>
      <c r="I38" s="1862"/>
      <c r="J38" s="1863"/>
      <c r="K38" s="1867"/>
      <c r="L38" s="1861"/>
      <c r="M38" s="1861"/>
    </row>
    <row r="39" spans="1:18" ht="24.6" customHeight="1" thickTop="1">
      <c r="A39" s="1331" t="s">
        <v>1031</v>
      </c>
      <c r="B39" s="1346" t="s">
        <v>1482</v>
      </c>
      <c r="C39" s="355">
        <f ca="1">C5-C30</f>
        <v>136</v>
      </c>
      <c r="D39" s="1347" t="s">
        <v>1483</v>
      </c>
      <c r="E39" s="1348"/>
      <c r="F39" s="1349"/>
      <c r="G39" s="1853"/>
      <c r="H39" s="1861"/>
      <c r="I39" s="1862"/>
      <c r="J39" s="1863"/>
      <c r="K39" s="1867"/>
      <c r="L39" s="1861"/>
      <c r="M39" s="1861"/>
    </row>
    <row r="40" spans="1:18" ht="18" customHeight="1">
      <c r="A40" s="344" t="s">
        <v>1032</v>
      </c>
      <c r="B40" s="345" t="s">
        <v>1484</v>
      </c>
      <c r="C40" s="346">
        <f ca="1">ROUND(C39*(1-((1+F42)/(1+F40))^F41)/(F40-F42),0)</f>
        <v>2930</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35.86</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4712</v>
      </c>
      <c r="D43" s="383" t="s">
        <v>1487</v>
      </c>
      <c r="E43" s="384" t="s">
        <v>1488</v>
      </c>
      <c r="F43" s="385">
        <f ca="1">INDIRECT("'数据-取费表'!k"&amp;$G$1)</f>
        <v>6217.83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-5937</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3215</v>
      </c>
      <c r="K47" s="1884" t="s">
        <v>1526</v>
      </c>
      <c r="L47" s="1885">
        <f ca="1">INDIRECT("'数据-取费表'!d"&amp;$G$1)</f>
        <v>50</v>
      </c>
      <c r="M47" s="1840" t="str">
        <f>IF(ISNUMBER(FIND("住宅",C1)),"住宅","非住宅")</f>
        <v>非住宅</v>
      </c>
      <c r="O47" s="1886" t="s">
        <v>1040</v>
      </c>
      <c r="P47" s="1887" t="s">
        <v>1527</v>
      </c>
      <c r="Q47" s="1888">
        <f ca="1">C40+J29</f>
        <v>2930</v>
      </c>
      <c r="R47" s="1888" t="s">
        <v>1528</v>
      </c>
    </row>
    <row r="48" spans="1:18" s="1844" customFormat="1" ht="28.5" thickBot="1">
      <c r="A48" s="1362" t="s">
        <v>1135</v>
      </c>
      <c r="B48" s="345" t="s">
        <v>1401</v>
      </c>
      <c r="C48" s="1819">
        <f ca="1">C49+C53+C55</f>
        <v>0</v>
      </c>
      <c r="D48" s="1364"/>
      <c r="E48" s="1365"/>
      <c r="F48" s="1183"/>
      <c r="G48" s="792"/>
      <c r="H48" s="793"/>
      <c r="I48" s="1889" t="s">
        <v>1529</v>
      </c>
      <c r="J48" s="1890" t="s">
        <v>3216</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3031</v>
      </c>
      <c r="E49" s="1832" t="s">
        <v>1490</v>
      </c>
      <c r="F49" s="1283"/>
      <c r="G49" s="1893"/>
      <c r="H49" s="793"/>
      <c r="I49" s="1889" t="s">
        <v>1533</v>
      </c>
      <c r="J49" s="1894">
        <v>2012</v>
      </c>
      <c r="K49" s="1891" t="s">
        <v>1534</v>
      </c>
      <c r="L49" s="1895"/>
      <c r="O49" s="1896" t="s">
        <v>1042</v>
      </c>
      <c r="P49" s="1887" t="s">
        <v>1535</v>
      </c>
      <c r="Q49" s="1888">
        <f ca="1">C29</f>
        <v>1802</v>
      </c>
      <c r="R49" s="1888" t="s">
        <v>1528</v>
      </c>
    </row>
    <row r="50" spans="1:18" s="1844" customFormat="1" ht="13.5" thickBot="1">
      <c r="A50" s="1197"/>
      <c r="B50" s="1200"/>
      <c r="C50" s="1370"/>
      <c r="D50" s="1174"/>
      <c r="E50" s="1279" t="s">
        <v>1406</v>
      </c>
      <c r="F50" s="1280">
        <f ca="1">F7</f>
        <v>6217.83</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54</v>
      </c>
      <c r="K51" s="1902" t="s">
        <v>1540</v>
      </c>
      <c r="L51" s="1903">
        <f ca="1">ROUND(-PV(INDIRECT("'数据-取费表'!h"&amp;$G$1),L48,(C39-C13*C76),0),0)</f>
        <v>318</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1546</v>
      </c>
      <c r="J53" s="1908">
        <f ca="1">IF(M47="住宅",IF(D1="——",MAX(J51,L48),IF(D1="在建（套用方法）",MAX(J51,L48-'数据-取费表'!B24),MAX(J51,L48-'数据-取费表'!B20))),IF(D1="——",MIN(J51,L48),IF(D1="在建（套用方法）",MIN(J51,L48-'数据-取费表'!B24),IF(D1="土地（套用方法）",MIN(J51,L48-'数据-取费表'!B20)))))</f>
        <v>35.86</v>
      </c>
      <c r="K53" s="3211" t="s">
        <v>1547</v>
      </c>
      <c r="L53" s="3212"/>
      <c r="O53" s="1886" t="s">
        <v>1046</v>
      </c>
      <c r="P53" s="1887" t="s">
        <v>1548</v>
      </c>
      <c r="Q53" s="1888">
        <f ca="1">Q47+Q48</f>
        <v>2930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1388</v>
      </c>
      <c r="D56" s="1916"/>
      <c r="E56" s="1917"/>
      <c r="F56" s="1909"/>
      <c r="I56" s="1918" t="s">
        <v>1553</v>
      </c>
      <c r="J56" s="1919" t="s">
        <v>3052</v>
      </c>
      <c r="K56" s="1889" t="s">
        <v>1554</v>
      </c>
      <c r="L56" s="1892" t="str">
        <f ca="1">IF(L48&lt;J51,"——",L48-J53)</f>
        <v>——</v>
      </c>
      <c r="O56" s="1886" t="s">
        <v>1040</v>
      </c>
      <c r="P56" s="1887" t="s">
        <v>1527</v>
      </c>
      <c r="Q56" s="1888">
        <f ca="1">C40+J29</f>
        <v>2930</v>
      </c>
      <c r="R56" s="1888" t="s">
        <v>1528</v>
      </c>
    </row>
    <row r="57" spans="1:18" s="1844" customFormat="1" ht="24.75" thickBot="1">
      <c r="A57" s="1920"/>
      <c r="B57" s="1171" t="s">
        <v>1477</v>
      </c>
      <c r="C57" s="282">
        <f ca="1">C29</f>
        <v>1802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182</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151.69999999999999</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151.37</v>
      </c>
      <c r="D61" s="1830" t="s">
        <v>1437</v>
      </c>
      <c r="E61" s="1171"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0.36</v>
      </c>
      <c r="D62" s="1186" t="s">
        <v>1496</v>
      </c>
      <c r="E62" s="1171" t="s">
        <v>1497</v>
      </c>
      <c r="F62" s="371">
        <f t="shared" si="0"/>
        <v>1.5</v>
      </c>
      <c r="I62" s="1931" t="s">
        <v>1569</v>
      </c>
      <c r="J62" s="1932" t="s">
        <v>1570</v>
      </c>
      <c r="K62" s="1932" t="s">
        <v>1571</v>
      </c>
      <c r="L62" s="1932" t="s">
        <v>1572</v>
      </c>
      <c r="M62" s="1933" t="s">
        <v>1573</v>
      </c>
      <c r="O62" s="1886" t="s">
        <v>1046</v>
      </c>
      <c r="P62" s="1887" t="s">
        <v>1574</v>
      </c>
      <c r="Q62" s="1888">
        <f ca="1">Q56+Q57</f>
        <v>2930</v>
      </c>
      <c r="R62" s="1888" t="s">
        <v>1047</v>
      </c>
    </row>
    <row r="63" spans="1:18" s="1844" customFormat="1" ht="13.5" thickBot="1">
      <c r="A63" s="372"/>
      <c r="B63" s="1177"/>
      <c r="C63" s="29"/>
      <c r="D63" s="1187"/>
      <c r="E63" s="1171" t="s">
        <v>1498</v>
      </c>
      <c r="F63" s="348">
        <f t="shared" ca="1" si="0"/>
        <v>2422.36</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27</v>
      </c>
      <c r="D64" s="1185" t="s">
        <v>1501</v>
      </c>
      <c r="E64" s="1171"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2.8</v>
      </c>
      <c r="D65" s="1185" t="s">
        <v>1453</v>
      </c>
      <c r="E65" s="1171" t="s">
        <v>1454</v>
      </c>
      <c r="F65" s="376">
        <f t="shared" ca="1" si="0"/>
        <v>2E-3</v>
      </c>
      <c r="I65" s="1931" t="s">
        <v>1578</v>
      </c>
      <c r="J65" s="1932">
        <v>40</v>
      </c>
      <c r="K65" s="1932">
        <v>30</v>
      </c>
      <c r="L65" s="1932">
        <v>50</v>
      </c>
      <c r="M65" s="1934">
        <v>0.02</v>
      </c>
      <c r="O65" s="1886" t="s">
        <v>1040</v>
      </c>
      <c r="P65" s="1887" t="s">
        <v>1579</v>
      </c>
      <c r="Q65" s="1888">
        <f ca="1">C40+J29</f>
        <v>2930</v>
      </c>
      <c r="R65" s="1888" t="s">
        <v>1528</v>
      </c>
    </row>
    <row r="66" spans="1:18" s="1844" customFormat="1" ht="16.5" thickBot="1">
      <c r="A66" s="1203" t="s">
        <v>1503</v>
      </c>
      <c r="B66" s="1171" t="s">
        <v>1438</v>
      </c>
      <c r="C66" s="24">
        <f ca="1">ROUND(C48*F66,1)</f>
        <v>0</v>
      </c>
      <c r="D66" s="1185" t="s">
        <v>1504</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-182</v>
      </c>
      <c r="D67" s="1184" t="s">
        <v>1463</v>
      </c>
      <c r="E67" s="1189"/>
      <c r="F67" s="1190"/>
      <c r="O67" s="1896" t="s">
        <v>1042</v>
      </c>
      <c r="P67" s="1887" t="s">
        <v>1561</v>
      </c>
      <c r="Q67" s="1935">
        <f ca="1">L51</f>
        <v>318</v>
      </c>
      <c r="R67" s="1888" t="s">
        <v>1581</v>
      </c>
    </row>
    <row r="68" spans="1:18" s="1844" customFormat="1" ht="16.5" thickBot="1">
      <c r="A68" s="1168" t="s">
        <v>1032</v>
      </c>
      <c r="B68" s="1169" t="s">
        <v>1484</v>
      </c>
      <c r="C68" s="346">
        <f ca="1">ROUND(C67*(1-((1+F70)/(1+F68))^F69)/(F68-F70),0)</f>
        <v>-3007</v>
      </c>
      <c r="D68" s="1186" t="s">
        <v>1468</v>
      </c>
      <c r="E68" s="1171" t="s">
        <v>1469</v>
      </c>
      <c r="F68" s="357">
        <f ca="1">F40</f>
        <v>0.05</v>
      </c>
      <c r="O68" s="1896" t="s">
        <v>1043</v>
      </c>
      <c r="P68" s="1936" t="s">
        <v>1582</v>
      </c>
      <c r="Q68" s="1888">
        <f ca="1">ROUND(Q69-Q70*Q71,0)</f>
        <v>18</v>
      </c>
      <c r="R68" s="1888" t="s">
        <v>1051</v>
      </c>
    </row>
    <row r="69" spans="1:18" s="1844" customFormat="1" ht="13.5" thickBot="1">
      <c r="A69" s="1172"/>
      <c r="B69" s="1173"/>
      <c r="C69" s="351"/>
      <c r="D69" s="1191" t="s">
        <v>1472</v>
      </c>
      <c r="E69" s="1171" t="s">
        <v>1473</v>
      </c>
      <c r="F69" s="379">
        <f ca="1">F41</f>
        <v>35.86</v>
      </c>
      <c r="O69" s="1896" t="s">
        <v>1048</v>
      </c>
      <c r="P69" s="1936" t="s">
        <v>1583</v>
      </c>
      <c r="Q69" s="1888">
        <f ca="1">C39</f>
        <v>136</v>
      </c>
      <c r="R69" s="1888" t="s">
        <v>1528</v>
      </c>
    </row>
    <row r="70" spans="1:18" s="1844" customFormat="1" ht="13.5" thickBot="1">
      <c r="A70" s="1175"/>
      <c r="B70" s="1176"/>
      <c r="C70" s="355"/>
      <c r="D70" s="1187"/>
      <c r="E70" s="1171" t="s">
        <v>1476</v>
      </c>
      <c r="F70" s="1277"/>
      <c r="O70" s="1896" t="s">
        <v>1049</v>
      </c>
      <c r="P70" s="1936" t="s">
        <v>1584</v>
      </c>
      <c r="Q70" s="1888">
        <f ca="1">C13</f>
        <v>1388</v>
      </c>
      <c r="R70" s="1888" t="s">
        <v>1528</v>
      </c>
    </row>
    <row r="71" spans="1:18" s="1844" customFormat="1" ht="13.5" thickBot="1">
      <c r="A71" s="1192" t="s">
        <v>1033</v>
      </c>
      <c r="B71" s="1193" t="s">
        <v>1486</v>
      </c>
      <c r="C71" s="382">
        <f ca="1">ROUND(C68*10000/F71,0)</f>
        <v>-4836</v>
      </c>
      <c r="D71" s="1194" t="s">
        <v>1487</v>
      </c>
      <c r="E71" s="1195" t="s">
        <v>1488</v>
      </c>
      <c r="F71" s="385">
        <f ca="1">F43</f>
        <v>6217.83</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118</v>
      </c>
      <c r="D75" s="1844"/>
      <c r="E75" s="1844"/>
      <c r="F75" s="1844"/>
      <c r="K75" s="1870"/>
      <c r="L75" s="1844"/>
      <c r="O75" s="1886" t="s">
        <v>1046</v>
      </c>
      <c r="P75" s="1887" t="s">
        <v>1548</v>
      </c>
      <c r="Q75" s="1888">
        <f ca="1">Q65+Q66</f>
        <v>2930</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0.13200000000000001</v>
      </c>
    </row>
    <row r="80" spans="1:18">
      <c r="B80" s="386" t="s">
        <v>1510</v>
      </c>
      <c r="C80" s="318">
        <f ca="1">ROUND(C75/C39,3)</f>
        <v>0.86799999999999999</v>
      </c>
    </row>
    <row r="81" spans="2:3">
      <c r="B81" s="314" t="s">
        <v>1511</v>
      </c>
      <c r="C81" s="282"/>
    </row>
    <row r="82" spans="2:3">
      <c r="B82" s="317" t="s">
        <v>1512</v>
      </c>
      <c r="C82" s="319">
        <f ca="1">1-C83</f>
        <v>0.52600000000000002</v>
      </c>
    </row>
    <row r="83" spans="2:3">
      <c r="B83" s="317" t="s">
        <v>1513</v>
      </c>
      <c r="C83" s="318">
        <f ca="1">ROUND(C13/C40,3)</f>
        <v>0.47399999999999998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08" t="s">
        <v>1403</v>
      </c>
      <c r="C6" s="1298">
        <f ca="1">ROUND(F6*F8*F7*(1-F9),0)</f>
        <v>0</v>
      </c>
      <c r="D6" s="164" t="s">
        <v>3027</v>
      </c>
      <c r="E6" s="347" t="s">
        <v>1405</v>
      </c>
      <c r="F6" s="348">
        <f ca="1">INDIRECT("'数据-取费表'!u"&amp;$G$1)</f>
        <v>0</v>
      </c>
      <c r="G6" s="1853"/>
      <c r="H6" s="1293" t="s">
        <v>1035</v>
      </c>
      <c r="I6" s="3208" t="s">
        <v>1403</v>
      </c>
      <c r="J6" s="346">
        <f ca="1">ROUND(M6*M8*M7*(1-M9),0)</f>
        <v>0</v>
      </c>
      <c r="K6" s="1836" t="s">
        <v>3028</v>
      </c>
      <c r="L6" s="347" t="s">
        <v>1405</v>
      </c>
      <c r="M6" s="348">
        <f ca="1">INDIRECT("'数据-取费表'!z"&amp;$G$1)</f>
        <v>0</v>
      </c>
    </row>
    <row r="7" spans="1:37" ht="18" customHeight="1">
      <c r="A7" s="1297"/>
      <c r="B7" s="3209"/>
      <c r="C7" s="1299"/>
      <c r="D7" s="352"/>
      <c r="E7" s="1300" t="s">
        <v>1406</v>
      </c>
      <c r="F7" s="348">
        <f ca="1">IF(INDIRECT("'数据-取费表'!ah"&amp;$G$1)="",INDIRECT("'数据-取费表'!k"&amp;$G$1),INDIRECT("'数据-取费表'!ah"&amp;$G$1))</f>
        <v>0</v>
      </c>
      <c r="G7" s="1853"/>
      <c r="H7" s="349"/>
      <c r="I7" s="3209"/>
      <c r="J7" s="351"/>
      <c r="K7" s="352"/>
      <c r="L7" s="347" t="s">
        <v>1406</v>
      </c>
      <c r="M7" s="348">
        <f ca="1">F7</f>
        <v>0</v>
      </c>
    </row>
    <row r="8" spans="1:37" ht="18" customHeight="1">
      <c r="A8" s="349"/>
      <c r="B8" s="3209"/>
      <c r="C8" s="351"/>
      <c r="D8" s="352"/>
      <c r="E8" s="347" t="s">
        <v>1407</v>
      </c>
      <c r="F8" s="348">
        <f ca="1">INDIRECT("'数据-取费表'!ai"&amp;$G$1)</f>
        <v>0</v>
      </c>
      <c r="G8" s="1853"/>
      <c r="H8" s="349"/>
      <c r="I8" s="3209"/>
      <c r="J8" s="351"/>
      <c r="K8" s="352"/>
      <c r="L8" s="347" t="s">
        <v>1407</v>
      </c>
      <c r="M8" s="348">
        <f ca="1">INDIRECT("'数据-取费表'!ai"&amp;$G$1)</f>
        <v>0</v>
      </c>
    </row>
    <row r="9" spans="1:37" ht="18" customHeight="1">
      <c r="A9" s="349"/>
      <c r="B9" s="3210"/>
      <c r="C9" s="351"/>
      <c r="D9" s="352"/>
      <c r="E9" s="347" t="s">
        <v>1408</v>
      </c>
      <c r="F9" s="357">
        <f ca="1">INDIRECT("'数据-取费表'!w"&amp;$G$1)</f>
        <v>0</v>
      </c>
      <c r="G9" s="1853"/>
      <c r="H9" s="349"/>
      <c r="I9" s="3210"/>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1411</v>
      </c>
      <c r="F11" s="359">
        <f ca="1">'数据-取费表'!B39</f>
        <v>1.4999999999999999E-2</v>
      </c>
      <c r="G11" s="1853"/>
      <c r="H11" s="1301"/>
      <c r="I11" s="1827" t="s">
        <v>1602</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7" t="s">
        <v>1416</v>
      </c>
      <c r="C14" s="363">
        <f ca="1">ROUND(INDIRECT("'数据-取费表'!l"&amp;$G$1)*F43+'数据-取费表'!L14*INDIRECT("'数据-取费表'!S"&amp;$G$1),0)</f>
        <v>0</v>
      </c>
      <c r="D14" s="1802" t="s">
        <v>1417</v>
      </c>
      <c r="E14" s="1796"/>
      <c r="F14" s="364"/>
      <c r="G14" s="1853"/>
      <c r="H14" s="1203" t="s">
        <v>1035</v>
      </c>
      <c r="I14" s="347" t="s">
        <v>1418</v>
      </c>
      <c r="J14" s="24">
        <f ca="1">C29</f>
        <v>0</v>
      </c>
      <c r="K14" s="15"/>
      <c r="L14" s="982"/>
      <c r="M14" s="983"/>
    </row>
    <row r="15" spans="1:37" s="1860" customFormat="1" ht="18" customHeight="1" thickBot="1">
      <c r="A15" s="1203" t="s">
        <v>1036</v>
      </c>
      <c r="B15" s="347" t="s">
        <v>1419</v>
      </c>
      <c r="C15" s="24">
        <f ca="1">ROUND(C14*F15,0)</f>
        <v>0</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ROUND(INDIRECT("'数据-取费表'!l"&amp;$G$1)*F43*F16,0)</f>
        <v>0</v>
      </c>
      <c r="D16" s="347" t="s">
        <v>1420</v>
      </c>
      <c r="E16" s="347" t="s">
        <v>1421</v>
      </c>
      <c r="F16" s="367">
        <f ca="1">IF(INDIRECT("'数据-取费表'!c"&amp;$G$1)="住宅",'数据-取费表'!B34,0)</f>
        <v>0</v>
      </c>
      <c r="G16" s="1853"/>
      <c r="H16" s="1331" t="s">
        <v>1030</v>
      </c>
      <c r="I16" s="1332" t="s">
        <v>1423</v>
      </c>
      <c r="J16" s="355">
        <f ca="1">ROUND(J17+J22+J23+J24,0)</f>
        <v>0</v>
      </c>
      <c r="K16" s="1339" t="s">
        <v>1424</v>
      </c>
      <c r="L16" s="1340"/>
      <c r="M16" s="1296"/>
    </row>
    <row r="17" spans="1:37" s="1860" customFormat="1" ht="18" customHeight="1">
      <c r="A17" s="1203" t="s">
        <v>1390</v>
      </c>
      <c r="B17" s="347" t="s">
        <v>1425</v>
      </c>
      <c r="C17" s="24">
        <f ca="1">ROUND(F17*(F43+INDIRECT("'数据-取费表'!S"&amp;$G$1)),0)</f>
        <v>0</v>
      </c>
      <c r="D17" s="347" t="s">
        <v>1426</v>
      </c>
      <c r="E17" s="347" t="s">
        <v>1427</v>
      </c>
      <c r="F17" s="26">
        <f>'数据-取费表'!B35</f>
        <v>200</v>
      </c>
      <c r="G17" s="1856"/>
      <c r="H17" s="1203"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0</v>
      </c>
      <c r="D18" s="347" t="s">
        <v>1420</v>
      </c>
      <c r="E18" s="347" t="s">
        <v>1421</v>
      </c>
      <c r="F18" s="367">
        <f>'数据-取费表'!B36</f>
        <v>1.4999999999999999E-2</v>
      </c>
      <c r="G18" s="1856"/>
      <c r="H18" s="1203"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0</v>
      </c>
      <c r="D19" s="140" t="s">
        <v>1435</v>
      </c>
      <c r="E19" s="1820"/>
      <c r="F19" s="26"/>
      <c r="G19" s="1853"/>
      <c r="H19" s="1203"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3" t="s">
        <v>1039</v>
      </c>
      <c r="B20" s="347" t="s">
        <v>1438</v>
      </c>
      <c r="C20" s="24">
        <f ca="1">ROUND(C19*F20,0)</f>
        <v>0</v>
      </c>
      <c r="D20" s="369" t="s">
        <v>1439</v>
      </c>
      <c r="E20" s="347" t="s">
        <v>1421</v>
      </c>
      <c r="F20" s="367">
        <f>'数据-取费表'!B37</f>
        <v>0.02</v>
      </c>
      <c r="G20" s="1856"/>
      <c r="H20" s="1203" t="s">
        <v>1389</v>
      </c>
      <c r="I20" s="164" t="s">
        <v>1440</v>
      </c>
      <c r="J20" s="25">
        <f ca="1">ROUND(M20*M21,0)</f>
        <v>0</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ROUND(J14*M22,0)</f>
        <v>0</v>
      </c>
      <c r="K22" s="1800" t="s">
        <v>1449</v>
      </c>
      <c r="L22" s="347" t="s">
        <v>1421</v>
      </c>
      <c r="M22" s="374">
        <f ca="1">INDIRECT("'数据-取费表'!Ak"&amp;$G$1)</f>
        <v>0</v>
      </c>
    </row>
    <row r="23" spans="1:37" s="1860" customFormat="1" ht="18" customHeight="1">
      <c r="A23" s="1203"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7" t="s">
        <v>1460</v>
      </c>
      <c r="C25" s="24"/>
      <c r="D25" s="140" t="s">
        <v>1461</v>
      </c>
      <c r="E25" s="1820"/>
      <c r="F25" s="26"/>
      <c r="G25" s="1853"/>
      <c r="H25" s="1331" t="s">
        <v>1031</v>
      </c>
      <c r="I25" s="1346" t="s">
        <v>1462</v>
      </c>
      <c r="J25" s="355">
        <f ca="1">J5-J16</f>
        <v>0</v>
      </c>
      <c r="K25" s="1347" t="s">
        <v>1463</v>
      </c>
      <c r="L25" s="1348"/>
      <c r="M25" s="1349"/>
    </row>
    <row r="26" spans="1:37" ht="18" customHeight="1">
      <c r="A26" s="1203"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3"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0</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IF(项目基本情况!B11="自然人","——",ROUND(C5*F32/(1+'数据-取费表'!C42),0))</f>
        <v>0</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f>
        <v>0</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0</v>
      </c>
      <c r="G35" s="1853"/>
      <c r="H35" s="745"/>
      <c r="I35" s="1862"/>
      <c r="J35" s="1863"/>
      <c r="K35" s="1864"/>
      <c r="L35" s="1861"/>
      <c r="M35" s="1861"/>
    </row>
    <row r="36" spans="1:18" ht="18" customHeight="1">
      <c r="A36" s="1354"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3"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5">
        <f ca="1">C5-C30</f>
        <v>0</v>
      </c>
      <c r="D39" s="1347" t="s">
        <v>1483</v>
      </c>
      <c r="E39" s="1348"/>
      <c r="F39" s="1349"/>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5" t="s">
        <v>1401</v>
      </c>
      <c r="C48" s="1819">
        <f ca="1">C49+C53+C55</f>
        <v>0</v>
      </c>
      <c r="D48" s="1364"/>
      <c r="E48" s="1365"/>
      <c r="F48" s="1183"/>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3"/>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1546</v>
      </c>
      <c r="J53" s="1908" t="b">
        <f>IF(M47="住宅",IF(D1="——",MAX(J51,L48),IF(D1="在建（套用方法）",MAX(J51,L48-'数据-取费表'!B24),MAX(J51,L48-'数据-取费表'!B20))),IF(D1="——",MIN(J51,L48),IF(D1="在建（套用方法）",MIN(J51,L48-'数据-取费表'!B24),IF(D1="土地（套用方法）",MIN(J51,L48-'数据-取费表'!B20)))))</f>
        <v>0</v>
      </c>
      <c r="K53" s="3211" t="s">
        <v>1547</v>
      </c>
      <c r="L53" s="3212"/>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1423</v>
      </c>
      <c r="C58" s="361">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7">
        <f t="shared" ca="1" si="0"/>
        <v>0</v>
      </c>
      <c r="O66" s="1886" t="s">
        <v>1041</v>
      </c>
      <c r="P66" s="1887" t="s">
        <v>1557</v>
      </c>
      <c r="Q66" s="1888" t="e">
        <f ca="1">L60</f>
        <v>#DIV/0!</v>
      </c>
      <c r="R66" s="1888" t="s">
        <v>1580</v>
      </c>
    </row>
    <row r="67" spans="1:18" s="1844" customFormat="1" ht="16.5" thickBot="1">
      <c r="A67" s="1178" t="s">
        <v>1031</v>
      </c>
      <c r="B67" s="1188" t="s">
        <v>1462</v>
      </c>
      <c r="C67" s="361">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6" t="e">
        <f ca="1">ROUND(C67*(1-((1+F70)/(1+F68))^F69)/(F68-F70),0)</f>
        <v>#DIV/0!</v>
      </c>
      <c r="D68" s="1186" t="s">
        <v>1468</v>
      </c>
      <c r="E68" s="1171" t="s">
        <v>1469</v>
      </c>
      <c r="F68" s="357">
        <f ca="1">F40</f>
        <v>0</v>
      </c>
      <c r="O68" s="1896" t="s">
        <v>1043</v>
      </c>
      <c r="P68" s="1936" t="s">
        <v>1582</v>
      </c>
      <c r="Q68" s="1888">
        <f ca="1">ROUND(Q69-Q70*Q71,0)</f>
        <v>0</v>
      </c>
      <c r="R68" s="1888" t="s">
        <v>1051</v>
      </c>
    </row>
    <row r="69" spans="1:18" s="1844" customFormat="1" ht="13.5" thickBot="1">
      <c r="A69" s="1172"/>
      <c r="B69" s="1173"/>
      <c r="C69" s="351"/>
      <c r="D69" s="1191" t="s">
        <v>1472</v>
      </c>
      <c r="E69" s="1171" t="s">
        <v>1473</v>
      </c>
      <c r="F69" s="379">
        <f ca="1">F41</f>
        <v>0</v>
      </c>
      <c r="O69" s="1896" t="s">
        <v>1048</v>
      </c>
      <c r="P69" s="1936" t="s">
        <v>1583</v>
      </c>
      <c r="Q69" s="1888">
        <f ca="1">C39</f>
        <v>0</v>
      </c>
      <c r="R69" s="1888" t="s">
        <v>1528</v>
      </c>
    </row>
    <row r="70" spans="1:18" s="1844" customFormat="1" ht="13.5" thickBot="1">
      <c r="A70" s="1175"/>
      <c r="B70" s="1176"/>
      <c r="C70" s="355"/>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2" t="e">
        <f ca="1">ROUND(C68/F71,0)</f>
        <v>#DIV/0!</v>
      </c>
      <c r="D71" s="1194" t="s">
        <v>1487</v>
      </c>
      <c r="E71" s="1195"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19" t="s">
        <v>1077</v>
      </c>
      <c r="B2" s="3220" t="s">
        <v>1078</v>
      </c>
      <c r="C2" s="3220"/>
      <c r="D2" s="1303" t="s">
        <v>1079</v>
      </c>
      <c r="E2" s="1303" t="s">
        <v>1080</v>
      </c>
      <c r="F2" s="1303" t="s">
        <v>1081</v>
      </c>
      <c r="G2" s="1303" t="s">
        <v>1082</v>
      </c>
      <c r="H2" s="1303" t="s">
        <v>1083</v>
      </c>
      <c r="I2" s="1304" t="s">
        <v>1084</v>
      </c>
    </row>
    <row r="3" spans="1:9">
      <c r="A3" s="3219"/>
      <c r="B3" s="3220" t="s">
        <v>1085</v>
      </c>
      <c r="C3" s="3220"/>
      <c r="D3" s="1305"/>
      <c r="E3" s="1303"/>
      <c r="F3" s="1306"/>
      <c r="G3" s="1306"/>
      <c r="H3" s="1307"/>
      <c r="I3" s="1308">
        <f>ROUND(D3*E3*F3*G3*H3/10000,0)</f>
        <v>0</v>
      </c>
    </row>
    <row r="4" spans="1:9">
      <c r="A4" s="3219"/>
      <c r="B4" s="3220" t="s">
        <v>1086</v>
      </c>
      <c r="C4" s="3220"/>
      <c r="D4" s="1305"/>
      <c r="E4" s="1303"/>
      <c r="F4" s="1306"/>
      <c r="G4" s="1306"/>
      <c r="H4" s="1307"/>
      <c r="I4" s="1308">
        <f t="shared" ref="I4:I9" si="0">ROUND(D4*E4*F4*G4*H4/10000,0)</f>
        <v>0</v>
      </c>
    </row>
    <row r="5" spans="1:9">
      <c r="A5" s="3219"/>
      <c r="B5" s="3220" t="s">
        <v>1087</v>
      </c>
      <c r="C5" s="3220"/>
      <c r="D5" s="1305"/>
      <c r="E5" s="1303"/>
      <c r="F5" s="1306"/>
      <c r="G5" s="1306"/>
      <c r="H5" s="1307"/>
      <c r="I5" s="1308">
        <f t="shared" si="0"/>
        <v>0</v>
      </c>
    </row>
    <row r="6" spans="1:9">
      <c r="A6" s="3219"/>
      <c r="B6" s="3220" t="s">
        <v>1088</v>
      </c>
      <c r="C6" s="3220"/>
      <c r="D6" s="1305"/>
      <c r="E6" s="1303"/>
      <c r="F6" s="1306"/>
      <c r="G6" s="1306"/>
      <c r="H6" s="1307"/>
      <c r="I6" s="1308">
        <f t="shared" si="0"/>
        <v>0</v>
      </c>
    </row>
    <row r="7" spans="1:9">
      <c r="A7" s="3219"/>
      <c r="B7" s="3220" t="s">
        <v>1089</v>
      </c>
      <c r="C7" s="3220"/>
      <c r="D7" s="1305"/>
      <c r="E7" s="1303"/>
      <c r="F7" s="1306"/>
      <c r="G7" s="1306"/>
      <c r="H7" s="1307"/>
      <c r="I7" s="1308">
        <f t="shared" si="0"/>
        <v>0</v>
      </c>
    </row>
    <row r="8" spans="1:9">
      <c r="A8" s="3219"/>
      <c r="B8" s="3220" t="s">
        <v>1090</v>
      </c>
      <c r="C8" s="3220"/>
      <c r="D8" s="1305"/>
      <c r="E8" s="1303"/>
      <c r="F8" s="1306"/>
      <c r="G8" s="1306"/>
      <c r="H8" s="1307"/>
      <c r="I8" s="1308">
        <f t="shared" si="0"/>
        <v>0</v>
      </c>
    </row>
    <row r="9" spans="1:9">
      <c r="A9" s="3219"/>
      <c r="B9" s="3220" t="s">
        <v>1091</v>
      </c>
      <c r="C9" s="3220"/>
      <c r="D9" s="1305"/>
      <c r="E9" s="1303"/>
      <c r="F9" s="1306"/>
      <c r="G9" s="1306"/>
      <c r="H9" s="1307"/>
      <c r="I9" s="1308">
        <f t="shared" si="0"/>
        <v>0</v>
      </c>
    </row>
    <row r="10" spans="1:9">
      <c r="A10" s="3219"/>
      <c r="B10" s="3221" t="s">
        <v>1092</v>
      </c>
      <c r="C10" s="3221"/>
      <c r="D10" s="1309"/>
      <c r="E10" s="1309" t="e">
        <f>ROUND(D1*10000/D10/H9,0)</f>
        <v>#DIV/0!</v>
      </c>
      <c r="F10" s="1310"/>
      <c r="G10" s="1310"/>
      <c r="H10" s="1311"/>
      <c r="I10" s="1312">
        <f>SUM(I3:I9)</f>
        <v>0</v>
      </c>
    </row>
    <row r="11" spans="1:9" ht="14.25">
      <c r="A11" s="3219" t="s">
        <v>1093</v>
      </c>
      <c r="B11" s="3220" t="s">
        <v>1094</v>
      </c>
      <c r="C11" s="3220"/>
      <c r="D11" s="1305" t="s">
        <v>1095</v>
      </c>
      <c r="E11" s="1305" t="s">
        <v>1096</v>
      </c>
      <c r="F11" s="1306" t="s">
        <v>1097</v>
      </c>
      <c r="G11" s="1306" t="s">
        <v>1083</v>
      </c>
      <c r="H11" s="1313" t="s">
        <v>1098</v>
      </c>
      <c r="I11" s="1304" t="s">
        <v>1084</v>
      </c>
    </row>
    <row r="12" spans="1:9">
      <c r="A12" s="3219"/>
      <c r="B12" s="3220" t="s">
        <v>1099</v>
      </c>
      <c r="C12" s="3220"/>
      <c r="D12" s="1305"/>
      <c r="E12" s="1305"/>
      <c r="F12" s="1306"/>
      <c r="G12" s="1307"/>
      <c r="H12" s="1314"/>
      <c r="I12" s="1304">
        <f>ROUND(D12*E12*F12*G12/10000,0)</f>
        <v>0</v>
      </c>
    </row>
    <row r="13" spans="1:9">
      <c r="A13" s="3219"/>
      <c r="B13" s="3220" t="s">
        <v>1100</v>
      </c>
      <c r="C13" s="3220"/>
      <c r="D13" s="1305"/>
      <c r="E13" s="1305"/>
      <c r="F13" s="1306"/>
      <c r="G13" s="1307"/>
      <c r="H13" s="1314"/>
      <c r="I13" s="1304">
        <f>ROUND(D13*E13*F13*G13/10000,0)</f>
        <v>0</v>
      </c>
    </row>
    <row r="14" spans="1:9">
      <c r="A14" s="3219"/>
      <c r="B14" s="3220" t="s">
        <v>1101</v>
      </c>
      <c r="C14" s="3220"/>
      <c r="D14" s="1305"/>
      <c r="E14" s="1305"/>
      <c r="F14" s="1306"/>
      <c r="G14" s="1307"/>
      <c r="H14" s="1314"/>
      <c r="I14" s="1304">
        <f>ROUND(D14*E14*F14*G14/10000,0)</f>
        <v>0</v>
      </c>
    </row>
    <row r="15" spans="1:9">
      <c r="A15" s="3219"/>
      <c r="B15" s="3221" t="s">
        <v>1092</v>
      </c>
      <c r="C15" s="3221"/>
      <c r="D15" s="1309"/>
      <c r="E15" s="1309">
        <f>SUM(E12:E14)</f>
        <v>0</v>
      </c>
      <c r="F15" s="1310"/>
      <c r="G15" s="1307"/>
      <c r="H15" s="1314"/>
      <c r="I15" s="1315">
        <f>SUM(I12:I14)</f>
        <v>0</v>
      </c>
    </row>
    <row r="16" spans="1:9" ht="24">
      <c r="A16" s="3219" t="s">
        <v>1102</v>
      </c>
      <c r="B16" s="3220" t="s">
        <v>1103</v>
      </c>
      <c r="C16" s="3220"/>
      <c r="D16" s="1305" t="s">
        <v>1079</v>
      </c>
      <c r="E16" s="1316" t="s">
        <v>1104</v>
      </c>
      <c r="F16" s="1306" t="s">
        <v>1105</v>
      </c>
      <c r="G16" s="1307" t="s">
        <v>1083</v>
      </c>
      <c r="H16" s="1313" t="s">
        <v>1098</v>
      </c>
      <c r="I16" s="1304" t="s">
        <v>1084</v>
      </c>
    </row>
    <row r="17" spans="1:9" ht="14.25">
      <c r="A17" s="3219"/>
      <c r="B17" s="3220" t="s">
        <v>1106</v>
      </c>
      <c r="C17" s="3220"/>
      <c r="D17" s="1305"/>
      <c r="E17" s="1305"/>
      <c r="F17" s="1306"/>
      <c r="G17" s="1307"/>
      <c r="H17" s="1317"/>
      <c r="I17" s="1318">
        <f>ROUND(D17*E17*F17*G17/10000,0)</f>
        <v>0</v>
      </c>
    </row>
    <row r="18" spans="1:9" ht="14.25">
      <c r="A18" s="3219"/>
      <c r="B18" s="3220" t="s">
        <v>1107</v>
      </c>
      <c r="C18" s="3220"/>
      <c r="D18" s="1305"/>
      <c r="E18" s="1305"/>
      <c r="F18" s="1306"/>
      <c r="G18" s="1307"/>
      <c r="H18" s="1317"/>
      <c r="I18" s="1318">
        <f>ROUND(D18*E18*F18*G18/10000,0)</f>
        <v>0</v>
      </c>
    </row>
    <row r="19" spans="1:9" ht="14.25">
      <c r="A19" s="3219"/>
      <c r="B19" s="3220" t="s">
        <v>1108</v>
      </c>
      <c r="C19" s="3220"/>
      <c r="D19" s="1305"/>
      <c r="E19" s="1305"/>
      <c r="F19" s="1306"/>
      <c r="G19" s="1307"/>
      <c r="H19" s="1317"/>
      <c r="I19" s="1318">
        <f>ROUND(D19*E19*F19*G19/10000,0)</f>
        <v>0</v>
      </c>
    </row>
    <row r="20" spans="1:9">
      <c r="A20" s="3219"/>
      <c r="B20" s="3221" t="s">
        <v>1092</v>
      </c>
      <c r="C20" s="3221"/>
      <c r="D20" s="1309">
        <f>SUM(D17:D19)</f>
        <v>0</v>
      </c>
      <c r="E20" s="1309"/>
      <c r="F20" s="1310"/>
      <c r="G20" s="1307"/>
      <c r="H20" s="1314"/>
      <c r="I20" s="1315">
        <f>SUM(I17:I19)</f>
        <v>0</v>
      </c>
    </row>
    <row r="21" spans="1:9">
      <c r="A21" s="3219" t="s">
        <v>1109</v>
      </c>
      <c r="B21" s="3222"/>
      <c r="C21" s="3222"/>
      <c r="D21" s="3222"/>
      <c r="E21" s="3222"/>
      <c r="F21" s="3222"/>
      <c r="G21" s="3222"/>
      <c r="H21" s="1767">
        <v>0.1</v>
      </c>
      <c r="I21" s="1312">
        <f>ROUND(I10*H21,0)</f>
        <v>0</v>
      </c>
    </row>
    <row r="22" spans="1:9" ht="14.25">
      <c r="A22" s="3223" t="s">
        <v>1110</v>
      </c>
      <c r="B22" s="3224"/>
      <c r="C22" s="3225"/>
      <c r="D22" s="1319" t="s">
        <v>1111</v>
      </c>
      <c r="E22" s="1319" t="s">
        <v>1112</v>
      </c>
      <c r="F22" s="1320" t="s">
        <v>1113</v>
      </c>
      <c r="G22" s="1320" t="s">
        <v>1114</v>
      </c>
      <c r="H22" s="1313" t="s">
        <v>1115</v>
      </c>
      <c r="I22" s="1304" t="s">
        <v>1116</v>
      </c>
    </row>
    <row r="23" spans="1:9" ht="14.25" thickBot="1">
      <c r="A23" s="3226"/>
      <c r="B23" s="3227"/>
      <c r="C23" s="3228"/>
      <c r="D23" s="1321"/>
      <c r="E23" s="1321"/>
      <c r="F23" s="1321"/>
      <c r="G23" s="1322"/>
      <c r="H23" s="1323"/>
      <c r="I23" s="1324">
        <f>ROUND(E23*D23*F23*(1-G23)/10000,0)</f>
        <v>0</v>
      </c>
    </row>
    <row r="26" spans="1:9">
      <c r="A26" s="1325" t="s">
        <v>1117</v>
      </c>
      <c r="B26" s="1325"/>
      <c r="C26" s="1325"/>
      <c r="D26" s="1325"/>
      <c r="E26" s="3216">
        <f>C27-C30-C31-C32</f>
        <v>0</v>
      </c>
      <c r="F26" s="3216"/>
      <c r="G26" s="3216"/>
      <c r="H26" s="1739" t="s">
        <v>1340</v>
      </c>
    </row>
    <row r="27" spans="1:9">
      <c r="A27" s="1326">
        <v>1</v>
      </c>
      <c r="B27" s="1327" t="s">
        <v>1118</v>
      </c>
      <c r="C27" s="1327">
        <f>C28+C29</f>
        <v>0</v>
      </c>
      <c r="D27" s="1327"/>
      <c r="E27" s="3217"/>
      <c r="F27" s="3217"/>
      <c r="G27" s="3217"/>
    </row>
    <row r="28" spans="1:9">
      <c r="A28" s="1328" t="s">
        <v>1119</v>
      </c>
      <c r="B28" s="1327" t="s">
        <v>1120</v>
      </c>
      <c r="C28" s="1327"/>
      <c r="D28" s="1327"/>
      <c r="E28" s="3217"/>
      <c r="F28" s="3217"/>
      <c r="G28" s="321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8"/>
      <c r="F32" s="3218"/>
      <c r="G32" s="3218"/>
    </row>
    <row r="33" spans="1:7" hidden="1">
      <c r="A33" s="3213" t="s">
        <v>1129</v>
      </c>
      <c r="B33" s="3214"/>
      <c r="C33" s="3214"/>
      <c r="D33" s="3215"/>
      <c r="E33" s="3216"/>
      <c r="F33" s="3216"/>
      <c r="G33" s="3216"/>
    </row>
    <row r="34" spans="1:7" hidden="1">
      <c r="A34" s="1330">
        <v>1</v>
      </c>
      <c r="B34" s="1327" t="s">
        <v>1130</v>
      </c>
      <c r="C34" s="1327"/>
      <c r="D34" s="1327"/>
      <c r="E34" s="3217"/>
      <c r="F34" s="3217"/>
      <c r="G34" s="3217"/>
    </row>
    <row r="35" spans="1:7" hidden="1">
      <c r="A35" s="1330">
        <v>2</v>
      </c>
      <c r="B35" s="1327" t="s">
        <v>1131</v>
      </c>
      <c r="C35" s="1327"/>
      <c r="D35" s="1327"/>
      <c r="E35" s="3217"/>
      <c r="F35" s="3217"/>
      <c r="G35" s="3217"/>
    </row>
    <row r="36" spans="1:7" hidden="1">
      <c r="A36" s="1330">
        <v>3</v>
      </c>
      <c r="B36" s="1327" t="s">
        <v>1132</v>
      </c>
      <c r="C36" s="1327"/>
      <c r="D36" s="1327"/>
      <c r="E36" s="3217"/>
      <c r="F36" s="3217"/>
      <c r="G36" s="3217"/>
    </row>
    <row r="37" spans="1:7" hidden="1">
      <c r="A37" s="1330">
        <v>4</v>
      </c>
      <c r="B37" s="1327" t="s">
        <v>1133</v>
      </c>
      <c r="C37" s="1327"/>
      <c r="D37" s="1327"/>
      <c r="E37" s="3217"/>
      <c r="F37" s="3217"/>
      <c r="G37" s="3217"/>
    </row>
    <row r="38" spans="1:7" hidden="1">
      <c r="A38" s="3213" t="s">
        <v>1134</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4" t="s">
        <v>2526</v>
      </c>
      <c r="C1" s="1636" t="s">
        <v>2527</v>
      </c>
      <c r="D1" s="1623"/>
      <c r="E1" s="2585"/>
      <c r="F1" s="2586" t="s">
        <v>2528</v>
      </c>
      <c r="G1" s="1633" t="s">
        <v>2529</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2530</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2531</v>
      </c>
      <c r="D3" s="399">
        <f>IF(D1="",'数据-汇总表'!E3,SUMIF('数据-汇总表'!$C19:$C33,D1,'数据-汇总表'!$E19:$E33))</f>
        <v>6217.83</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2532</v>
      </c>
      <c r="B4" s="402"/>
      <c r="C4" s="3165" t="s">
        <v>2533</v>
      </c>
      <c r="D4" s="3191"/>
      <c r="E4" s="3192" t="s">
        <v>2534</v>
      </c>
      <c r="F4" s="3193"/>
      <c r="G4" s="3165" t="s">
        <v>2535</v>
      </c>
      <c r="H4" s="3191"/>
      <c r="I4" s="3165" t="s">
        <v>2536</v>
      </c>
      <c r="J4" s="3191"/>
      <c r="K4" s="2598" t="s">
        <v>2537</v>
      </c>
      <c r="L4" s="1132"/>
      <c r="M4" s="1133"/>
      <c r="N4" s="1133"/>
      <c r="O4" s="1133"/>
      <c r="P4" s="3194" t="s">
        <v>2538</v>
      </c>
      <c r="Q4" s="3195"/>
      <c r="R4" s="3172" t="s">
        <v>2534</v>
      </c>
      <c r="S4" s="3173"/>
      <c r="T4" s="3172" t="s">
        <v>2535</v>
      </c>
      <c r="U4" s="3173"/>
      <c r="V4" s="3184" t="s">
        <v>2536</v>
      </c>
      <c r="W4" s="3184"/>
      <c r="X4" s="1815"/>
      <c r="Y4" s="3172" t="s">
        <v>2538</v>
      </c>
      <c r="Z4" s="3173"/>
      <c r="AA4" s="3188" t="s">
        <v>2534</v>
      </c>
      <c r="AB4" s="3188" t="s">
        <v>2535</v>
      </c>
      <c r="AC4" s="3188" t="s">
        <v>2536</v>
      </c>
    </row>
    <row r="5" spans="1:29" ht="15">
      <c r="A5" s="404"/>
      <c r="B5" s="405"/>
      <c r="C5" s="3176" t="s">
        <v>2539</v>
      </c>
      <c r="D5" s="3177"/>
      <c r="E5" s="3200" t="s">
        <v>2540</v>
      </c>
      <c r="F5" s="3201"/>
      <c r="G5" s="3176" t="s">
        <v>2541</v>
      </c>
      <c r="H5" s="3177"/>
      <c r="I5" s="3176" t="s">
        <v>2542</v>
      </c>
      <c r="J5" s="3177"/>
      <c r="K5" s="2599"/>
      <c r="L5" s="1132"/>
      <c r="M5" s="1133"/>
      <c r="N5" s="1133"/>
      <c r="O5" s="1133"/>
      <c r="P5" s="3196"/>
      <c r="Q5" s="3197"/>
      <c r="R5" s="3174"/>
      <c r="S5" s="3175"/>
      <c r="T5" s="3174"/>
      <c r="U5" s="3175"/>
      <c r="V5" s="3184"/>
      <c r="W5" s="3184"/>
      <c r="X5" s="1815"/>
      <c r="Y5" s="3174"/>
      <c r="Z5" s="3175"/>
      <c r="AA5" s="3189"/>
      <c r="AB5" s="3189"/>
      <c r="AC5" s="3189"/>
    </row>
    <row r="6" spans="1:29" ht="15.75" thickBot="1">
      <c r="A6" s="406"/>
      <c r="B6" s="407"/>
      <c r="C6" s="3242" t="s">
        <v>2543</v>
      </c>
      <c r="D6" s="3243"/>
      <c r="E6" s="3244" t="s">
        <v>2543</v>
      </c>
      <c r="F6" s="3245"/>
      <c r="G6" s="3242" t="s">
        <v>2543</v>
      </c>
      <c r="H6" s="3243"/>
      <c r="I6" s="3242" t="s">
        <v>2543</v>
      </c>
      <c r="J6" s="3243"/>
      <c r="K6" s="2599" t="s">
        <v>2544</v>
      </c>
      <c r="L6" s="1132"/>
      <c r="M6" s="1133"/>
      <c r="N6" s="1133"/>
      <c r="O6" s="1133"/>
      <c r="P6" s="3198"/>
      <c r="Q6" s="3199"/>
      <c r="R6" s="3174"/>
      <c r="S6" s="3175"/>
      <c r="T6" s="3182"/>
      <c r="U6" s="3183"/>
      <c r="V6" s="3184"/>
      <c r="W6" s="3184"/>
      <c r="X6" s="1815"/>
      <c r="Y6" s="3182"/>
      <c r="Z6" s="3183"/>
      <c r="AA6" s="3190"/>
      <c r="AB6" s="3190"/>
      <c r="AC6" s="3190"/>
    </row>
    <row r="7" spans="1:29" s="117" customFormat="1" ht="15.75" thickBot="1">
      <c r="A7" s="408" t="s">
        <v>2545</v>
      </c>
      <c r="B7" s="409"/>
      <c r="C7" s="410">
        <f>'数据-取费表'!B2</f>
        <v>43297</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70" t="s">
        <v>2546</v>
      </c>
      <c r="Q7" s="3180"/>
      <c r="R7" s="770" t="s">
        <v>23</v>
      </c>
      <c r="S7" s="771">
        <f t="shared" ref="S7:S15" si="0">F7</f>
        <v>0</v>
      </c>
      <c r="T7" s="770" t="s">
        <v>23</v>
      </c>
      <c r="U7" s="771">
        <f t="shared" ref="U7:U15" si="1">H7</f>
        <v>0</v>
      </c>
      <c r="V7" s="770" t="s">
        <v>23</v>
      </c>
      <c r="W7" s="771">
        <f t="shared" ref="W7:W15" si="2">J7</f>
        <v>0</v>
      </c>
      <c r="X7" s="772"/>
      <c r="Y7" s="3170" t="s">
        <v>2546</v>
      </c>
      <c r="Z7" s="3171"/>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70" t="s">
        <v>2549</v>
      </c>
      <c r="Q8" s="3171"/>
      <c r="R8" s="770" t="s">
        <v>23</v>
      </c>
      <c r="S8" s="771">
        <f t="shared" si="0"/>
        <v>0</v>
      </c>
      <c r="T8" s="770" t="s">
        <v>23</v>
      </c>
      <c r="U8" s="771">
        <f t="shared" si="1"/>
        <v>0</v>
      </c>
      <c r="V8" s="770" t="s">
        <v>23</v>
      </c>
      <c r="W8" s="771">
        <f t="shared" si="2"/>
        <v>0</v>
      </c>
      <c r="X8" s="772"/>
      <c r="Y8" s="3170" t="s">
        <v>2549</v>
      </c>
      <c r="Z8" s="3171"/>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67" t="s">
        <v>2552</v>
      </c>
      <c r="Q9" s="1797"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7"/>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67"/>
      <c r="Q11" s="1797"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67"/>
      <c r="Q12" s="1797">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67"/>
      <c r="Q13" s="1797">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67"/>
      <c r="Q14" s="1797">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2556</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0" t="s">
        <v>2557</v>
      </c>
      <c r="Q15" s="1812" t="str">
        <f t="shared" si="6"/>
        <v>居住社区成熟度</v>
      </c>
      <c r="R15" s="774" t="s">
        <v>21</v>
      </c>
      <c r="S15" s="775">
        <f t="shared" si="0"/>
        <v>100</v>
      </c>
      <c r="T15" s="774" t="s">
        <v>21</v>
      </c>
      <c r="U15" s="775">
        <f t="shared" si="1"/>
        <v>100</v>
      </c>
      <c r="V15" s="774" t="s">
        <v>21</v>
      </c>
      <c r="W15" s="775">
        <f t="shared" si="2"/>
        <v>100</v>
      </c>
      <c r="X15" s="1815"/>
      <c r="Y15" s="3185" t="s">
        <v>2557</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41"/>
      <c r="Q16" s="1812"/>
      <c r="R16" s="774"/>
      <c r="S16" s="775"/>
      <c r="T16" s="774"/>
      <c r="U16" s="775"/>
      <c r="V16" s="774"/>
      <c r="W16" s="775"/>
      <c r="X16" s="1815"/>
      <c r="Y16" s="3186"/>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1"/>
      <c r="Q17" s="1812" t="str">
        <f>B17</f>
        <v>交通便捷度</v>
      </c>
      <c r="R17" s="774" t="s">
        <v>21</v>
      </c>
      <c r="S17" s="775">
        <f>F17</f>
        <v>100</v>
      </c>
      <c r="T17" s="774" t="s">
        <v>21</v>
      </c>
      <c r="U17" s="775">
        <f>H17</f>
        <v>100</v>
      </c>
      <c r="V17" s="774" t="s">
        <v>21</v>
      </c>
      <c r="W17" s="775">
        <f>J17</f>
        <v>100</v>
      </c>
      <c r="X17" s="1815"/>
      <c r="Y17" s="3186"/>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41"/>
      <c r="Q18" s="1812"/>
      <c r="R18" s="774"/>
      <c r="S18" s="775"/>
      <c r="T18" s="774"/>
      <c r="U18" s="775"/>
      <c r="V18" s="774"/>
      <c r="W18" s="775"/>
      <c r="X18" s="1815"/>
      <c r="Y18" s="3186"/>
      <c r="Z18" s="1816"/>
      <c r="AA18" s="1813">
        <v>1</v>
      </c>
      <c r="AB18" s="1813">
        <v>1</v>
      </c>
      <c r="AC18" s="1813">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1"/>
      <c r="Q19" s="1812" t="str">
        <f>B19</f>
        <v>公共配套设施</v>
      </c>
      <c r="R19" s="774" t="s">
        <v>21</v>
      </c>
      <c r="S19" s="775">
        <f>F19</f>
        <v>100</v>
      </c>
      <c r="T19" s="774" t="s">
        <v>21</v>
      </c>
      <c r="U19" s="775">
        <f>H19</f>
        <v>100</v>
      </c>
      <c r="V19" s="774" t="s">
        <v>21</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41"/>
      <c r="Q20" s="1812"/>
      <c r="R20" s="774"/>
      <c r="S20" s="775"/>
      <c r="T20" s="774"/>
      <c r="U20" s="775"/>
      <c r="V20" s="774"/>
      <c r="W20" s="775"/>
      <c r="X20" s="1815"/>
      <c r="Y20" s="3186"/>
      <c r="Z20" s="1816"/>
      <c r="AA20" s="1813">
        <v>1</v>
      </c>
      <c r="AB20" s="1813">
        <v>1</v>
      </c>
      <c r="AC20" s="1813">
        <v>1</v>
      </c>
    </row>
    <row r="21" spans="1:29" ht="28.5">
      <c r="A21" s="428"/>
      <c r="B21" s="1386"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1"/>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41"/>
      <c r="Q22" s="1812"/>
      <c r="R22" s="774"/>
      <c r="S22" s="775"/>
      <c r="T22" s="774"/>
      <c r="U22" s="775"/>
      <c r="V22" s="774"/>
      <c r="W22" s="775"/>
      <c r="X22" s="1815"/>
      <c r="Y22" s="3186"/>
      <c r="Z22" s="1816"/>
      <c r="AA22" s="1813">
        <v>1</v>
      </c>
      <c r="AB22" s="1813">
        <v>1</v>
      </c>
      <c r="AC22" s="1813">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1"/>
      <c r="Q23" s="1812" t="str">
        <f>B23</f>
        <v>自然及人文环境</v>
      </c>
      <c r="R23" s="774" t="s">
        <v>21</v>
      </c>
      <c r="S23" s="775">
        <f>F23</f>
        <v>100</v>
      </c>
      <c r="T23" s="774" t="s">
        <v>21</v>
      </c>
      <c r="U23" s="775">
        <f>H23</f>
        <v>100</v>
      </c>
      <c r="V23" s="774" t="s">
        <v>21</v>
      </c>
      <c r="W23" s="775">
        <f>J23</f>
        <v>100</v>
      </c>
      <c r="X23" s="1815"/>
      <c r="Y23" s="3186"/>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41"/>
      <c r="Q24" s="1812"/>
      <c r="R24" s="774"/>
      <c r="S24" s="775"/>
      <c r="T24" s="774"/>
      <c r="U24" s="775"/>
      <c r="V24" s="774"/>
      <c r="W24" s="775"/>
      <c r="X24" s="1815"/>
      <c r="Y24" s="3186"/>
      <c r="Z24" s="1816"/>
      <c r="AA24" s="1813">
        <v>1</v>
      </c>
      <c r="AB24" s="1813">
        <v>1</v>
      </c>
      <c r="AC24" s="1813">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4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6"/>
      <c r="Z25" s="1816" t="str">
        <f>Q25</f>
        <v>楼层-1</v>
      </c>
      <c r="AA25" s="1813">
        <f t="shared" ref="AA25:AA46" si="15">D25/F25</f>
        <v>1</v>
      </c>
      <c r="AB25" s="1813">
        <f t="shared" ref="AB25:AB46" si="16">D25/H25</f>
        <v>1</v>
      </c>
      <c r="AC25" s="1813">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41"/>
      <c r="Q26" s="1812" t="str">
        <f t="shared" si="11"/>
        <v>朝向</v>
      </c>
      <c r="R26" s="774" t="s">
        <v>21</v>
      </c>
      <c r="S26" s="775">
        <f t="shared" si="12"/>
        <v>100</v>
      </c>
      <c r="T26" s="774" t="s">
        <v>21</v>
      </c>
      <c r="U26" s="775">
        <f t="shared" si="13"/>
        <v>100</v>
      </c>
      <c r="V26" s="774" t="s">
        <v>21</v>
      </c>
      <c r="W26" s="775">
        <f t="shared" si="14"/>
        <v>100</v>
      </c>
      <c r="X26" s="1815"/>
      <c r="Y26" s="3186"/>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41"/>
      <c r="Q27" s="1797">
        <f t="shared" si="11"/>
        <v>111</v>
      </c>
      <c r="R27" s="770" t="s">
        <v>21</v>
      </c>
      <c r="S27" s="771">
        <f t="shared" si="12"/>
        <v>100</v>
      </c>
      <c r="T27" s="770" t="s">
        <v>21</v>
      </c>
      <c r="U27" s="771">
        <f t="shared" si="13"/>
        <v>100</v>
      </c>
      <c r="V27" s="770" t="s">
        <v>21</v>
      </c>
      <c r="W27" s="771">
        <f t="shared" si="14"/>
        <v>100</v>
      </c>
      <c r="X27" s="772"/>
      <c r="Y27" s="3186"/>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41"/>
      <c r="Q28" s="1812">
        <f t="shared" si="11"/>
        <v>111</v>
      </c>
      <c r="R28" s="774" t="s">
        <v>21</v>
      </c>
      <c r="S28" s="775">
        <f t="shared" si="12"/>
        <v>100</v>
      </c>
      <c r="T28" s="774" t="s">
        <v>21</v>
      </c>
      <c r="U28" s="775">
        <f t="shared" si="13"/>
        <v>100</v>
      </c>
      <c r="V28" s="774" t="s">
        <v>21</v>
      </c>
      <c r="W28" s="775">
        <f t="shared" si="14"/>
        <v>100</v>
      </c>
      <c r="X28" s="1815"/>
      <c r="Y28" s="3186"/>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41"/>
      <c r="Q29" s="1812">
        <f t="shared" si="11"/>
        <v>111</v>
      </c>
      <c r="R29" s="774" t="s">
        <v>21</v>
      </c>
      <c r="S29" s="775">
        <f t="shared" si="12"/>
        <v>100</v>
      </c>
      <c r="T29" s="774" t="s">
        <v>21</v>
      </c>
      <c r="U29" s="775">
        <f t="shared" si="13"/>
        <v>100</v>
      </c>
      <c r="V29" s="774" t="s">
        <v>21</v>
      </c>
      <c r="W29" s="775">
        <f t="shared" si="14"/>
        <v>100</v>
      </c>
      <c r="X29" s="1815"/>
      <c r="Y29" s="3186"/>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41"/>
      <c r="Q30" s="1812">
        <f t="shared" si="11"/>
        <v>111</v>
      </c>
      <c r="R30" s="774" t="s">
        <v>21</v>
      </c>
      <c r="S30" s="775">
        <f t="shared" si="12"/>
        <v>100</v>
      </c>
      <c r="T30" s="774" t="s">
        <v>21</v>
      </c>
      <c r="U30" s="775">
        <f t="shared" si="13"/>
        <v>100</v>
      </c>
      <c r="V30" s="774" t="s">
        <v>21</v>
      </c>
      <c r="W30" s="775">
        <f t="shared" si="14"/>
        <v>100</v>
      </c>
      <c r="X30" s="1815"/>
      <c r="Y30" s="3186"/>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41"/>
      <c r="Q31" s="1812">
        <f t="shared" si="11"/>
        <v>111</v>
      </c>
      <c r="R31" s="774" t="s">
        <v>21</v>
      </c>
      <c r="S31" s="775">
        <f t="shared" si="12"/>
        <v>100</v>
      </c>
      <c r="T31" s="774" t="s">
        <v>21</v>
      </c>
      <c r="U31" s="775">
        <f t="shared" si="13"/>
        <v>100</v>
      </c>
      <c r="V31" s="774" t="s">
        <v>21</v>
      </c>
      <c r="W31" s="775">
        <f t="shared" si="14"/>
        <v>100</v>
      </c>
      <c r="X31" s="1815"/>
      <c r="Y31" s="3186"/>
      <c r="Z31" s="1816">
        <f t="shared" si="18"/>
        <v>111</v>
      </c>
      <c r="AA31" s="1813">
        <f t="shared" si="15"/>
        <v>1</v>
      </c>
      <c r="AB31" s="1813">
        <f t="shared" si="16"/>
        <v>1</v>
      </c>
      <c r="AC31" s="1813">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36" t="s">
        <v>2562</v>
      </c>
      <c r="Q32" s="1812" t="str">
        <f t="shared" si="11"/>
        <v>建筑类型</v>
      </c>
      <c r="R32" s="774" t="s">
        <v>21</v>
      </c>
      <c r="S32" s="775">
        <f t="shared" si="12"/>
        <v>100</v>
      </c>
      <c r="T32" s="774" t="s">
        <v>21</v>
      </c>
      <c r="U32" s="775">
        <f t="shared" si="13"/>
        <v>100</v>
      </c>
      <c r="V32" s="774" t="s">
        <v>21</v>
      </c>
      <c r="W32" s="775">
        <f t="shared" si="14"/>
        <v>100</v>
      </c>
      <c r="X32" s="1815"/>
      <c r="Y32" s="3187" t="s">
        <v>2562</v>
      </c>
      <c r="Z32" s="1816" t="str">
        <f t="shared" si="18"/>
        <v>建筑类型</v>
      </c>
      <c r="AA32" s="1813">
        <f t="shared" si="15"/>
        <v>1</v>
      </c>
      <c r="AB32" s="1813">
        <f t="shared" si="16"/>
        <v>1</v>
      </c>
      <c r="AC32" s="181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37"/>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13" t="e">
        <f t="shared" si="15"/>
        <v>#N/A</v>
      </c>
      <c r="AB33" s="1813" t="e">
        <f t="shared" si="16"/>
        <v>#N/A</v>
      </c>
      <c r="AC33" s="1813"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37"/>
      <c r="Q34" s="1812" t="str">
        <f t="shared" si="11"/>
        <v>建筑结构</v>
      </c>
      <c r="R34" s="774" t="s">
        <v>21</v>
      </c>
      <c r="S34" s="775">
        <f t="shared" si="12"/>
        <v>100</v>
      </c>
      <c r="T34" s="774" t="s">
        <v>21</v>
      </c>
      <c r="U34" s="775">
        <f t="shared" si="13"/>
        <v>100</v>
      </c>
      <c r="V34" s="774" t="s">
        <v>21</v>
      </c>
      <c r="W34" s="775">
        <f t="shared" si="14"/>
        <v>100</v>
      </c>
      <c r="X34" s="1815"/>
      <c r="Y34" s="3187"/>
      <c r="Z34" s="1816" t="str">
        <f t="shared" si="18"/>
        <v>建筑结构</v>
      </c>
      <c r="AA34" s="1813">
        <f t="shared" si="15"/>
        <v>1</v>
      </c>
      <c r="AB34" s="1813">
        <f t="shared" si="16"/>
        <v>1</v>
      </c>
      <c r="AC34" s="1813">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37"/>
      <c r="Q35" s="1812" t="str">
        <f t="shared" si="11"/>
        <v>建筑品质</v>
      </c>
      <c r="R35" s="774" t="s">
        <v>21</v>
      </c>
      <c r="S35" s="775">
        <f t="shared" si="12"/>
        <v>100</v>
      </c>
      <c r="T35" s="774" t="s">
        <v>21</v>
      </c>
      <c r="U35" s="775">
        <f t="shared" si="13"/>
        <v>100</v>
      </c>
      <c r="V35" s="774" t="s">
        <v>21</v>
      </c>
      <c r="W35" s="775">
        <f t="shared" si="14"/>
        <v>100</v>
      </c>
      <c r="X35" s="1815"/>
      <c r="Y35" s="3187"/>
      <c r="Z35" s="1816" t="str">
        <f t="shared" si="18"/>
        <v>建筑品质</v>
      </c>
      <c r="AA35" s="1813">
        <f t="shared" si="15"/>
        <v>1</v>
      </c>
      <c r="AB35" s="1813">
        <f t="shared" si="16"/>
        <v>1</v>
      </c>
      <c r="AC35" s="1813">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37"/>
      <c r="Q36" s="1812" t="str">
        <f t="shared" si="11"/>
        <v>公共部分装修</v>
      </c>
      <c r="R36" s="774" t="s">
        <v>21</v>
      </c>
      <c r="S36" s="775">
        <f t="shared" si="12"/>
        <v>100</v>
      </c>
      <c r="T36" s="774" t="s">
        <v>21</v>
      </c>
      <c r="U36" s="775">
        <f t="shared" si="13"/>
        <v>100</v>
      </c>
      <c r="V36" s="774" t="s">
        <v>21</v>
      </c>
      <c r="W36" s="775">
        <f t="shared" si="14"/>
        <v>100</v>
      </c>
      <c r="X36" s="1815"/>
      <c r="Y36" s="3187"/>
      <c r="Z36" s="1816" t="str">
        <f t="shared" si="18"/>
        <v>公共部分装修</v>
      </c>
      <c r="AA36" s="1813">
        <f t="shared" si="15"/>
        <v>1</v>
      </c>
      <c r="AB36" s="1813">
        <f t="shared" si="16"/>
        <v>1</v>
      </c>
      <c r="AC36" s="181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7"/>
      <c r="Q37" s="1797"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37" t="s">
        <v>2562</v>
      </c>
      <c r="Q38" s="1812" t="str">
        <f t="shared" si="11"/>
        <v>物业管理</v>
      </c>
      <c r="R38" s="774" t="s">
        <v>21</v>
      </c>
      <c r="S38" s="775">
        <f t="shared" si="12"/>
        <v>100</v>
      </c>
      <c r="T38" s="774" t="s">
        <v>21</v>
      </c>
      <c r="U38" s="775">
        <f t="shared" si="13"/>
        <v>100</v>
      </c>
      <c r="V38" s="774" t="s">
        <v>21</v>
      </c>
      <c r="W38" s="775">
        <f t="shared" si="14"/>
        <v>100</v>
      </c>
      <c r="X38" s="1815"/>
      <c r="Y38" s="3187" t="s">
        <v>2562</v>
      </c>
      <c r="Z38" s="1816" t="str">
        <f t="shared" si="18"/>
        <v>物业管理</v>
      </c>
      <c r="AA38" s="1813">
        <f t="shared" si="15"/>
        <v>1</v>
      </c>
      <c r="AB38" s="1813">
        <f t="shared" si="16"/>
        <v>1</v>
      </c>
      <c r="AC38" s="1813">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37"/>
      <c r="Q39" s="1812" t="str">
        <f t="shared" si="11"/>
        <v>市政基础设施</v>
      </c>
      <c r="R39" s="774" t="s">
        <v>21</v>
      </c>
      <c r="S39" s="775">
        <f t="shared" si="12"/>
        <v>100</v>
      </c>
      <c r="T39" s="774" t="s">
        <v>21</v>
      </c>
      <c r="U39" s="775">
        <f t="shared" si="13"/>
        <v>100</v>
      </c>
      <c r="V39" s="774" t="s">
        <v>21</v>
      </c>
      <c r="W39" s="775">
        <f t="shared" si="14"/>
        <v>100</v>
      </c>
      <c r="X39" s="1815"/>
      <c r="Y39" s="3187"/>
      <c r="Z39" s="1816" t="str">
        <f t="shared" si="18"/>
        <v>市政基础设施</v>
      </c>
      <c r="AA39" s="1813">
        <f t="shared" si="15"/>
        <v>1</v>
      </c>
      <c r="AB39" s="1813">
        <f t="shared" si="16"/>
        <v>1</v>
      </c>
      <c r="AC39" s="1813">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37"/>
      <c r="Q40" s="1812" t="str">
        <f t="shared" si="11"/>
        <v>房型</v>
      </c>
      <c r="R40" s="774" t="s">
        <v>21</v>
      </c>
      <c r="S40" s="775">
        <f t="shared" si="12"/>
        <v>100</v>
      </c>
      <c r="T40" s="774" t="s">
        <v>21</v>
      </c>
      <c r="U40" s="775">
        <f t="shared" si="13"/>
        <v>100</v>
      </c>
      <c r="V40" s="774" t="s">
        <v>21</v>
      </c>
      <c r="W40" s="775">
        <f t="shared" si="14"/>
        <v>100</v>
      </c>
      <c r="X40" s="1815"/>
      <c r="Y40" s="3187"/>
      <c r="Z40" s="1816" t="str">
        <f t="shared" si="18"/>
        <v>房型</v>
      </c>
      <c r="AA40" s="1813">
        <f t="shared" si="15"/>
        <v>1</v>
      </c>
      <c r="AB40" s="1813">
        <f t="shared" si="16"/>
        <v>1</v>
      </c>
      <c r="AC40" s="181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37"/>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3">
        <f t="shared" si="15"/>
        <v>1</v>
      </c>
      <c r="AB41" s="1813">
        <f t="shared" si="16"/>
        <v>1</v>
      </c>
      <c r="AC41" s="1813">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37"/>
      <c r="Q42" s="1812" t="str">
        <f t="shared" si="11"/>
        <v>内部装修</v>
      </c>
      <c r="R42" s="774" t="s">
        <v>21</v>
      </c>
      <c r="S42" s="775">
        <f t="shared" si="12"/>
        <v>100</v>
      </c>
      <c r="T42" s="774" t="s">
        <v>21</v>
      </c>
      <c r="U42" s="775">
        <f t="shared" si="13"/>
        <v>100</v>
      </c>
      <c r="V42" s="774" t="s">
        <v>21</v>
      </c>
      <c r="W42" s="775">
        <f t="shared" si="14"/>
        <v>100</v>
      </c>
      <c r="X42" s="1815"/>
      <c r="Y42" s="3187"/>
      <c r="Z42" s="1816" t="str">
        <f t="shared" si="18"/>
        <v>内部装修</v>
      </c>
      <c r="AA42" s="1813">
        <f t="shared" si="15"/>
        <v>1</v>
      </c>
      <c r="AB42" s="1813">
        <f t="shared" si="16"/>
        <v>1</v>
      </c>
      <c r="AC42" s="1813">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37"/>
      <c r="Q43" s="1812" t="str">
        <f t="shared" si="11"/>
        <v>内部装修维护情况</v>
      </c>
      <c r="R43" s="774" t="s">
        <v>21</v>
      </c>
      <c r="S43" s="775">
        <f t="shared" si="12"/>
        <v>100</v>
      </c>
      <c r="T43" s="774" t="s">
        <v>21</v>
      </c>
      <c r="U43" s="775">
        <f t="shared" si="13"/>
        <v>100</v>
      </c>
      <c r="V43" s="774" t="s">
        <v>21</v>
      </c>
      <c r="W43" s="775">
        <f t="shared" si="14"/>
        <v>100</v>
      </c>
      <c r="X43" s="1815"/>
      <c r="Y43" s="318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37"/>
      <c r="Q44" s="1797">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37"/>
      <c r="Q45" s="1812">
        <f t="shared" si="11"/>
        <v>111</v>
      </c>
      <c r="R45" s="774" t="s">
        <v>21</v>
      </c>
      <c r="S45" s="775">
        <f t="shared" si="12"/>
        <v>100</v>
      </c>
      <c r="T45" s="774" t="s">
        <v>21</v>
      </c>
      <c r="U45" s="775">
        <f t="shared" si="13"/>
        <v>100</v>
      </c>
      <c r="V45" s="774" t="s">
        <v>21</v>
      </c>
      <c r="W45" s="775">
        <f t="shared" si="14"/>
        <v>100</v>
      </c>
      <c r="X45" s="1815"/>
      <c r="Y45" s="3187"/>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38"/>
      <c r="Q46" s="1812">
        <f t="shared" si="11"/>
        <v>111</v>
      </c>
      <c r="R46" s="774" t="s">
        <v>20</v>
      </c>
      <c r="S46" s="775">
        <f t="shared" si="12"/>
        <v>100</v>
      </c>
      <c r="T46" s="774" t="s">
        <v>20</v>
      </c>
      <c r="U46" s="775">
        <f t="shared" si="13"/>
        <v>100</v>
      </c>
      <c r="V46" s="774" t="s">
        <v>20</v>
      </c>
      <c r="W46" s="775">
        <f t="shared" si="14"/>
        <v>100</v>
      </c>
      <c r="X46" s="1815"/>
      <c r="Y46" s="3239"/>
      <c r="Z46" s="1816">
        <f t="shared" si="18"/>
        <v>111</v>
      </c>
      <c r="AA46" s="1813">
        <f t="shared" si="15"/>
        <v>1</v>
      </c>
      <c r="AB46" s="1813">
        <f t="shared" si="16"/>
        <v>1</v>
      </c>
      <c r="AC46" s="1813">
        <f t="shared" si="17"/>
        <v>1</v>
      </c>
    </row>
    <row r="47" spans="1:29" ht="15">
      <c r="A47" s="479" t="s">
        <v>2574</v>
      </c>
      <c r="B47" s="480"/>
      <c r="C47" s="1409" t="s">
        <v>19</v>
      </c>
      <c r="D47" s="1410"/>
      <c r="E47" s="1411"/>
      <c r="F47" s="1412"/>
      <c r="G47" s="1413"/>
      <c r="H47" s="1414"/>
      <c r="I47" s="1411"/>
      <c r="J47" s="1414"/>
      <c r="K47" s="2623"/>
      <c r="L47" s="1145"/>
      <c r="M47" s="1146"/>
      <c r="N47" s="1133"/>
      <c r="O47" s="1146"/>
      <c r="P47" s="3168" t="str">
        <f>A47</f>
        <v>成交单价（元/平方米）</v>
      </c>
      <c r="Q47" s="3168"/>
      <c r="R47" s="3235">
        <f>E47</f>
        <v>0</v>
      </c>
      <c r="S47" s="3235"/>
      <c r="T47" s="3235">
        <f>G47</f>
        <v>0</v>
      </c>
      <c r="U47" s="3235"/>
      <c r="V47" s="3235">
        <f>I47</f>
        <v>0</v>
      </c>
      <c r="W47" s="3235"/>
      <c r="X47" s="759"/>
      <c r="Y47" s="781"/>
      <c r="Z47" s="759"/>
      <c r="AA47" s="759"/>
      <c r="AB47" s="759"/>
      <c r="AC47" s="759"/>
    </row>
    <row r="48" spans="1:29" ht="15.75" thickBot="1">
      <c r="A48" s="486" t="s">
        <v>2575</v>
      </c>
      <c r="B48" s="487"/>
      <c r="C48" s="1415" t="e">
        <f>R49</f>
        <v>#DIV/0!</v>
      </c>
      <c r="D48" s="1416"/>
      <c r="E48" s="1417" t="e">
        <f>R48</f>
        <v>#DIV/0!</v>
      </c>
      <c r="F48" s="1417"/>
      <c r="G48" s="1415" t="e">
        <f>T48</f>
        <v>#DIV/0!</v>
      </c>
      <c r="H48" s="1416"/>
      <c r="I48" s="1417" t="e">
        <f>V48</f>
        <v>#DIV/0!</v>
      </c>
      <c r="J48" s="1416"/>
      <c r="K48" s="2624"/>
      <c r="L48" s="1145"/>
      <c r="M48" s="1146"/>
      <c r="N48" s="1146"/>
      <c r="O48" s="1146"/>
      <c r="P48" s="3168" t="str">
        <f>A48</f>
        <v>比较价值（元/平方米）</v>
      </c>
      <c r="Q48" s="3168"/>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2576</v>
      </c>
      <c r="B49" s="493"/>
      <c r="C49" s="1418" t="e">
        <f>R49</f>
        <v>#DIV/0!</v>
      </c>
      <c r="D49" s="1419"/>
      <c r="E49" s="1419"/>
      <c r="F49" s="1419"/>
      <c r="G49" s="1419"/>
      <c r="H49" s="1419"/>
      <c r="I49" s="1419"/>
      <c r="J49" s="1419"/>
      <c r="K49" s="2625"/>
      <c r="L49" s="1145"/>
      <c r="M49" s="1146"/>
      <c r="N49" s="1146"/>
      <c r="O49" s="1146"/>
      <c r="P49" s="3203" t="str">
        <f>A49</f>
        <v>估价对象XX用房的比较价值（楼面单价，元/平方米）</v>
      </c>
      <c r="Q49" s="3204"/>
      <c r="R49" s="3234" t="e">
        <f>IF(F1="售价",ROUND(AVERAGE(R48:V48),0),ROUND(AVERAGE(R48:V48),1))</f>
        <v>#DIV/0!</v>
      </c>
      <c r="S49" s="3234"/>
      <c r="T49" s="3234"/>
      <c r="U49" s="3234"/>
      <c r="V49" s="3234"/>
      <c r="W49" s="323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2580</v>
      </c>
      <c r="B57" s="759"/>
      <c r="C57" s="764"/>
      <c r="D57" s="764"/>
      <c r="E57" s="764"/>
      <c r="F57" s="765"/>
      <c r="G57" s="765"/>
      <c r="H57" s="764"/>
      <c r="I57" s="764"/>
      <c r="J57" s="764"/>
      <c r="K57" s="1162"/>
      <c r="L57" s="1163"/>
      <c r="M57" s="1161"/>
      <c r="N57" s="1161"/>
      <c r="O57" s="1161"/>
      <c r="P57" s="2628"/>
      <c r="Q57" s="504"/>
    </row>
    <row r="58" spans="1:29" s="508" customFormat="1" ht="15">
      <c r="A58" s="505" t="s">
        <v>2581</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2585</v>
      </c>
      <c r="B63" s="528" t="s">
        <v>2551</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2096</v>
      </c>
      <c r="C82" s="539" t="s">
        <v>2601</v>
      </c>
      <c r="D82" s="539" t="s">
        <v>2602</v>
      </c>
      <c r="E82" s="539" t="s">
        <v>2603</v>
      </c>
      <c r="F82" s="539" t="s">
        <v>2604</v>
      </c>
      <c r="G82" s="539" t="s">
        <v>2605</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2607</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2608</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2560</v>
      </c>
      <c r="B100" s="528" t="s">
        <v>2609</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2611</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2612</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2613</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2614</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2615</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2616</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2617</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6">
        <v>6</v>
      </c>
      <c r="C139" s="1087">
        <v>96</v>
      </c>
      <c r="D139" s="2650" t="s">
        <v>2628</v>
      </c>
      <c r="E139" s="1088">
        <v>100</v>
      </c>
      <c r="F139" s="1089">
        <v>102.5</v>
      </c>
      <c r="G139" s="2650" t="s">
        <v>2628</v>
      </c>
      <c r="H139" s="1090">
        <v>105</v>
      </c>
      <c r="I139" s="2651" t="s">
        <v>2629</v>
      </c>
      <c r="J139" s="1087">
        <v>20</v>
      </c>
      <c r="K139" s="1091">
        <f>C145/(J139-2)</f>
        <v>4.0555555555555553E-3</v>
      </c>
    </row>
    <row r="140" spans="1:17" ht="15">
      <c r="B140" s="1092">
        <v>5</v>
      </c>
      <c r="C140" s="1093">
        <v>100</v>
      </c>
      <c r="D140" s="1093"/>
      <c r="E140" s="1094"/>
      <c r="F140" s="1095">
        <v>102</v>
      </c>
      <c r="G140" s="1093"/>
      <c r="H140" s="1096"/>
      <c r="I140" s="2652" t="s">
        <v>2630</v>
      </c>
      <c r="J140" s="315">
        <f>ROUNDUP((J139-1)/2,0)</f>
        <v>10</v>
      </c>
      <c r="K140" s="1097">
        <v>100</v>
      </c>
    </row>
    <row r="141" spans="1:17" ht="15">
      <c r="B141" s="1092">
        <v>4</v>
      </c>
      <c r="C141" s="1093">
        <v>102</v>
      </c>
      <c r="D141" s="1093"/>
      <c r="E141" s="1094"/>
      <c r="F141" s="1095">
        <v>101.5</v>
      </c>
      <c r="G141" s="1093"/>
      <c r="H141" s="1096"/>
      <c r="I141" s="2652" t="s">
        <v>2631</v>
      </c>
      <c r="J141" s="315">
        <v>1</v>
      </c>
      <c r="K141" s="1098">
        <f>ROUND(100+(J141-J140)*K139*100,1)</f>
        <v>96.4</v>
      </c>
    </row>
    <row r="142" spans="1:17" ht="15">
      <c r="B142" s="1092">
        <v>3</v>
      </c>
      <c r="C142" s="1093">
        <v>103</v>
      </c>
      <c r="D142" s="1093"/>
      <c r="E142" s="1094"/>
      <c r="F142" s="1095">
        <v>101</v>
      </c>
      <c r="G142" s="1093"/>
      <c r="H142" s="1096"/>
      <c r="I142" s="2652" t="s">
        <v>2632</v>
      </c>
      <c r="J142" s="315">
        <f>J139</f>
        <v>20</v>
      </c>
      <c r="K142" s="1099">
        <v>95</v>
      </c>
    </row>
    <row r="143" spans="1:17" ht="15">
      <c r="B143" s="1092">
        <v>2</v>
      </c>
      <c r="C143" s="1093">
        <v>100</v>
      </c>
      <c r="D143" s="1093"/>
      <c r="E143" s="1094"/>
      <c r="F143" s="1095">
        <v>100.5</v>
      </c>
      <c r="G143" s="1093"/>
      <c r="H143" s="1096"/>
      <c r="I143" s="2652" t="s">
        <v>2633</v>
      </c>
      <c r="J143" s="1093">
        <v>15</v>
      </c>
      <c r="K143" s="1098">
        <f>ROUND(100+(J143-J140)*K139*100,1)</f>
        <v>102</v>
      </c>
    </row>
    <row r="144" spans="1:17" ht="15">
      <c r="B144" s="1092">
        <v>1</v>
      </c>
      <c r="C144" s="1093">
        <v>98</v>
      </c>
      <c r="D144" s="2653" t="s">
        <v>2634</v>
      </c>
      <c r="E144" s="1094">
        <v>102</v>
      </c>
      <c r="F144" s="1100">
        <v>100</v>
      </c>
      <c r="G144" s="2653" t="s">
        <v>2634</v>
      </c>
      <c r="H144" s="1096">
        <v>105</v>
      </c>
      <c r="I144" s="2652" t="s">
        <v>2633</v>
      </c>
      <c r="J144" s="1093">
        <v>18</v>
      </c>
      <c r="K144" s="1098">
        <f>ROUND(100+(J144-J140)*K139*100,1)</f>
        <v>103.2</v>
      </c>
    </row>
    <row r="145" spans="2:11" ht="15.75" thickBot="1">
      <c r="B145" s="2654" t="s">
        <v>2635</v>
      </c>
      <c r="C145" s="1101">
        <f>ROUND(MAX(C139:C144)/MIN(C139:C144)-1,3)</f>
        <v>7.2999999999999995E-2</v>
      </c>
      <c r="D145" s="1102"/>
      <c r="E145" s="1102"/>
      <c r="F145" s="2655" t="s">
        <v>2636</v>
      </c>
      <c r="G145" s="2656"/>
      <c r="H145" s="2657"/>
      <c r="I145" s="2658" t="s">
        <v>2633</v>
      </c>
      <c r="J145" s="1103">
        <v>8</v>
      </c>
      <c r="K145" s="1104">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4" t="s">
        <v>2639</v>
      </c>
      <c r="C1" s="1636" t="s">
        <v>2527</v>
      </c>
      <c r="D1" s="1623"/>
      <c r="E1" s="2659"/>
      <c r="F1" s="2586"/>
      <c r="G1" s="1633" t="s">
        <v>2640</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2324</v>
      </c>
      <c r="B2" s="1420" t="e">
        <f ca="1">IF(C2="——",ROUND(C49*D3/10000,0),ROUND(C49*D3/10000,0)-D2)</f>
        <v>#DIV/0!</v>
      </c>
      <c r="C2" s="2588"/>
      <c r="D2" s="1367" t="e">
        <f ca="1">SUMIF(INDIRECT("'"&amp;F2&amp;"'"&amp;"!A:A"),"承租人权益价值",INDIRECT("'"&amp;F2&amp;"'"&amp;"!c:c"))</f>
        <v>#REF!</v>
      </c>
      <c r="E2" s="2589" t="s">
        <v>2325</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2326</v>
      </c>
      <c r="B3" s="609" t="e">
        <f ca="1">IF(C2="——",C49,ROUND(B2*10000/D3,0))</f>
        <v>#DIV/0!</v>
      </c>
      <c r="C3" s="400" t="s">
        <v>2641</v>
      </c>
      <c r="D3" s="399">
        <f>IF(D1="",'数据-汇总表'!E3,SUMIF('数据-汇总表'!$C19:$C33,D1,'数据-汇总表'!$E19:$E33))</f>
        <v>6217.83</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2642</v>
      </c>
      <c r="B4" s="402"/>
      <c r="C4" s="3165" t="s">
        <v>2643</v>
      </c>
      <c r="D4" s="3191"/>
      <c r="E4" s="3192" t="s">
        <v>2644</v>
      </c>
      <c r="F4" s="3193"/>
      <c r="G4" s="3165" t="s">
        <v>2645</v>
      </c>
      <c r="H4" s="3191"/>
      <c r="I4" s="3165" t="s">
        <v>2646</v>
      </c>
      <c r="J4" s="3191"/>
      <c r="K4" s="610" t="s">
        <v>2647</v>
      </c>
      <c r="L4" s="1132"/>
      <c r="M4" s="1133"/>
      <c r="N4" s="1133"/>
      <c r="O4" s="1133"/>
      <c r="P4" s="3194" t="s">
        <v>2648</v>
      </c>
      <c r="Q4" s="3195"/>
      <c r="R4" s="3172" t="s">
        <v>2644</v>
      </c>
      <c r="S4" s="3173"/>
      <c r="T4" s="3172" t="s">
        <v>2645</v>
      </c>
      <c r="U4" s="3173"/>
      <c r="V4" s="3184" t="s">
        <v>2646</v>
      </c>
      <c r="W4" s="3184"/>
      <c r="X4" s="1815"/>
      <c r="Y4" s="3172" t="s">
        <v>2648</v>
      </c>
      <c r="Z4" s="3173"/>
      <c r="AA4" s="3188" t="s">
        <v>2644</v>
      </c>
      <c r="AB4" s="3184" t="s">
        <v>2645</v>
      </c>
      <c r="AC4" s="3188" t="s">
        <v>2646</v>
      </c>
    </row>
    <row r="5" spans="1:29" ht="15">
      <c r="A5" s="404"/>
      <c r="B5" s="405"/>
      <c r="C5" s="3176" t="s">
        <v>2539</v>
      </c>
      <c r="D5" s="3177"/>
      <c r="E5" s="3200" t="s">
        <v>2540</v>
      </c>
      <c r="F5" s="3201"/>
      <c r="G5" s="3176" t="s">
        <v>2541</v>
      </c>
      <c r="H5" s="3177"/>
      <c r="I5" s="3176" t="s">
        <v>2542</v>
      </c>
      <c r="J5" s="3177"/>
      <c r="K5" s="610"/>
      <c r="L5" s="1132"/>
      <c r="M5" s="1133"/>
      <c r="N5" s="1133"/>
      <c r="O5" s="1133"/>
      <c r="P5" s="3196"/>
      <c r="Q5" s="3197"/>
      <c r="R5" s="3174"/>
      <c r="S5" s="3175"/>
      <c r="T5" s="3174"/>
      <c r="U5" s="3175"/>
      <c r="V5" s="3184"/>
      <c r="W5" s="3184"/>
      <c r="X5" s="1815"/>
      <c r="Y5" s="3174"/>
      <c r="Z5" s="3175"/>
      <c r="AA5" s="3189"/>
      <c r="AB5" s="3184"/>
      <c r="AC5" s="3189"/>
    </row>
    <row r="6" spans="1:29" ht="15.75" thickBot="1">
      <c r="A6" s="406"/>
      <c r="B6" s="407"/>
      <c r="C6" s="3242" t="s">
        <v>2543</v>
      </c>
      <c r="D6" s="3243"/>
      <c r="E6" s="3244" t="s">
        <v>2543</v>
      </c>
      <c r="F6" s="3245"/>
      <c r="G6" s="3242" t="s">
        <v>2543</v>
      </c>
      <c r="H6" s="3243"/>
      <c r="I6" s="3242" t="s">
        <v>2543</v>
      </c>
      <c r="J6" s="3243"/>
      <c r="K6" s="610" t="s">
        <v>2544</v>
      </c>
      <c r="L6" s="1132"/>
      <c r="M6" s="1133"/>
      <c r="N6" s="1133"/>
      <c r="O6" s="1133"/>
      <c r="P6" s="3198"/>
      <c r="Q6" s="3199"/>
      <c r="R6" s="3174"/>
      <c r="S6" s="3175"/>
      <c r="T6" s="3182"/>
      <c r="U6" s="3183"/>
      <c r="V6" s="3184"/>
      <c r="W6" s="3184"/>
      <c r="X6" s="1815"/>
      <c r="Y6" s="3182"/>
      <c r="Z6" s="3183"/>
      <c r="AA6" s="3190"/>
      <c r="AB6" s="3184"/>
      <c r="AC6" s="3190"/>
    </row>
    <row r="7" spans="1:29" s="117" customFormat="1" ht="15.75" thickBot="1">
      <c r="A7" s="408" t="s">
        <v>2545</v>
      </c>
      <c r="B7" s="409"/>
      <c r="C7" s="410">
        <f>'数据-取费表'!B2</f>
        <v>43297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70" t="s">
        <v>2546</v>
      </c>
      <c r="Q7" s="3180"/>
      <c r="R7" s="770" t="s">
        <v>17</v>
      </c>
      <c r="S7" s="771">
        <f t="shared" ref="S7:S15" si="0">F7</f>
        <v>0</v>
      </c>
      <c r="T7" s="770" t="s">
        <v>17</v>
      </c>
      <c r="U7" s="771">
        <f t="shared" ref="U7:U15" si="1">H7</f>
        <v>0</v>
      </c>
      <c r="V7" s="770" t="s">
        <v>17</v>
      </c>
      <c r="W7" s="771">
        <f t="shared" ref="W7:W15" si="2">J7</f>
        <v>0</v>
      </c>
      <c r="X7" s="772"/>
      <c r="Y7" s="3170" t="s">
        <v>2546</v>
      </c>
      <c r="Z7" s="3171"/>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70" t="s">
        <v>2549</v>
      </c>
      <c r="Q8" s="3171"/>
      <c r="R8" s="770" t="s">
        <v>17</v>
      </c>
      <c r="S8" s="771">
        <f t="shared" si="0"/>
        <v>0</v>
      </c>
      <c r="T8" s="770" t="s">
        <v>17</v>
      </c>
      <c r="U8" s="771">
        <f t="shared" si="1"/>
        <v>0</v>
      </c>
      <c r="V8" s="770" t="s">
        <v>17</v>
      </c>
      <c r="W8" s="771">
        <f t="shared" si="2"/>
        <v>0</v>
      </c>
      <c r="X8" s="772"/>
      <c r="Y8" s="3170" t="s">
        <v>2549</v>
      </c>
      <c r="Z8" s="3171"/>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67" t="s">
        <v>2552</v>
      </c>
      <c r="Q9" s="1797"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67"/>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67"/>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7"/>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7"/>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7"/>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0" t="s">
        <v>2557</v>
      </c>
      <c r="Q15" s="1812" t="str">
        <f t="shared" si="6"/>
        <v>商业繁华度</v>
      </c>
      <c r="R15" s="774" t="s">
        <v>17</v>
      </c>
      <c r="S15" s="775">
        <f t="shared" si="0"/>
        <v>100</v>
      </c>
      <c r="T15" s="774" t="s">
        <v>17</v>
      </c>
      <c r="U15" s="775">
        <f t="shared" si="1"/>
        <v>100</v>
      </c>
      <c r="V15" s="774" t="s">
        <v>17</v>
      </c>
      <c r="W15" s="775">
        <f t="shared" si="2"/>
        <v>100</v>
      </c>
      <c r="X15" s="1815"/>
      <c r="Y15" s="3185" t="s">
        <v>2557</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41"/>
      <c r="Q16" s="1812"/>
      <c r="R16" s="774"/>
      <c r="S16" s="775"/>
      <c r="T16" s="774"/>
      <c r="U16" s="775"/>
      <c r="V16" s="774"/>
      <c r="W16" s="775"/>
      <c r="X16" s="1815"/>
      <c r="Y16" s="3186"/>
      <c r="Z16" s="1816"/>
      <c r="AA16" s="1813">
        <v>1</v>
      </c>
      <c r="AB16" s="1813">
        <v>1</v>
      </c>
      <c r="AC16" s="1813">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1"/>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41"/>
      <c r="Q18" s="1812"/>
      <c r="R18" s="774"/>
      <c r="S18" s="775"/>
      <c r="T18" s="774"/>
      <c r="U18" s="775"/>
      <c r="V18" s="774"/>
      <c r="W18" s="775"/>
      <c r="X18" s="1815"/>
      <c r="Y18" s="3186"/>
      <c r="Z18" s="1816"/>
      <c r="AA18" s="1813">
        <v>1</v>
      </c>
      <c r="AB18" s="1813">
        <v>1</v>
      </c>
      <c r="AC18" s="1813">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1"/>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41"/>
      <c r="Q20" s="1812"/>
      <c r="R20" s="774"/>
      <c r="S20" s="775"/>
      <c r="T20" s="774"/>
      <c r="U20" s="775"/>
      <c r="V20" s="774"/>
      <c r="W20" s="775"/>
      <c r="X20" s="1815"/>
      <c r="Y20" s="3186"/>
      <c r="Z20" s="1816"/>
      <c r="AA20" s="1813">
        <v>1</v>
      </c>
      <c r="AB20" s="1813">
        <v>1</v>
      </c>
      <c r="AC20" s="1813">
        <v>1</v>
      </c>
    </row>
    <row r="21" spans="1:29" ht="28.5">
      <c r="A21" s="428"/>
      <c r="B21" s="1386"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1"/>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41"/>
      <c r="Q22" s="1812"/>
      <c r="R22" s="774"/>
      <c r="S22" s="775"/>
      <c r="T22" s="774"/>
      <c r="U22" s="775"/>
      <c r="V22" s="774"/>
      <c r="W22" s="775"/>
      <c r="X22" s="1815"/>
      <c r="Y22" s="3186"/>
      <c r="Z22" s="1816"/>
      <c r="AA22" s="1813">
        <v>1</v>
      </c>
      <c r="AB22" s="1813">
        <v>1</v>
      </c>
      <c r="AC22" s="1813">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1"/>
      <c r="Q23" s="1812" t="str">
        <f>B23</f>
        <v>自然及人文环境</v>
      </c>
      <c r="R23" s="774" t="s">
        <v>17</v>
      </c>
      <c r="S23" s="775">
        <f>F23</f>
        <v>100</v>
      </c>
      <c r="T23" s="774" t="s">
        <v>17</v>
      </c>
      <c r="U23" s="775">
        <f>H23</f>
        <v>100</v>
      </c>
      <c r="V23" s="774" t="s">
        <v>17</v>
      </c>
      <c r="W23" s="775">
        <f>J23</f>
        <v>100</v>
      </c>
      <c r="X23" s="1815"/>
      <c r="Y23" s="3186"/>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41"/>
      <c r="Q24" s="1812"/>
      <c r="R24" s="774"/>
      <c r="S24" s="775"/>
      <c r="T24" s="774"/>
      <c r="U24" s="775"/>
      <c r="V24" s="774"/>
      <c r="W24" s="775"/>
      <c r="X24" s="1815"/>
      <c r="Y24" s="3186"/>
      <c r="Z24" s="1816"/>
      <c r="AA24" s="1813">
        <v>1</v>
      </c>
      <c r="AB24" s="1813">
        <v>1</v>
      </c>
      <c r="AC24" s="181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1"/>
      <c r="Q25" s="1812" t="str">
        <f t="shared" ref="Q25:Q46" si="11">B25</f>
        <v>临街状况</v>
      </c>
      <c r="R25" s="774" t="s">
        <v>17</v>
      </c>
      <c r="S25" s="775">
        <f>F25</f>
        <v>100</v>
      </c>
      <c r="T25" s="774" t="s">
        <v>17</v>
      </c>
      <c r="U25" s="775">
        <f>H25</f>
        <v>100</v>
      </c>
      <c r="V25" s="774" t="s">
        <v>17</v>
      </c>
      <c r="W25" s="775">
        <f>J25</f>
        <v>100</v>
      </c>
      <c r="X25" s="1815"/>
      <c r="Y25" s="3186"/>
      <c r="Z25" s="1816" t="str">
        <f>Q25</f>
        <v>临街状况</v>
      </c>
      <c r="AA25" s="1813">
        <f t="shared" si="3"/>
        <v>1</v>
      </c>
      <c r="AB25" s="1813">
        <f t="shared" si="4"/>
        <v>1</v>
      </c>
      <c r="AC25" s="1813">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1"/>
      <c r="Q26" s="1812" t="str">
        <f t="shared" si="11"/>
        <v>平面位置/可视性</v>
      </c>
      <c r="R26" s="774" t="s">
        <v>17</v>
      </c>
      <c r="S26" s="775">
        <f>F26</f>
        <v>100</v>
      </c>
      <c r="T26" s="774" t="s">
        <v>17</v>
      </c>
      <c r="U26" s="775">
        <f>H26</f>
        <v>100</v>
      </c>
      <c r="V26" s="774" t="s">
        <v>17</v>
      </c>
      <c r="W26" s="775">
        <f>J26</f>
        <v>100</v>
      </c>
      <c r="X26" s="1815"/>
      <c r="Y26" s="3186"/>
      <c r="Z26" s="1816" t="str">
        <f>Q26</f>
        <v>平面位置/可视性</v>
      </c>
      <c r="AA26" s="1813">
        <f t="shared" si="3"/>
        <v>1</v>
      </c>
      <c r="AB26" s="1813">
        <f t="shared" si="4"/>
        <v>1</v>
      </c>
      <c r="AC26" s="1813">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41"/>
      <c r="Q27" s="1797" t="str">
        <f t="shared" si="11"/>
        <v>人流量</v>
      </c>
      <c r="R27" s="770" t="s">
        <v>17</v>
      </c>
      <c r="S27" s="771">
        <f>F27</f>
        <v>100</v>
      </c>
      <c r="T27" s="770" t="s">
        <v>17</v>
      </c>
      <c r="U27" s="771">
        <f>H27</f>
        <v>100</v>
      </c>
      <c r="V27" s="770" t="s">
        <v>17</v>
      </c>
      <c r="W27" s="771">
        <f>J27</f>
        <v>100</v>
      </c>
      <c r="X27" s="772"/>
      <c r="Y27" s="3186"/>
      <c r="Z27" s="55" t="str">
        <f>Q27</f>
        <v>人流量</v>
      </c>
      <c r="AA27" s="1813">
        <f>D27/F27</f>
        <v>1</v>
      </c>
      <c r="AB27" s="1813">
        <f>D27/H27</f>
        <v>1</v>
      </c>
      <c r="AC27" s="181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6"/>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1"/>
      <c r="Q29" s="1812">
        <f t="shared" si="11"/>
        <v>111</v>
      </c>
      <c r="R29" s="774" t="s">
        <v>17</v>
      </c>
      <c r="S29" s="775">
        <f t="shared" si="12"/>
        <v>100</v>
      </c>
      <c r="T29" s="774" t="s">
        <v>17</v>
      </c>
      <c r="U29" s="775">
        <f t="shared" si="13"/>
        <v>100</v>
      </c>
      <c r="V29" s="774" t="s">
        <v>17</v>
      </c>
      <c r="W29" s="775">
        <f t="shared" si="14"/>
        <v>100</v>
      </c>
      <c r="X29" s="1815"/>
      <c r="Y29" s="3186"/>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1"/>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1"/>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1813">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36" t="s">
        <v>2562</v>
      </c>
      <c r="Q32" s="1812" t="str">
        <f t="shared" si="11"/>
        <v>商业类型</v>
      </c>
      <c r="R32" s="774" t="s">
        <v>17</v>
      </c>
      <c r="S32" s="775">
        <f t="shared" si="12"/>
        <v>100</v>
      </c>
      <c r="T32" s="774" t="s">
        <v>17</v>
      </c>
      <c r="U32" s="775">
        <f t="shared" si="13"/>
        <v>100</v>
      </c>
      <c r="V32" s="774" t="s">
        <v>17</v>
      </c>
      <c r="W32" s="775">
        <f t="shared" si="14"/>
        <v>100</v>
      </c>
      <c r="X32" s="1815"/>
      <c r="Y32" s="3187" t="s">
        <v>2562</v>
      </c>
      <c r="Z32" s="1816" t="str">
        <f t="shared" si="15"/>
        <v>商业类型</v>
      </c>
      <c r="AA32" s="1813">
        <f t="shared" si="3"/>
        <v>1</v>
      </c>
      <c r="AB32" s="1813">
        <f t="shared" si="4"/>
        <v>1</v>
      </c>
      <c r="AC32" s="181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7"/>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13" t="e">
        <f t="shared" si="3"/>
        <v>#N/A</v>
      </c>
      <c r="AB33" s="1813" t="e">
        <f t="shared" si="4"/>
        <v>#N/A</v>
      </c>
      <c r="AC33" s="1813"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37"/>
      <c r="Q34" s="1812" t="str">
        <f t="shared" si="11"/>
        <v>建筑结构</v>
      </c>
      <c r="R34" s="774" t="s">
        <v>17</v>
      </c>
      <c r="S34" s="775">
        <f t="shared" si="12"/>
        <v>100</v>
      </c>
      <c r="T34" s="774" t="s">
        <v>17</v>
      </c>
      <c r="U34" s="775">
        <f t="shared" si="13"/>
        <v>100</v>
      </c>
      <c r="V34" s="774" t="s">
        <v>17</v>
      </c>
      <c r="W34" s="775">
        <f t="shared" si="14"/>
        <v>100</v>
      </c>
      <c r="X34" s="1815"/>
      <c r="Y34" s="3187"/>
      <c r="Z34" s="1816" t="str">
        <f t="shared" si="15"/>
        <v>建筑结构</v>
      </c>
      <c r="AA34" s="1813">
        <f t="shared" si="3"/>
        <v>1</v>
      </c>
      <c r="AB34" s="1813">
        <f t="shared" si="4"/>
        <v>1</v>
      </c>
      <c r="AC34" s="1813">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37"/>
      <c r="Q35" s="1812" t="str">
        <f t="shared" si="11"/>
        <v>公共部分装修</v>
      </c>
      <c r="R35" s="774" t="s">
        <v>17</v>
      </c>
      <c r="S35" s="775">
        <f t="shared" si="12"/>
        <v>100</v>
      </c>
      <c r="T35" s="774" t="s">
        <v>17</v>
      </c>
      <c r="U35" s="775">
        <f t="shared" si="13"/>
        <v>100</v>
      </c>
      <c r="V35" s="774" t="s">
        <v>17</v>
      </c>
      <c r="W35" s="775">
        <f t="shared" si="14"/>
        <v>100</v>
      </c>
      <c r="X35" s="1815"/>
      <c r="Y35" s="3187"/>
      <c r="Z35" s="1816" t="str">
        <f t="shared" si="15"/>
        <v>公共部分装修</v>
      </c>
      <c r="AA35" s="1813">
        <f t="shared" si="3"/>
        <v>1</v>
      </c>
      <c r="AB35" s="1813">
        <f t="shared" si="4"/>
        <v>1</v>
      </c>
      <c r="AC35" s="181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7"/>
      <c r="Q36" s="1812" t="str">
        <f t="shared" si="11"/>
        <v>成新度</v>
      </c>
      <c r="R36" s="774" t="s">
        <v>17</v>
      </c>
      <c r="S36" s="775" t="e">
        <f t="shared" si="12"/>
        <v>#N/A</v>
      </c>
      <c r="T36" s="774" t="s">
        <v>17</v>
      </c>
      <c r="U36" s="775" t="e">
        <f t="shared" si="13"/>
        <v>#N/A</v>
      </c>
      <c r="V36" s="774" t="s">
        <v>17</v>
      </c>
      <c r="W36" s="775" t="e">
        <f t="shared" si="14"/>
        <v>#N/A</v>
      </c>
      <c r="X36" s="1815"/>
      <c r="Y36" s="3187"/>
      <c r="Z36" s="1816" t="str">
        <f t="shared" si="15"/>
        <v>成新度</v>
      </c>
      <c r="AA36" s="1813" t="e">
        <f t="shared" si="3"/>
        <v>#N/A</v>
      </c>
      <c r="AB36" s="1813" t="e">
        <f t="shared" si="4"/>
        <v>#N/A</v>
      </c>
      <c r="AC36" s="1813"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37"/>
      <c r="Q37" s="1797"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37" t="s">
        <v>2562</v>
      </c>
      <c r="Q38" s="1812" t="str">
        <f t="shared" si="11"/>
        <v>业态</v>
      </c>
      <c r="R38" s="774" t="s">
        <v>17</v>
      </c>
      <c r="S38" s="775">
        <f t="shared" si="12"/>
        <v>100</v>
      </c>
      <c r="T38" s="774" t="s">
        <v>17</v>
      </c>
      <c r="U38" s="775">
        <f t="shared" si="13"/>
        <v>100</v>
      </c>
      <c r="V38" s="774" t="s">
        <v>17</v>
      </c>
      <c r="W38" s="775">
        <f t="shared" si="14"/>
        <v>100</v>
      </c>
      <c r="X38" s="1815"/>
      <c r="Y38" s="3187" t="s">
        <v>2562</v>
      </c>
      <c r="Z38" s="1816" t="str">
        <f t="shared" si="15"/>
        <v>业态</v>
      </c>
      <c r="AA38" s="1813">
        <f t="shared" si="3"/>
        <v>1</v>
      </c>
      <c r="AB38" s="1813">
        <f t="shared" si="4"/>
        <v>1</v>
      </c>
      <c r="AC38" s="1813">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37"/>
      <c r="Q39" s="1812" t="str">
        <f t="shared" si="11"/>
        <v>层高</v>
      </c>
      <c r="R39" s="774" t="s">
        <v>17</v>
      </c>
      <c r="S39" s="775">
        <f t="shared" si="12"/>
        <v>100</v>
      </c>
      <c r="T39" s="774" t="s">
        <v>17</v>
      </c>
      <c r="U39" s="775">
        <f t="shared" si="13"/>
        <v>100</v>
      </c>
      <c r="V39" s="774" t="s">
        <v>17</v>
      </c>
      <c r="W39" s="775">
        <f t="shared" si="14"/>
        <v>100</v>
      </c>
      <c r="X39" s="1815"/>
      <c r="Y39" s="3187"/>
      <c r="Z39" s="1816" t="str">
        <f t="shared" si="15"/>
        <v>层高</v>
      </c>
      <c r="AA39" s="1813">
        <f t="shared" si="3"/>
        <v>1</v>
      </c>
      <c r="AB39" s="1813">
        <f t="shared" si="4"/>
        <v>1</v>
      </c>
      <c r="AC39" s="181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7"/>
      <c r="Q40" s="1812" t="str">
        <f t="shared" si="11"/>
        <v>单套建筑面积</v>
      </c>
      <c r="R40" s="774" t="s">
        <v>17</v>
      </c>
      <c r="S40" s="775">
        <f t="shared" si="12"/>
        <v>100</v>
      </c>
      <c r="T40" s="774" t="s">
        <v>17</v>
      </c>
      <c r="U40" s="775">
        <f t="shared" si="13"/>
        <v>100</v>
      </c>
      <c r="V40" s="774" t="s">
        <v>17</v>
      </c>
      <c r="W40" s="775">
        <f t="shared" si="14"/>
        <v>100</v>
      </c>
      <c r="X40" s="1815"/>
      <c r="Y40" s="3187"/>
      <c r="Z40" s="1816" t="str">
        <f t="shared" si="15"/>
        <v>单套建筑面积</v>
      </c>
      <c r="AA40" s="1813">
        <f t="shared" si="3"/>
        <v>1</v>
      </c>
      <c r="AB40" s="1813">
        <f t="shared" si="4"/>
        <v>1</v>
      </c>
      <c r="AC40" s="1813">
        <f t="shared" si="5"/>
        <v>1</v>
      </c>
    </row>
    <row r="41" spans="1:29" s="471" customFormat="1" ht="15">
      <c r="A41" s="468"/>
      <c r="B41" s="181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7"/>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3">
        <f t="shared" si="3"/>
        <v>1</v>
      </c>
      <c r="AB41" s="1813">
        <f t="shared" si="4"/>
        <v>1</v>
      </c>
      <c r="AC41" s="1813">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37"/>
      <c r="Q42" s="1812" t="str">
        <f t="shared" si="11"/>
        <v>内部装修</v>
      </c>
      <c r="R42" s="774" t="s">
        <v>17</v>
      </c>
      <c r="S42" s="775">
        <f t="shared" si="12"/>
        <v>100</v>
      </c>
      <c r="T42" s="774" t="s">
        <v>17</v>
      </c>
      <c r="U42" s="775">
        <f t="shared" si="13"/>
        <v>100</v>
      </c>
      <c r="V42" s="774" t="s">
        <v>17</v>
      </c>
      <c r="W42" s="775">
        <f t="shared" si="14"/>
        <v>100</v>
      </c>
      <c r="X42" s="1815"/>
      <c r="Y42" s="3187"/>
      <c r="Z42" s="1816" t="str">
        <f t="shared" si="15"/>
        <v>内部装修</v>
      </c>
      <c r="AA42" s="1813">
        <f t="shared" si="3"/>
        <v>1</v>
      </c>
      <c r="AB42" s="1813">
        <f t="shared" si="4"/>
        <v>1</v>
      </c>
      <c r="AC42" s="1813">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37"/>
      <c r="Q43" s="1812" t="str">
        <f t="shared" si="11"/>
        <v>内部装修维护情况</v>
      </c>
      <c r="R43" s="774" t="s">
        <v>17</v>
      </c>
      <c r="S43" s="775">
        <f t="shared" si="12"/>
        <v>100</v>
      </c>
      <c r="T43" s="774" t="s">
        <v>17</v>
      </c>
      <c r="U43" s="775">
        <f t="shared" si="13"/>
        <v>100</v>
      </c>
      <c r="V43" s="774" t="s">
        <v>17</v>
      </c>
      <c r="W43" s="775">
        <f t="shared" si="14"/>
        <v>100</v>
      </c>
      <c r="X43" s="1815"/>
      <c r="Y43" s="3187"/>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7"/>
      <c r="Q44" s="1797">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7"/>
      <c r="Q45" s="1812">
        <f t="shared" si="11"/>
        <v>111</v>
      </c>
      <c r="R45" s="774" t="s">
        <v>17</v>
      </c>
      <c r="S45" s="775">
        <f t="shared" si="12"/>
        <v>100</v>
      </c>
      <c r="T45" s="774" t="s">
        <v>17</v>
      </c>
      <c r="U45" s="775">
        <f t="shared" si="13"/>
        <v>100</v>
      </c>
      <c r="V45" s="774" t="s">
        <v>17</v>
      </c>
      <c r="W45" s="775">
        <f t="shared" si="14"/>
        <v>100</v>
      </c>
      <c r="X45" s="1815"/>
      <c r="Y45" s="3187"/>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8"/>
      <c r="Q46" s="1812">
        <f t="shared" si="11"/>
        <v>111</v>
      </c>
      <c r="R46" s="774" t="s">
        <v>17</v>
      </c>
      <c r="S46" s="775">
        <f t="shared" si="12"/>
        <v>100</v>
      </c>
      <c r="T46" s="774" t="s">
        <v>17</v>
      </c>
      <c r="U46" s="775">
        <f t="shared" si="13"/>
        <v>100</v>
      </c>
      <c r="V46" s="774" t="s">
        <v>17</v>
      </c>
      <c r="W46" s="775">
        <f t="shared" si="14"/>
        <v>100</v>
      </c>
      <c r="X46" s="1815"/>
      <c r="Y46" s="3239"/>
      <c r="Z46" s="1816">
        <f t="shared" si="15"/>
        <v>111</v>
      </c>
      <c r="AA46" s="1813">
        <f t="shared" si="3"/>
        <v>1</v>
      </c>
      <c r="AB46" s="1813">
        <f t="shared" si="4"/>
        <v>1</v>
      </c>
      <c r="AC46" s="1813">
        <f t="shared" si="5"/>
        <v>1</v>
      </c>
    </row>
    <row r="47" spans="1:29" ht="15">
      <c r="A47" s="479" t="s">
        <v>2574</v>
      </c>
      <c r="B47" s="480"/>
      <c r="C47" s="1409" t="s">
        <v>1</v>
      </c>
      <c r="D47" s="1410"/>
      <c r="E47" s="1411"/>
      <c r="F47" s="1412"/>
      <c r="G47" s="1413"/>
      <c r="H47" s="1414"/>
      <c r="I47" s="1411"/>
      <c r="J47" s="1414"/>
      <c r="K47" s="783"/>
      <c r="L47" s="1145"/>
      <c r="M47" s="1146"/>
      <c r="N47" s="1133"/>
      <c r="O47" s="1146"/>
      <c r="P47" s="3168" t="str">
        <f>A47</f>
        <v>成交单价（元/平方米）</v>
      </c>
      <c r="Q47" s="3168"/>
      <c r="R47" s="3184">
        <f>E47</f>
        <v>0</v>
      </c>
      <c r="S47" s="3184"/>
      <c r="T47" s="3184">
        <f>G47</f>
        <v>0</v>
      </c>
      <c r="U47" s="3184"/>
      <c r="V47" s="3184">
        <f>I47</f>
        <v>0</v>
      </c>
      <c r="W47" s="3184"/>
      <c r="X47" s="759"/>
      <c r="Y47" s="781"/>
      <c r="Z47" s="759"/>
      <c r="AA47" s="759"/>
      <c r="AB47" s="759"/>
      <c r="AC47" s="759"/>
    </row>
    <row r="48" spans="1:29" ht="15.75" thickBot="1">
      <c r="A48" s="486" t="s">
        <v>2666</v>
      </c>
      <c r="B48" s="487"/>
      <c r="C48" s="1415" t="e">
        <f>R49</f>
        <v>#DIV/0!</v>
      </c>
      <c r="D48" s="1416"/>
      <c r="E48" s="1417" t="e">
        <f>R48</f>
        <v>#DIV/0!</v>
      </c>
      <c r="F48" s="1417"/>
      <c r="G48" s="1415" t="e">
        <f>T48</f>
        <v>#DIV/0!</v>
      </c>
      <c r="H48" s="1416"/>
      <c r="I48" s="1417" t="e">
        <f>V48</f>
        <v>#DIV/0!</v>
      </c>
      <c r="J48" s="1416"/>
      <c r="K48" s="784"/>
      <c r="L48" s="1145"/>
      <c r="M48" s="1146"/>
      <c r="N48" s="1133"/>
      <c r="O48" s="1146"/>
      <c r="P48" s="3168" t="str">
        <f>A48</f>
        <v>比较价值（元/平方米）</v>
      </c>
      <c r="Q48" s="3168"/>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2667</v>
      </c>
      <c r="B49" s="493"/>
      <c r="C49" s="1419" t="e">
        <f>R49</f>
        <v>#DIV/0!</v>
      </c>
      <c r="D49" s="1419"/>
      <c r="E49" s="1419"/>
      <c r="F49" s="1419"/>
      <c r="G49" s="1419"/>
      <c r="H49" s="1419"/>
      <c r="I49" s="1419"/>
      <c r="J49" s="1419"/>
      <c r="K49" s="785"/>
      <c r="L49" s="1145"/>
      <c r="M49" s="1146"/>
      <c r="N49" s="1133"/>
      <c r="O49" s="1146"/>
      <c r="P49" s="3203" t="str">
        <f>A49</f>
        <v>估价对象XX用房的比较价值（楼面单价，元/平方米）</v>
      </c>
      <c r="Q49" s="3204"/>
      <c r="R49" s="3234" t="e">
        <f>IF(F1="售价",ROUND(AVERAGE(R48:V48),0),ROUND(AVERAGE(R48:V48),1))</f>
        <v>#DIV/0!</v>
      </c>
      <c r="S49" s="3234"/>
      <c r="T49" s="3234"/>
      <c r="U49" s="3234"/>
      <c r="V49" s="3234"/>
      <c r="W49" s="3234"/>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2545</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2585</v>
      </c>
      <c r="B63" s="528" t="s">
        <v>2551</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2677</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2560</v>
      </c>
      <c r="B100" s="528" t="s">
        <v>2678</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2611</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2613</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2679</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2680</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2681</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2617</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北京市群英印刷有限公司：</v>
      </c>
    </row>
    <row r="4" spans="1:1" ht="36">
      <c r="A4" s="1950" t="str">
        <f>"受贵公司委托，我公司对"&amp;项目基本情况!S1&amp;"进行了预评估。"</f>
        <v>受贵公司委托，我公司对北京市大兴区金苑路32号1幢等2幢工业用房房地产抵押价值进行了预评估。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苑路32号1幢等2幢工业用房房地产，为北京市群英印刷有限公司所有。根据《国有土地使用证》[京兴国用（2014出）第00204号]，估价对象（分摊）出让国有建设用地使用权面积为2422.36平方米，建筑面积为6217.83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苑路32号1幢等2幢工业用房房地产,属北京市群英印刷有限公司开发建设的工业项目，该项目尚在开发建设中。根据《国有土地使用证》[京兴国用（2014出）第00204号]，估价对象（分摊）出让国有建设用地使用权面积为2422.36平方米，规划建筑面积为6217.83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为估价委托人在向交通银行股份有限公司北京通州支行办理贷款手续过程中，确定房地产抵押贷款额度提供参考依据而评估房地产抵押价值。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工业，土地取得方式为出让，出让国有建设用地使用权剩余土地使用年限为35.86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35.86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71" t="s">
        <v>2683</v>
      </c>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IF(C2="——",ROUND(C50*D3/10000,0),ROUND(C50*D3/10000,0)-D2)</f>
        <v>#DIV/0!</v>
      </c>
      <c r="C2" s="2588"/>
      <c r="D2" s="1367" t="e">
        <f ca="1">SUMIF(INDIRECT("'"&amp;F2&amp;"'"&amp;"!A:A"),"承租人权益价值",INDIRECT("'"&amp;F2&amp;"'"&amp;"!c:c"))</f>
        <v>#REF!</v>
      </c>
      <c r="E2" s="2589" t="s">
        <v>2325</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6217.83</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2642</v>
      </c>
      <c r="B4" s="402"/>
      <c r="C4" s="3165" t="s">
        <v>2643</v>
      </c>
      <c r="D4" s="3191"/>
      <c r="E4" s="3192" t="s">
        <v>2644</v>
      </c>
      <c r="F4" s="3193"/>
      <c r="G4" s="3165" t="s">
        <v>2645</v>
      </c>
      <c r="H4" s="3191"/>
      <c r="I4" s="3165" t="s">
        <v>2646</v>
      </c>
      <c r="J4" s="3191"/>
      <c r="K4" s="610" t="s">
        <v>2647</v>
      </c>
      <c r="L4" s="1132"/>
      <c r="M4" s="1133"/>
      <c r="N4" s="1133"/>
      <c r="O4" s="1133"/>
      <c r="P4" s="3252" t="s">
        <v>2648</v>
      </c>
      <c r="Q4" s="3253"/>
      <c r="R4" s="3256" t="s">
        <v>2644</v>
      </c>
      <c r="S4" s="3257"/>
      <c r="T4" s="3256" t="s">
        <v>2645</v>
      </c>
      <c r="U4" s="3257"/>
      <c r="V4" s="3258" t="s">
        <v>2646</v>
      </c>
      <c r="W4" s="3258"/>
      <c r="X4" s="2672"/>
      <c r="Y4" s="3256" t="s">
        <v>2648</v>
      </c>
      <c r="Z4" s="3257"/>
      <c r="AA4" s="3260" t="s">
        <v>2644</v>
      </c>
      <c r="AB4" s="3260" t="s">
        <v>2645</v>
      </c>
      <c r="AC4" s="3249" t="s">
        <v>2646</v>
      </c>
    </row>
    <row r="5" spans="1:29" ht="15">
      <c r="A5" s="404"/>
      <c r="B5" s="405"/>
      <c r="C5" s="3176" t="s">
        <v>2539</v>
      </c>
      <c r="D5" s="3177"/>
      <c r="E5" s="3200" t="s">
        <v>2540</v>
      </c>
      <c r="F5" s="3201"/>
      <c r="G5" s="3176" t="s">
        <v>2541</v>
      </c>
      <c r="H5" s="3177"/>
      <c r="I5" s="3176" t="s">
        <v>2542</v>
      </c>
      <c r="J5" s="3177"/>
      <c r="K5" s="610"/>
      <c r="L5" s="1132"/>
      <c r="M5" s="1133"/>
      <c r="N5" s="1133"/>
      <c r="O5" s="1133"/>
      <c r="P5" s="3254"/>
      <c r="Q5" s="3197"/>
      <c r="R5" s="3174"/>
      <c r="S5" s="3175"/>
      <c r="T5" s="3174"/>
      <c r="U5" s="3175"/>
      <c r="V5" s="3184"/>
      <c r="W5" s="3184"/>
      <c r="X5" s="1815"/>
      <c r="Y5" s="3174"/>
      <c r="Z5" s="3175"/>
      <c r="AA5" s="3189"/>
      <c r="AB5" s="3189"/>
      <c r="AC5" s="3250"/>
    </row>
    <row r="6" spans="1:29" ht="15.75" thickBot="1">
      <c r="A6" s="406"/>
      <c r="B6" s="407"/>
      <c r="C6" s="3242" t="s">
        <v>2543</v>
      </c>
      <c r="D6" s="3243"/>
      <c r="E6" s="3244" t="s">
        <v>2543</v>
      </c>
      <c r="F6" s="3245"/>
      <c r="G6" s="3242" t="s">
        <v>2543</v>
      </c>
      <c r="H6" s="3243"/>
      <c r="I6" s="3242" t="s">
        <v>2543</v>
      </c>
      <c r="J6" s="3243"/>
      <c r="K6" s="610" t="s">
        <v>2544</v>
      </c>
      <c r="L6" s="1132"/>
      <c r="M6" s="1133"/>
      <c r="N6" s="1133"/>
      <c r="O6" s="1133"/>
      <c r="P6" s="3255"/>
      <c r="Q6" s="3199"/>
      <c r="R6" s="3174"/>
      <c r="S6" s="3175"/>
      <c r="T6" s="3182"/>
      <c r="U6" s="3183"/>
      <c r="V6" s="3184"/>
      <c r="W6" s="3184"/>
      <c r="X6" s="1815"/>
      <c r="Y6" s="3182"/>
      <c r="Z6" s="3183"/>
      <c r="AA6" s="3190"/>
      <c r="AB6" s="3190"/>
      <c r="AC6" s="3251"/>
    </row>
    <row r="7" spans="1:29" s="117" customFormat="1" ht="15.75" thickBot="1">
      <c r="A7" s="408" t="s">
        <v>2545</v>
      </c>
      <c r="B7" s="409"/>
      <c r="C7" s="410">
        <f>'数据-取费表'!B2</f>
        <v>43297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9" t="s">
        <v>2546</v>
      </c>
      <c r="Q7" s="3180"/>
      <c r="R7" s="770" t="s">
        <v>17</v>
      </c>
      <c r="S7" s="771">
        <f t="shared" ref="S7:S15" si="0">F7</f>
        <v>0</v>
      </c>
      <c r="T7" s="770" t="s">
        <v>17</v>
      </c>
      <c r="U7" s="771">
        <f t="shared" ref="U7:U15" si="1">H7</f>
        <v>0</v>
      </c>
      <c r="V7" s="770" t="s">
        <v>17</v>
      </c>
      <c r="W7" s="771">
        <f t="shared" ref="W7:W15" si="2">J7</f>
        <v>0</v>
      </c>
      <c r="X7" s="772"/>
      <c r="Y7" s="3170" t="s">
        <v>2546</v>
      </c>
      <c r="Z7" s="3171"/>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9" t="s">
        <v>2549</v>
      </c>
      <c r="Q8" s="3171"/>
      <c r="R8" s="770" t="s">
        <v>17</v>
      </c>
      <c r="S8" s="771">
        <f t="shared" si="0"/>
        <v>0</v>
      </c>
      <c r="T8" s="770" t="s">
        <v>17</v>
      </c>
      <c r="U8" s="771">
        <f t="shared" si="1"/>
        <v>0</v>
      </c>
      <c r="V8" s="770" t="s">
        <v>17</v>
      </c>
      <c r="W8" s="771">
        <f t="shared" si="2"/>
        <v>0</v>
      </c>
      <c r="X8" s="772"/>
      <c r="Y8" s="3170" t="s">
        <v>2549</v>
      </c>
      <c r="Z8" s="3171"/>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7" t="s">
        <v>2552</v>
      </c>
      <c r="Q9" s="1797"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7"/>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7"/>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67"/>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67"/>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67"/>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0" t="s">
        <v>2557</v>
      </c>
      <c r="Q15" s="1812" t="str">
        <f t="shared" si="6"/>
        <v>办公集聚程度</v>
      </c>
      <c r="R15" s="774" t="s">
        <v>17</v>
      </c>
      <c r="S15" s="775">
        <f t="shared" si="0"/>
        <v>100</v>
      </c>
      <c r="T15" s="774" t="s">
        <v>17</v>
      </c>
      <c r="U15" s="775">
        <f t="shared" si="1"/>
        <v>100</v>
      </c>
      <c r="V15" s="774" t="s">
        <v>17</v>
      </c>
      <c r="W15" s="775">
        <f t="shared" si="2"/>
        <v>100</v>
      </c>
      <c r="X15" s="1815"/>
      <c r="Y15" s="3185" t="s">
        <v>2557</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41"/>
      <c r="Q16" s="1812"/>
      <c r="R16" s="774"/>
      <c r="S16" s="775"/>
      <c r="T16" s="774"/>
      <c r="U16" s="775"/>
      <c r="V16" s="774"/>
      <c r="W16" s="775"/>
      <c r="X16" s="1815"/>
      <c r="Y16" s="3186"/>
      <c r="Z16" s="1816"/>
      <c r="AA16" s="1813">
        <v>1</v>
      </c>
      <c r="AB16" s="1813">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1"/>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41"/>
      <c r="Q18" s="1812"/>
      <c r="R18" s="774"/>
      <c r="S18" s="775"/>
      <c r="T18" s="774"/>
      <c r="U18" s="775"/>
      <c r="V18" s="774"/>
      <c r="W18" s="775"/>
      <c r="X18" s="1815"/>
      <c r="Y18" s="3186"/>
      <c r="Z18" s="1816"/>
      <c r="AA18" s="1813">
        <v>1</v>
      </c>
      <c r="AB18" s="1813">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1"/>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41"/>
      <c r="Q20" s="1812"/>
      <c r="R20" s="774"/>
      <c r="S20" s="775"/>
      <c r="T20" s="774"/>
      <c r="U20" s="775"/>
      <c r="V20" s="774"/>
      <c r="W20" s="775"/>
      <c r="X20" s="1815"/>
      <c r="Y20" s="3186"/>
      <c r="Z20" s="1816"/>
      <c r="AA20" s="1813">
        <v>1</v>
      </c>
      <c r="AB20" s="1813">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1"/>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41"/>
      <c r="Q22" s="1812"/>
      <c r="R22" s="774"/>
      <c r="S22" s="775"/>
      <c r="T22" s="774"/>
      <c r="U22" s="775"/>
      <c r="V22" s="774"/>
      <c r="W22" s="775"/>
      <c r="X22" s="1815"/>
      <c r="Y22" s="3186"/>
      <c r="Z22" s="1816"/>
      <c r="AA22" s="1813">
        <v>1</v>
      </c>
      <c r="AB22" s="1813">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1"/>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41"/>
      <c r="Q24" s="1812"/>
      <c r="R24" s="774"/>
      <c r="S24" s="775"/>
      <c r="T24" s="774"/>
      <c r="U24" s="775"/>
      <c r="V24" s="774"/>
      <c r="W24" s="775"/>
      <c r="X24" s="1815"/>
      <c r="Y24" s="3186"/>
      <c r="Z24" s="1816"/>
      <c r="AA24" s="1813">
        <v>1</v>
      </c>
      <c r="AB24" s="1813">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41"/>
      <c r="Q25" s="1812" t="str">
        <f>B25</f>
        <v>毗邻道路的类型与等级</v>
      </c>
      <c r="R25" s="774" t="s">
        <v>17</v>
      </c>
      <c r="S25" s="775">
        <f>F25</f>
        <v>100</v>
      </c>
      <c r="T25" s="774" t="s">
        <v>17</v>
      </c>
      <c r="U25" s="775">
        <f>H25</f>
        <v>100</v>
      </c>
      <c r="V25" s="774" t="s">
        <v>17</v>
      </c>
      <c r="W25" s="775">
        <f>J25</f>
        <v>100</v>
      </c>
      <c r="X25" s="1815"/>
      <c r="Y25" s="3186"/>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41"/>
      <c r="Q26" s="1812"/>
      <c r="R26" s="774"/>
      <c r="S26" s="775"/>
      <c r="T26" s="774"/>
      <c r="U26" s="775"/>
      <c r="V26" s="774"/>
      <c r="W26" s="775"/>
      <c r="X26" s="1815"/>
      <c r="Y26" s="3186"/>
      <c r="Z26" s="1816"/>
      <c r="AA26" s="1813">
        <v>1</v>
      </c>
      <c r="AB26" s="1813">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1"/>
      <c r="Q27" s="1812" t="str">
        <f t="shared" ref="Q27:Q47" si="11">B27</f>
        <v>楼层</v>
      </c>
      <c r="R27" s="774" t="s">
        <v>17</v>
      </c>
      <c r="S27" s="775">
        <f>F27</f>
        <v>100</v>
      </c>
      <c r="T27" s="774" t="s">
        <v>17</v>
      </c>
      <c r="U27" s="775">
        <f>H27</f>
        <v>100</v>
      </c>
      <c r="V27" s="774" t="s">
        <v>17</v>
      </c>
      <c r="W27" s="775">
        <f>J27</f>
        <v>100</v>
      </c>
      <c r="X27" s="1815"/>
      <c r="Y27" s="3186"/>
      <c r="Z27" s="1816" t="str">
        <f>Q27</f>
        <v>楼层</v>
      </c>
      <c r="AA27" s="1813">
        <f t="shared" si="3"/>
        <v>1</v>
      </c>
      <c r="AB27" s="1813">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41"/>
      <c r="Q28" s="1797" t="str">
        <f t="shared" si="11"/>
        <v>朝向</v>
      </c>
      <c r="R28" s="770" t="s">
        <v>17</v>
      </c>
      <c r="S28" s="771">
        <f>F28</f>
        <v>100</v>
      </c>
      <c r="T28" s="770" t="s">
        <v>17</v>
      </c>
      <c r="U28" s="771">
        <f>H28</f>
        <v>100</v>
      </c>
      <c r="V28" s="770" t="s">
        <v>17</v>
      </c>
      <c r="W28" s="771">
        <f>J28</f>
        <v>100</v>
      </c>
      <c r="X28" s="772"/>
      <c r="Y28" s="3186"/>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41"/>
      <c r="Q29" s="1812">
        <f t="shared" si="11"/>
        <v>111</v>
      </c>
      <c r="R29" s="774" t="s">
        <v>17</v>
      </c>
      <c r="S29" s="775">
        <f t="shared" ref="S29:S47" si="12">F29</f>
        <v>100</v>
      </c>
      <c r="T29" s="774" t="s">
        <v>17</v>
      </c>
      <c r="U29" s="775">
        <f t="shared" ref="U29:U47" si="13">H29</f>
        <v>100</v>
      </c>
      <c r="V29" s="774" t="s">
        <v>17</v>
      </c>
      <c r="W29" s="775">
        <f t="shared" ref="W29:W47" si="14">J29</f>
        <v>100</v>
      </c>
      <c r="X29" s="1815"/>
      <c r="Y29" s="3186"/>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41"/>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41"/>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41"/>
      <c r="Q32" s="1812">
        <f t="shared" si="11"/>
        <v>111</v>
      </c>
      <c r="R32" s="774" t="s">
        <v>17</v>
      </c>
      <c r="S32" s="775">
        <f t="shared" si="12"/>
        <v>100</v>
      </c>
      <c r="T32" s="774" t="s">
        <v>17</v>
      </c>
      <c r="U32" s="775">
        <f t="shared" si="13"/>
        <v>100</v>
      </c>
      <c r="V32" s="774" t="s">
        <v>17</v>
      </c>
      <c r="W32" s="775">
        <f t="shared" si="14"/>
        <v>100</v>
      </c>
      <c r="X32" s="1815"/>
      <c r="Y32" s="3186"/>
      <c r="Z32" s="1816">
        <f t="shared" si="15"/>
        <v>111</v>
      </c>
      <c r="AA32" s="1813">
        <f t="shared" si="3"/>
        <v>1</v>
      </c>
      <c r="AB32" s="1813">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36" t="s">
        <v>2562</v>
      </c>
      <c r="Q33" s="1812" t="str">
        <f t="shared" si="11"/>
        <v>建筑类型</v>
      </c>
      <c r="R33" s="774" t="s">
        <v>17</v>
      </c>
      <c r="S33" s="775">
        <f t="shared" si="12"/>
        <v>100</v>
      </c>
      <c r="T33" s="774" t="s">
        <v>17</v>
      </c>
      <c r="U33" s="775">
        <f t="shared" si="13"/>
        <v>100</v>
      </c>
      <c r="V33" s="774" t="s">
        <v>17</v>
      </c>
      <c r="W33" s="775">
        <f t="shared" si="14"/>
        <v>100</v>
      </c>
      <c r="X33" s="1815"/>
      <c r="Y33" s="3187" t="s">
        <v>2562</v>
      </c>
      <c r="Z33" s="1816" t="str">
        <f t="shared" si="15"/>
        <v>建筑类型</v>
      </c>
      <c r="AA33" s="1813">
        <f t="shared" si="3"/>
        <v>1</v>
      </c>
      <c r="AB33" s="1813">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7"/>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13" t="e">
        <f t="shared" si="3"/>
        <v>#N/A</v>
      </c>
      <c r="AB34" s="1813"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7"/>
      <c r="Q35" s="1812" t="str">
        <f t="shared" si="11"/>
        <v>建筑结构</v>
      </c>
      <c r="R35" s="774" t="s">
        <v>17</v>
      </c>
      <c r="S35" s="775">
        <f t="shared" si="12"/>
        <v>100</v>
      </c>
      <c r="T35" s="774" t="s">
        <v>17</v>
      </c>
      <c r="U35" s="775">
        <f t="shared" si="13"/>
        <v>100</v>
      </c>
      <c r="V35" s="774" t="s">
        <v>17</v>
      </c>
      <c r="W35" s="775">
        <f t="shared" si="14"/>
        <v>100</v>
      </c>
      <c r="X35" s="1815"/>
      <c r="Y35" s="3187"/>
      <c r="Z35" s="1816" t="str">
        <f t="shared" si="15"/>
        <v>建筑结构</v>
      </c>
      <c r="AA35" s="1813">
        <f t="shared" si="3"/>
        <v>1</v>
      </c>
      <c r="AB35" s="1813">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7"/>
      <c r="Q36" s="1812" t="str">
        <f t="shared" si="11"/>
        <v>公共部分装修</v>
      </c>
      <c r="R36" s="774" t="s">
        <v>17</v>
      </c>
      <c r="S36" s="775">
        <f t="shared" si="12"/>
        <v>100</v>
      </c>
      <c r="T36" s="774" t="s">
        <v>17</v>
      </c>
      <c r="U36" s="775">
        <f t="shared" si="13"/>
        <v>100</v>
      </c>
      <c r="V36" s="774" t="s">
        <v>17</v>
      </c>
      <c r="W36" s="775">
        <f t="shared" si="14"/>
        <v>100</v>
      </c>
      <c r="X36" s="1815"/>
      <c r="Y36" s="3187"/>
      <c r="Z36" s="1816" t="str">
        <f t="shared" si="15"/>
        <v>公共部分装修</v>
      </c>
      <c r="AA36" s="1813">
        <f t="shared" si="3"/>
        <v>1</v>
      </c>
      <c r="AB36" s="1813">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7"/>
      <c r="Q37" s="1812" t="str">
        <f t="shared" si="11"/>
        <v>成新度</v>
      </c>
      <c r="R37" s="774" t="s">
        <v>17</v>
      </c>
      <c r="S37" s="775" t="e">
        <f t="shared" si="12"/>
        <v>#N/A</v>
      </c>
      <c r="T37" s="774" t="s">
        <v>17</v>
      </c>
      <c r="U37" s="775" t="e">
        <f t="shared" si="13"/>
        <v>#N/A</v>
      </c>
      <c r="V37" s="774" t="s">
        <v>17</v>
      </c>
      <c r="W37" s="775" t="e">
        <f t="shared" si="14"/>
        <v>#N/A</v>
      </c>
      <c r="X37" s="1815"/>
      <c r="Y37" s="3187"/>
      <c r="Z37" s="1816" t="str">
        <f t="shared" si="15"/>
        <v>成新度</v>
      </c>
      <c r="AA37" s="1813" t="e">
        <f t="shared" si="3"/>
        <v>#N/A</v>
      </c>
      <c r="AB37" s="1813"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7"/>
      <c r="Q38" s="1797"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7" t="s">
        <v>2562</v>
      </c>
      <c r="Q39" s="1812" t="str">
        <f t="shared" si="11"/>
        <v>物业管理</v>
      </c>
      <c r="R39" s="774" t="s">
        <v>17</v>
      </c>
      <c r="S39" s="775">
        <f t="shared" si="12"/>
        <v>100</v>
      </c>
      <c r="T39" s="774" t="s">
        <v>17</v>
      </c>
      <c r="U39" s="775">
        <f t="shared" si="13"/>
        <v>100</v>
      </c>
      <c r="V39" s="774" t="s">
        <v>17</v>
      </c>
      <c r="W39" s="775">
        <f t="shared" si="14"/>
        <v>100</v>
      </c>
      <c r="X39" s="1815"/>
      <c r="Y39" s="3187" t="s">
        <v>2562</v>
      </c>
      <c r="Z39" s="1816" t="str">
        <f t="shared" si="15"/>
        <v>物业管理</v>
      </c>
      <c r="AA39" s="1813">
        <f t="shared" si="3"/>
        <v>1</v>
      </c>
      <c r="AB39" s="1813">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7"/>
      <c r="Q40" s="1812" t="str">
        <f t="shared" si="11"/>
        <v>市政基础设施</v>
      </c>
      <c r="R40" s="774" t="s">
        <v>17</v>
      </c>
      <c r="S40" s="775">
        <f t="shared" si="12"/>
        <v>100</v>
      </c>
      <c r="T40" s="774" t="s">
        <v>17</v>
      </c>
      <c r="U40" s="775">
        <f t="shared" si="13"/>
        <v>100</v>
      </c>
      <c r="V40" s="774" t="s">
        <v>17</v>
      </c>
      <c r="W40" s="775">
        <f t="shared" si="14"/>
        <v>100</v>
      </c>
      <c r="X40" s="1815"/>
      <c r="Y40" s="3187"/>
      <c r="Z40" s="1816" t="str">
        <f t="shared" si="15"/>
        <v>市政基础设施</v>
      </c>
      <c r="AA40" s="1813">
        <f t="shared" si="3"/>
        <v>1</v>
      </c>
      <c r="AB40" s="1813">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7"/>
      <c r="Q41" s="1812" t="str">
        <f t="shared" si="11"/>
        <v>层高</v>
      </c>
      <c r="R41" s="774" t="s">
        <v>17</v>
      </c>
      <c r="S41" s="775">
        <f t="shared" si="12"/>
        <v>100</v>
      </c>
      <c r="T41" s="774" t="s">
        <v>17</v>
      </c>
      <c r="U41" s="775">
        <f t="shared" si="13"/>
        <v>100</v>
      </c>
      <c r="V41" s="774" t="s">
        <v>17</v>
      </c>
      <c r="W41" s="775">
        <f t="shared" si="14"/>
        <v>100</v>
      </c>
      <c r="X41" s="1815"/>
      <c r="Y41" s="3187"/>
      <c r="Z41" s="1816" t="str">
        <f t="shared" si="15"/>
        <v>层高</v>
      </c>
      <c r="AA41" s="1813">
        <f t="shared" si="3"/>
        <v>1</v>
      </c>
      <c r="AB41" s="1813">
        <f t="shared" si="4"/>
        <v>1</v>
      </c>
      <c r="AC41" s="2676">
        <f t="shared" si="5"/>
        <v>1</v>
      </c>
    </row>
    <row r="42" spans="1:29" s="471" customFormat="1" ht="15">
      <c r="A42" s="468"/>
      <c r="B42" s="181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7"/>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3">
        <f t="shared" si="3"/>
        <v>1</v>
      </c>
      <c r="AB42" s="1813">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7"/>
      <c r="Q43" s="1812" t="str">
        <f t="shared" si="11"/>
        <v>内部装修</v>
      </c>
      <c r="R43" s="774" t="s">
        <v>17</v>
      </c>
      <c r="S43" s="775">
        <f t="shared" si="12"/>
        <v>100</v>
      </c>
      <c r="T43" s="774" t="s">
        <v>17</v>
      </c>
      <c r="U43" s="775">
        <f t="shared" si="13"/>
        <v>100</v>
      </c>
      <c r="V43" s="774" t="s">
        <v>17</v>
      </c>
      <c r="W43" s="775">
        <f t="shared" si="14"/>
        <v>100</v>
      </c>
      <c r="X43" s="1815"/>
      <c r="Y43" s="3187"/>
      <c r="Z43" s="1816" t="str">
        <f t="shared" si="15"/>
        <v>内部装修</v>
      </c>
      <c r="AA43" s="1813">
        <f t="shared" si="3"/>
        <v>1</v>
      </c>
      <c r="AB43" s="1813">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37"/>
      <c r="Q44" s="1812" t="str">
        <f t="shared" si="11"/>
        <v>内部装修维护情况</v>
      </c>
      <c r="R44" s="774" t="s">
        <v>17</v>
      </c>
      <c r="S44" s="775">
        <f t="shared" si="12"/>
        <v>100</v>
      </c>
      <c r="T44" s="774" t="s">
        <v>17</v>
      </c>
      <c r="U44" s="775">
        <f t="shared" si="13"/>
        <v>100</v>
      </c>
      <c r="V44" s="774" t="s">
        <v>17</v>
      </c>
      <c r="W44" s="775">
        <f t="shared" si="14"/>
        <v>100</v>
      </c>
      <c r="X44" s="1815"/>
      <c r="Y44" s="3187"/>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7"/>
      <c r="Q45" s="1797">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7"/>
      <c r="Q46" s="1812">
        <f t="shared" si="11"/>
        <v>111</v>
      </c>
      <c r="R46" s="774" t="s">
        <v>17</v>
      </c>
      <c r="S46" s="775">
        <f t="shared" si="12"/>
        <v>100</v>
      </c>
      <c r="T46" s="774" t="s">
        <v>17</v>
      </c>
      <c r="U46" s="775">
        <f t="shared" si="13"/>
        <v>100</v>
      </c>
      <c r="V46" s="774" t="s">
        <v>17</v>
      </c>
      <c r="W46" s="775">
        <f t="shared" si="14"/>
        <v>100</v>
      </c>
      <c r="X46" s="1815"/>
      <c r="Y46" s="3187"/>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8"/>
      <c r="Q47" s="1812">
        <f t="shared" si="11"/>
        <v>111</v>
      </c>
      <c r="R47" s="774" t="s">
        <v>17</v>
      </c>
      <c r="S47" s="775">
        <f t="shared" si="12"/>
        <v>100</v>
      </c>
      <c r="T47" s="774" t="s">
        <v>17</v>
      </c>
      <c r="U47" s="775">
        <f t="shared" si="13"/>
        <v>100</v>
      </c>
      <c r="V47" s="774" t="s">
        <v>17</v>
      </c>
      <c r="W47" s="775">
        <f t="shared" si="14"/>
        <v>100</v>
      </c>
      <c r="X47" s="1815"/>
      <c r="Y47" s="3239"/>
      <c r="Z47" s="1816">
        <f t="shared" si="15"/>
        <v>111</v>
      </c>
      <c r="AA47" s="1813">
        <f t="shared" si="3"/>
        <v>1</v>
      </c>
      <c r="AB47" s="1813">
        <f t="shared" si="4"/>
        <v>1</v>
      </c>
      <c r="AC47" s="2676">
        <f t="shared" si="5"/>
        <v>1</v>
      </c>
    </row>
    <row r="48" spans="1:29" ht="15">
      <c r="A48" s="479" t="s">
        <v>2574</v>
      </c>
      <c r="B48" s="480"/>
      <c r="C48" s="1409" t="s">
        <v>1</v>
      </c>
      <c r="D48" s="1410"/>
      <c r="E48" s="1411"/>
      <c r="F48" s="1412"/>
      <c r="G48" s="1413"/>
      <c r="H48" s="1414"/>
      <c r="I48" s="1411"/>
      <c r="J48" s="485"/>
      <c r="K48" s="783"/>
      <c r="L48" s="1145"/>
      <c r="M48" s="1133"/>
      <c r="N48" s="1133"/>
      <c r="O48" s="1133"/>
      <c r="P48" s="3167" t="str">
        <f>A48</f>
        <v>成交单价（元/平方米）</v>
      </c>
      <c r="Q48" s="3168"/>
      <c r="R48" s="3235">
        <f>E48</f>
        <v>0</v>
      </c>
      <c r="S48" s="3235"/>
      <c r="T48" s="3235">
        <f>G48</f>
        <v>0</v>
      </c>
      <c r="U48" s="3235"/>
      <c r="V48" s="3235">
        <f>I48</f>
        <v>0</v>
      </c>
      <c r="W48" s="3235"/>
      <c r="X48" s="446"/>
      <c r="Y48" s="781"/>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4"/>
      <c r="L49" s="1145"/>
      <c r="M49" s="1133"/>
      <c r="N49" s="1133"/>
      <c r="O49" s="1133"/>
      <c r="P49" s="3167" t="str">
        <f>A49</f>
        <v>比较价值（元/平方米）</v>
      </c>
      <c r="Q49" s="3168"/>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5"/>
      <c r="L50" s="1145"/>
      <c r="M50" s="1133"/>
      <c r="N50" s="1133"/>
      <c r="O50" s="1133"/>
      <c r="P50" s="3246" t="str">
        <f>A50</f>
        <v>估价对象XX用房的比较价值（楼面单价，元/平方米）</v>
      </c>
      <c r="Q50" s="3247"/>
      <c r="R50" s="3248" t="e">
        <f>IF(F1="售价",ROUND(AVERAGE(R49:V49),0),ROUND(AVERAGE(R49:V49),1))</f>
        <v>#DIV/0!</v>
      </c>
      <c r="S50" s="3248"/>
      <c r="T50" s="3248"/>
      <c r="U50" s="3248"/>
      <c r="V50" s="3248"/>
      <c r="W50" s="3248"/>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2671</v>
      </c>
      <c r="B58" s="759"/>
      <c r="C58" s="764"/>
      <c r="D58" s="764"/>
      <c r="E58" s="764"/>
      <c r="F58" s="765"/>
      <c r="G58" s="765"/>
      <c r="H58" s="764"/>
      <c r="I58" s="764"/>
      <c r="J58" s="764"/>
      <c r="K58" s="766"/>
      <c r="L58" s="1163"/>
      <c r="M58" s="1161"/>
      <c r="N58" s="1161"/>
      <c r="O58" s="1161"/>
      <c r="P58" s="2683"/>
      <c r="Q58" s="504"/>
    </row>
    <row r="59" spans="1:29" s="508" customFormat="1" ht="15">
      <c r="A59" s="505" t="s">
        <v>2545</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2585</v>
      </c>
      <c r="B64" s="528" t="s">
        <v>2551</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2696</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2560</v>
      </c>
      <c r="B101" s="528" t="s">
        <v>2609</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2611</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2613</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2614</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2615</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2698</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2617</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9" priority="16" stopIfTrue="1" operator="containsText" text="超过">
      <formula>NOT(ISERROR(SEARCH("超过",F53)))</formula>
    </cfRule>
  </conditionalFormatting>
  <conditionalFormatting sqref="H55">
    <cfRule type="containsText" dxfId="78" priority="15" stopIfTrue="1" operator="containsText" text="超过">
      <formula>NOT(ISERROR(SEARCH("超过",H55)))</formula>
    </cfRule>
  </conditionalFormatting>
  <conditionalFormatting sqref="F55">
    <cfRule type="containsText" dxfId="77" priority="14" stopIfTrue="1" operator="containsText" text="超过">
      <formula>NOT(ISERROR(SEARCH("超过",F55)))</formula>
    </cfRule>
  </conditionalFormatting>
  <conditionalFormatting sqref="F54 H54">
    <cfRule type="containsText" dxfId="76" priority="13" stopIfTrue="1" operator="containsText" text="超过">
      <formula>NOT(ISERROR(SEARCH("超过",F54)))</formula>
    </cfRule>
  </conditionalFormatting>
  <conditionalFormatting sqref="E53">
    <cfRule type="expression" dxfId="75" priority="12" stopIfTrue="1">
      <formula>$F$53="超过30%"</formula>
    </cfRule>
  </conditionalFormatting>
  <conditionalFormatting sqref="E54">
    <cfRule type="expression" dxfId="74" priority="11" stopIfTrue="1">
      <formula>$F$54="超过20%"</formula>
    </cfRule>
  </conditionalFormatting>
  <conditionalFormatting sqref="E55">
    <cfRule type="expression" dxfId="73" priority="10" stopIfTrue="1">
      <formula>$F$55="超过30%"</formula>
    </cfRule>
  </conditionalFormatting>
  <conditionalFormatting sqref="G55">
    <cfRule type="expression" dxfId="72" priority="9" stopIfTrue="1">
      <formula>$H$55="超过30%"</formula>
    </cfRule>
  </conditionalFormatting>
  <conditionalFormatting sqref="G53">
    <cfRule type="expression" dxfId="71" priority="8" stopIfTrue="1">
      <formula>$H$53="超过30%"</formula>
    </cfRule>
  </conditionalFormatting>
  <conditionalFormatting sqref="G54">
    <cfRule type="expression" dxfId="70" priority="7" stopIfTrue="1">
      <formula>$H$54="超过20%"</formula>
    </cfRule>
  </conditionalFormatting>
  <conditionalFormatting sqref="J53">
    <cfRule type="containsText" dxfId="69" priority="6" stopIfTrue="1" operator="containsText" text="超过">
      <formula>NOT(ISERROR(SEARCH("超过",J53)))</formula>
    </cfRule>
  </conditionalFormatting>
  <conditionalFormatting sqref="J55">
    <cfRule type="containsText" dxfId="68" priority="5" stopIfTrue="1" operator="containsText" text="超过">
      <formula>NOT(ISERROR(SEARCH("超过",J55)))</formula>
    </cfRule>
  </conditionalFormatting>
  <conditionalFormatting sqref="J54">
    <cfRule type="containsText" dxfId="67" priority="4" stopIfTrue="1" operator="containsText" text="超过">
      <formula>NOT(ISERROR(SEARCH("超过",J54)))</formula>
    </cfRule>
  </conditionalFormatting>
  <conditionalFormatting sqref="I53">
    <cfRule type="expression" dxfId="66" priority="3" stopIfTrue="1">
      <formula>$J$53="超过30%"</formula>
    </cfRule>
  </conditionalFormatting>
  <conditionalFormatting sqref="I54">
    <cfRule type="expression" dxfId="65" priority="2" stopIfTrue="1">
      <formula>$J$53+$J$54="超过20%"</formula>
    </cfRule>
  </conditionalFormatting>
  <conditionalFormatting sqref="I55">
    <cfRule type="expression" dxfId="6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71" t="s">
        <v>2699</v>
      </c>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IF(C2="——",ROUND(C43*D3/10000,0),ROUND(C43*D3/10000,0)-D2)</f>
        <v>#DIV/0!</v>
      </c>
      <c r="C2" s="2588"/>
      <c r="D2" s="1126" t="e">
        <f ca="1">SUMIF(INDIRECT("'"&amp;F2&amp;"'"&amp;"!A:A"),"承租人权益价值",INDIRECT("'"&amp;F2&amp;"'"&amp;"!c:c"))</f>
        <v>#REF!</v>
      </c>
      <c r="E2" s="2589" t="s">
        <v>2325</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6217.83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2642</v>
      </c>
      <c r="B4" s="402"/>
      <c r="C4" s="3165" t="s">
        <v>2643</v>
      </c>
      <c r="D4" s="3191"/>
      <c r="E4" s="3192" t="s">
        <v>2644</v>
      </c>
      <c r="F4" s="3193"/>
      <c r="G4" s="3165" t="s">
        <v>2645</v>
      </c>
      <c r="H4" s="3191"/>
      <c r="I4" s="3165" t="s">
        <v>2646</v>
      </c>
      <c r="J4" s="3191"/>
      <c r="K4" s="610" t="s">
        <v>2647</v>
      </c>
      <c r="L4" s="1132"/>
      <c r="M4" s="1133"/>
      <c r="N4" s="1133"/>
      <c r="O4" s="1133"/>
      <c r="P4" s="3194" t="s">
        <v>2648</v>
      </c>
      <c r="Q4" s="3195"/>
      <c r="R4" s="3172" t="s">
        <v>2644</v>
      </c>
      <c r="S4" s="3173"/>
      <c r="T4" s="3172" t="s">
        <v>2645</v>
      </c>
      <c r="U4" s="3173"/>
      <c r="V4" s="3184" t="s">
        <v>2646</v>
      </c>
      <c r="W4" s="3184"/>
      <c r="X4" s="1815"/>
      <c r="Y4" s="3172" t="s">
        <v>2648</v>
      </c>
      <c r="Z4" s="3173"/>
      <c r="AA4" s="3188" t="s">
        <v>2644</v>
      </c>
      <c r="AB4" s="3189" t="s">
        <v>2645</v>
      </c>
      <c r="AC4" s="3188" t="s">
        <v>2646</v>
      </c>
    </row>
    <row r="5" spans="1:29" ht="15">
      <c r="A5" s="404"/>
      <c r="B5" s="405"/>
      <c r="C5" s="3176" t="s">
        <v>2539</v>
      </c>
      <c r="D5" s="3177"/>
      <c r="E5" s="3200" t="s">
        <v>2540</v>
      </c>
      <c r="F5" s="3201"/>
      <c r="G5" s="3176" t="s">
        <v>2541</v>
      </c>
      <c r="H5" s="3177"/>
      <c r="I5" s="3176" t="s">
        <v>2542</v>
      </c>
      <c r="J5" s="3177"/>
      <c r="K5" s="610"/>
      <c r="L5" s="1132"/>
      <c r="M5" s="1133"/>
      <c r="N5" s="1133"/>
      <c r="O5" s="1133"/>
      <c r="P5" s="3196"/>
      <c r="Q5" s="3197"/>
      <c r="R5" s="3174"/>
      <c r="S5" s="3175"/>
      <c r="T5" s="3174"/>
      <c r="U5" s="3175"/>
      <c r="V5" s="3184"/>
      <c r="W5" s="3184"/>
      <c r="X5" s="1815"/>
      <c r="Y5" s="3174"/>
      <c r="Z5" s="3175"/>
      <c r="AA5" s="3189"/>
      <c r="AB5" s="3189"/>
      <c r="AC5" s="3189"/>
    </row>
    <row r="6" spans="1:29" ht="15.75" thickBot="1">
      <c r="A6" s="406"/>
      <c r="B6" s="407"/>
      <c r="C6" s="3242" t="s">
        <v>2543</v>
      </c>
      <c r="D6" s="3243"/>
      <c r="E6" s="3244" t="s">
        <v>2543</v>
      </c>
      <c r="F6" s="3245"/>
      <c r="G6" s="3242" t="s">
        <v>2543</v>
      </c>
      <c r="H6" s="3243"/>
      <c r="I6" s="3242" t="s">
        <v>2543</v>
      </c>
      <c r="J6" s="3243"/>
      <c r="K6" s="610" t="s">
        <v>2544</v>
      </c>
      <c r="L6" s="1132"/>
      <c r="M6" s="1133"/>
      <c r="N6" s="1133"/>
      <c r="O6" s="1133"/>
      <c r="P6" s="3198"/>
      <c r="Q6" s="3199"/>
      <c r="R6" s="3174"/>
      <c r="S6" s="3175"/>
      <c r="T6" s="3182"/>
      <c r="U6" s="3183"/>
      <c r="V6" s="3184"/>
      <c r="W6" s="3184"/>
      <c r="X6" s="1815"/>
      <c r="Y6" s="3182"/>
      <c r="Z6" s="3183"/>
      <c r="AA6" s="3190"/>
      <c r="AB6" s="3190"/>
      <c r="AC6" s="3190"/>
    </row>
    <row r="7" spans="1:29" s="117" customFormat="1" ht="15.75" thickBot="1">
      <c r="A7" s="408" t="s">
        <v>2545</v>
      </c>
      <c r="B7" s="409"/>
      <c r="C7" s="410">
        <f>'数据-取费表'!B2</f>
        <v>43297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70" t="s">
        <v>2546</v>
      </c>
      <c r="Q7" s="3180"/>
      <c r="R7" s="770" t="s">
        <v>17</v>
      </c>
      <c r="S7" s="771">
        <f t="shared" ref="S7:S15" si="0">F7</f>
        <v>0</v>
      </c>
      <c r="T7" s="770" t="s">
        <v>17</v>
      </c>
      <c r="U7" s="771">
        <f t="shared" ref="U7:U15" si="1">H7</f>
        <v>0</v>
      </c>
      <c r="V7" s="770" t="s">
        <v>17</v>
      </c>
      <c r="W7" s="771">
        <f t="shared" ref="W7:W15" si="2">J7</f>
        <v>0</v>
      </c>
      <c r="X7" s="772"/>
      <c r="Y7" s="3170" t="s">
        <v>2546</v>
      </c>
      <c r="Z7" s="3171"/>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70" t="s">
        <v>2549</v>
      </c>
      <c r="Q8" s="3171"/>
      <c r="R8" s="770" t="s">
        <v>17</v>
      </c>
      <c r="S8" s="771">
        <f t="shared" si="0"/>
        <v>0</v>
      </c>
      <c r="T8" s="770" t="s">
        <v>17</v>
      </c>
      <c r="U8" s="771">
        <f t="shared" si="1"/>
        <v>0</v>
      </c>
      <c r="V8" s="770" t="s">
        <v>17</v>
      </c>
      <c r="W8" s="771">
        <f t="shared" si="2"/>
        <v>0</v>
      </c>
      <c r="X8" s="772"/>
      <c r="Y8" s="3170" t="s">
        <v>2549</v>
      </c>
      <c r="Z8" s="3171"/>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8" t="s">
        <v>2552</v>
      </c>
      <c r="Q9" s="1797"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8"/>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8"/>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68"/>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68"/>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68"/>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114">
      <c r="A15" s="440" t="s">
        <v>2556</v>
      </c>
      <c r="B15" s="69" t="s">
        <v>2700</v>
      </c>
      <c r="C15" s="2695" t="str">
        <f>估价对象房地状况!G3</f>
        <v>估价对象位于大兴开发区，周边1公里范围内有平客集文华创业园、北京锦秋文化创意产业园等，产业集聚程度较好。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85" t="s">
        <v>2557</v>
      </c>
      <c r="Q15" s="1812" t="str">
        <f t="shared" si="6"/>
        <v>产业集聚程度</v>
      </c>
      <c r="R15" s="774" t="s">
        <v>17</v>
      </c>
      <c r="S15" s="775">
        <f t="shared" si="0"/>
        <v>100</v>
      </c>
      <c r="T15" s="774" t="s">
        <v>17</v>
      </c>
      <c r="U15" s="775">
        <f t="shared" si="1"/>
        <v>100</v>
      </c>
      <c r="V15" s="774" t="s">
        <v>17</v>
      </c>
      <c r="W15" s="775">
        <f t="shared" si="2"/>
        <v>100</v>
      </c>
      <c r="X15" s="1815"/>
      <c r="Y15" s="3185" t="s">
        <v>2557</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86"/>
      <c r="Q16" s="1812"/>
      <c r="R16" s="774"/>
      <c r="S16" s="775"/>
      <c r="T16" s="774"/>
      <c r="U16" s="775"/>
      <c r="V16" s="774"/>
      <c r="W16" s="775"/>
      <c r="X16" s="1815"/>
      <c r="Y16" s="3186"/>
      <c r="Z16" s="1816"/>
      <c r="AA16" s="1813">
        <v>1</v>
      </c>
      <c r="AB16" s="1813">
        <v>1</v>
      </c>
      <c r="AC16" s="1813">
        <v>1</v>
      </c>
    </row>
    <row r="17" spans="1:29" ht="99.75">
      <c r="A17" s="428"/>
      <c r="B17" s="451" t="s">
        <v>2095</v>
      </c>
      <c r="C17" s="2609" t="str">
        <f>估价对象房地状况!G4</f>
        <v>周边1公里范围内有专67路、954路、兴36路等公交线路，停车便捷度较好，交通便捷度一般。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86"/>
      <c r="Q18" s="1812"/>
      <c r="R18" s="774"/>
      <c r="S18" s="775"/>
      <c r="T18" s="774"/>
      <c r="U18" s="775"/>
      <c r="V18" s="774"/>
      <c r="W18" s="775"/>
      <c r="X18" s="1815"/>
      <c r="Y18" s="3186"/>
      <c r="Z18" s="1816"/>
      <c r="AA18" s="1813">
        <v>1</v>
      </c>
      <c r="AB18" s="1813">
        <v>1</v>
      </c>
      <c r="AC18" s="1813">
        <v>1</v>
      </c>
    </row>
    <row r="19" spans="1:29" ht="57">
      <c r="A19" s="428"/>
      <c r="B19" s="451" t="s">
        <v>2685</v>
      </c>
      <c r="C19" s="2609" t="str">
        <f>估价对象房地状况!G5</f>
        <v>周边2公里内有银行、超市、餐饮等配套，公共服务设施一般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6"/>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86"/>
      <c r="Q20" s="1812"/>
      <c r="R20" s="774"/>
      <c r="S20" s="775"/>
      <c r="T20" s="774"/>
      <c r="U20" s="775"/>
      <c r="V20" s="774"/>
      <c r="W20" s="775"/>
      <c r="X20" s="1815"/>
      <c r="Y20" s="3186"/>
      <c r="Z20" s="1816"/>
      <c r="AA20" s="1813">
        <v>1</v>
      </c>
      <c r="AB20" s="1813">
        <v>1</v>
      </c>
      <c r="AC20" s="1813">
        <v>1</v>
      </c>
    </row>
    <row r="21" spans="1:29" ht="15">
      <c r="A21" s="428"/>
      <c r="B21" s="1386" t="s">
        <v>2686</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6"/>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86"/>
      <c r="Q22" s="1812"/>
      <c r="R22" s="774"/>
      <c r="S22" s="775"/>
      <c r="T22" s="774"/>
      <c r="U22" s="775"/>
      <c r="V22" s="774"/>
      <c r="W22" s="775"/>
      <c r="X22" s="1815"/>
      <c r="Y22" s="3186"/>
      <c r="Z22" s="1816"/>
      <c r="AA22" s="1813">
        <v>1</v>
      </c>
      <c r="AB22" s="1813">
        <v>1</v>
      </c>
      <c r="AC22" s="1813">
        <v>1</v>
      </c>
    </row>
    <row r="23" spans="1:29" ht="71.25">
      <c r="A23" s="428"/>
      <c r="B23" s="451" t="s">
        <v>2687</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6"/>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86"/>
      <c r="Q24" s="1812"/>
      <c r="R24" s="774"/>
      <c r="S24" s="775"/>
      <c r="T24" s="774"/>
      <c r="U24" s="775"/>
      <c r="V24" s="774"/>
      <c r="W24" s="775"/>
      <c r="X24" s="1815"/>
      <c r="Y24" s="3186"/>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6"/>
      <c r="Q25" s="1812">
        <f>B25</f>
        <v>111</v>
      </c>
      <c r="R25" s="774" t="s">
        <v>17</v>
      </c>
      <c r="S25" s="775">
        <f>F25</f>
        <v>100</v>
      </c>
      <c r="T25" s="774" t="s">
        <v>17</v>
      </c>
      <c r="U25" s="775">
        <f>H25</f>
        <v>100</v>
      </c>
      <c r="V25" s="774" t="s">
        <v>17</v>
      </c>
      <c r="W25" s="775">
        <f>J25</f>
        <v>100</v>
      </c>
      <c r="X25" s="1815"/>
      <c r="Y25" s="3186"/>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6"/>
      <c r="Q26" s="1812">
        <f t="shared" ref="Q26:Q40" si="11">B26</f>
        <v>111</v>
      </c>
      <c r="R26" s="774" t="s">
        <v>17</v>
      </c>
      <c r="S26" s="775">
        <f>F26</f>
        <v>100</v>
      </c>
      <c r="T26" s="774" t="s">
        <v>17</v>
      </c>
      <c r="U26" s="775">
        <f>H26</f>
        <v>100</v>
      </c>
      <c r="V26" s="774" t="s">
        <v>17</v>
      </c>
      <c r="W26" s="775">
        <f>J26</f>
        <v>100</v>
      </c>
      <c r="X26" s="1815"/>
      <c r="Y26" s="3186"/>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6"/>
      <c r="Q27" s="1797">
        <f t="shared" si="11"/>
        <v>111</v>
      </c>
      <c r="R27" s="770" t="s">
        <v>17</v>
      </c>
      <c r="S27" s="771">
        <f>F27</f>
        <v>100</v>
      </c>
      <c r="T27" s="770" t="s">
        <v>17</v>
      </c>
      <c r="U27" s="771">
        <f>H27</f>
        <v>100</v>
      </c>
      <c r="V27" s="770" t="s">
        <v>17</v>
      </c>
      <c r="W27" s="771">
        <f>J27</f>
        <v>100</v>
      </c>
      <c r="X27" s="772"/>
      <c r="Y27" s="3186"/>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6"/>
      <c r="Q28" s="1812">
        <f t="shared" si="11"/>
        <v>111</v>
      </c>
      <c r="R28" s="774" t="s">
        <v>17</v>
      </c>
      <c r="S28" s="775">
        <f t="shared" ref="S28:S40" si="12">F28</f>
        <v>100</v>
      </c>
      <c r="T28" s="774" t="s">
        <v>17</v>
      </c>
      <c r="U28" s="775">
        <f t="shared" ref="U28:U40" si="13">H28</f>
        <v>100</v>
      </c>
      <c r="V28" s="774" t="s">
        <v>17</v>
      </c>
      <c r="W28" s="775">
        <f t="shared" ref="W28:W40" si="14">J28</f>
        <v>100</v>
      </c>
      <c r="X28" s="1815"/>
      <c r="Y28" s="3186"/>
      <c r="Z28" s="1816">
        <f t="shared" ref="Z28:Z40" si="15">Q28</f>
        <v>111</v>
      </c>
      <c r="AA28" s="1813">
        <f t="shared" si="3"/>
        <v>1</v>
      </c>
      <c r="AB28" s="1813">
        <f t="shared" si="4"/>
        <v>1</v>
      </c>
      <c r="AC28" s="1813">
        <f t="shared" si="5"/>
        <v>1</v>
      </c>
    </row>
    <row r="29" spans="1:29" ht="1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02" t="s">
        <v>2562</v>
      </c>
      <c r="Q29" s="1812" t="str">
        <f t="shared" si="11"/>
        <v>建筑类型</v>
      </c>
      <c r="R29" s="774" t="s">
        <v>17</v>
      </c>
      <c r="S29" s="775">
        <f t="shared" si="12"/>
        <v>100</v>
      </c>
      <c r="T29" s="774" t="s">
        <v>17</v>
      </c>
      <c r="U29" s="775">
        <f t="shared" si="13"/>
        <v>100</v>
      </c>
      <c r="V29" s="774" t="s">
        <v>17</v>
      </c>
      <c r="W29" s="775">
        <f t="shared" si="14"/>
        <v>100</v>
      </c>
      <c r="X29" s="1815"/>
      <c r="Y29" s="3187" t="s">
        <v>2562</v>
      </c>
      <c r="Z29" s="1816" t="str">
        <f t="shared" si="15"/>
        <v>建筑类型</v>
      </c>
      <c r="AA29" s="1813">
        <f t="shared" si="3"/>
        <v>1</v>
      </c>
      <c r="AB29" s="1813">
        <f t="shared" si="4"/>
        <v>1</v>
      </c>
      <c r="AC29" s="181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13" t="e">
        <f t="shared" si="3"/>
        <v>#N/A</v>
      </c>
      <c r="AB30" s="1813" t="e">
        <f t="shared" si="4"/>
        <v>#N/A</v>
      </c>
      <c r="AC30" s="181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7"/>
      <c r="Q31" s="1812" t="str">
        <f t="shared" si="11"/>
        <v>建筑结构</v>
      </c>
      <c r="R31" s="774" t="s">
        <v>17</v>
      </c>
      <c r="S31" s="775">
        <f t="shared" si="12"/>
        <v>100</v>
      </c>
      <c r="T31" s="774" t="s">
        <v>17</v>
      </c>
      <c r="U31" s="775">
        <f t="shared" si="13"/>
        <v>100</v>
      </c>
      <c r="V31" s="774" t="s">
        <v>17</v>
      </c>
      <c r="W31" s="775">
        <f t="shared" si="14"/>
        <v>100</v>
      </c>
      <c r="X31" s="1815"/>
      <c r="Y31" s="3187"/>
      <c r="Z31" s="1816" t="str">
        <f t="shared" si="15"/>
        <v>建筑结构</v>
      </c>
      <c r="AA31" s="1813">
        <f t="shared" si="3"/>
        <v>1</v>
      </c>
      <c r="AB31" s="1813">
        <f t="shared" si="4"/>
        <v>1</v>
      </c>
      <c r="AC31" s="181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7"/>
      <c r="Q32" s="1812" t="str">
        <f t="shared" si="11"/>
        <v>公共部分装修</v>
      </c>
      <c r="R32" s="774" t="s">
        <v>17</v>
      </c>
      <c r="S32" s="775">
        <f t="shared" si="12"/>
        <v>100</v>
      </c>
      <c r="T32" s="774" t="s">
        <v>17</v>
      </c>
      <c r="U32" s="775">
        <f t="shared" si="13"/>
        <v>100</v>
      </c>
      <c r="V32" s="774" t="s">
        <v>17</v>
      </c>
      <c r="W32" s="775">
        <f t="shared" si="14"/>
        <v>100</v>
      </c>
      <c r="X32" s="1815"/>
      <c r="Y32" s="3187"/>
      <c r="Z32" s="1816" t="str">
        <f t="shared" si="15"/>
        <v>公共部分装修</v>
      </c>
      <c r="AA32" s="1813">
        <f t="shared" si="3"/>
        <v>1</v>
      </c>
      <c r="AB32" s="1813">
        <f t="shared" si="4"/>
        <v>1</v>
      </c>
      <c r="AC32" s="181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7"/>
      <c r="Q33" s="1812" t="str">
        <f t="shared" si="11"/>
        <v>成新度</v>
      </c>
      <c r="R33" s="774" t="s">
        <v>17</v>
      </c>
      <c r="S33" s="775" t="e">
        <f t="shared" si="12"/>
        <v>#N/A</v>
      </c>
      <c r="T33" s="774" t="s">
        <v>17</v>
      </c>
      <c r="U33" s="775" t="e">
        <f t="shared" si="13"/>
        <v>#N/A</v>
      </c>
      <c r="V33" s="774" t="s">
        <v>17</v>
      </c>
      <c r="W33" s="775" t="e">
        <f t="shared" si="14"/>
        <v>#N/A</v>
      </c>
      <c r="X33" s="1815"/>
      <c r="Y33" s="3187"/>
      <c r="Z33" s="1816" t="str">
        <f t="shared" si="15"/>
        <v>成新度</v>
      </c>
      <c r="AA33" s="1813" t="e">
        <f t="shared" si="3"/>
        <v>#N/A</v>
      </c>
      <c r="AB33" s="1813" t="e">
        <f t="shared" si="4"/>
        <v>#N/A</v>
      </c>
      <c r="AC33" s="181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7"/>
      <c r="Q34" s="1797"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7" t="s">
        <v>2562</v>
      </c>
      <c r="Q35" s="1812" t="str">
        <f t="shared" si="11"/>
        <v>市政基础设施</v>
      </c>
      <c r="R35" s="774" t="s">
        <v>17</v>
      </c>
      <c r="S35" s="775">
        <f t="shared" si="12"/>
        <v>100</v>
      </c>
      <c r="T35" s="774" t="s">
        <v>17</v>
      </c>
      <c r="U35" s="775">
        <f t="shared" si="13"/>
        <v>100</v>
      </c>
      <c r="V35" s="774" t="s">
        <v>17</v>
      </c>
      <c r="W35" s="775">
        <f t="shared" si="14"/>
        <v>100</v>
      </c>
      <c r="X35" s="1815"/>
      <c r="Y35" s="3187" t="s">
        <v>2562</v>
      </c>
      <c r="Z35" s="1816" t="str">
        <f t="shared" si="15"/>
        <v>市政基础设施</v>
      </c>
      <c r="AA35" s="1813">
        <f t="shared" si="3"/>
        <v>1</v>
      </c>
      <c r="AB35" s="1813">
        <f t="shared" si="4"/>
        <v>1</v>
      </c>
      <c r="AC35" s="181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7"/>
      <c r="Q36" s="1812" t="str">
        <f t="shared" si="11"/>
        <v>内部装修</v>
      </c>
      <c r="R36" s="774" t="s">
        <v>17</v>
      </c>
      <c r="S36" s="775">
        <f t="shared" si="12"/>
        <v>100</v>
      </c>
      <c r="T36" s="774" t="s">
        <v>17</v>
      </c>
      <c r="U36" s="775">
        <f t="shared" si="13"/>
        <v>100</v>
      </c>
      <c r="V36" s="774" t="s">
        <v>17</v>
      </c>
      <c r="W36" s="775">
        <f t="shared" si="14"/>
        <v>100</v>
      </c>
      <c r="X36" s="1815"/>
      <c r="Y36" s="3187"/>
      <c r="Z36" s="1816" t="str">
        <f t="shared" si="15"/>
        <v>内部装修</v>
      </c>
      <c r="AA36" s="1813">
        <f t="shared" si="3"/>
        <v>1</v>
      </c>
      <c r="AB36" s="1813">
        <f t="shared" si="4"/>
        <v>1</v>
      </c>
      <c r="AC36" s="181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7"/>
      <c r="Q37" s="1812" t="str">
        <f t="shared" si="11"/>
        <v>内部装修状况</v>
      </c>
      <c r="R37" s="774" t="s">
        <v>17</v>
      </c>
      <c r="S37" s="775">
        <f t="shared" si="12"/>
        <v>100</v>
      </c>
      <c r="T37" s="774" t="s">
        <v>17</v>
      </c>
      <c r="U37" s="775">
        <f t="shared" si="13"/>
        <v>100</v>
      </c>
      <c r="V37" s="774" t="s">
        <v>17</v>
      </c>
      <c r="W37" s="775">
        <f t="shared" si="14"/>
        <v>100</v>
      </c>
      <c r="X37" s="1815"/>
      <c r="Y37" s="318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7"/>
      <c r="Q39" s="1812">
        <f t="shared" si="11"/>
        <v>111</v>
      </c>
      <c r="R39" s="774" t="s">
        <v>17</v>
      </c>
      <c r="S39" s="775">
        <f t="shared" si="12"/>
        <v>100</v>
      </c>
      <c r="T39" s="774" t="s">
        <v>17</v>
      </c>
      <c r="U39" s="775">
        <f t="shared" si="13"/>
        <v>100</v>
      </c>
      <c r="V39" s="774" t="s">
        <v>17</v>
      </c>
      <c r="W39" s="775">
        <f t="shared" si="14"/>
        <v>100</v>
      </c>
      <c r="X39" s="1815"/>
      <c r="Y39" s="3187"/>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9"/>
      <c r="Q40" s="1812">
        <f t="shared" si="11"/>
        <v>111</v>
      </c>
      <c r="R40" s="774" t="s">
        <v>17</v>
      </c>
      <c r="S40" s="775">
        <f t="shared" si="12"/>
        <v>100</v>
      </c>
      <c r="T40" s="774" t="s">
        <v>17</v>
      </c>
      <c r="U40" s="775">
        <f t="shared" si="13"/>
        <v>100</v>
      </c>
      <c r="V40" s="774" t="s">
        <v>17</v>
      </c>
      <c r="W40" s="775">
        <f t="shared" si="14"/>
        <v>100</v>
      </c>
      <c r="X40" s="1815"/>
      <c r="Y40" s="3239"/>
      <c r="Z40" s="1816">
        <f t="shared" si="15"/>
        <v>111</v>
      </c>
      <c r="AA40" s="1813">
        <f t="shared" si="3"/>
        <v>1</v>
      </c>
      <c r="AB40" s="1813">
        <f t="shared" si="4"/>
        <v>1</v>
      </c>
      <c r="AC40" s="1813">
        <f t="shared" si="5"/>
        <v>1</v>
      </c>
    </row>
    <row r="41" spans="1:29" ht="15">
      <c r="A41" s="479" t="s">
        <v>2574</v>
      </c>
      <c r="B41" s="480"/>
      <c r="C41" s="1409" t="s">
        <v>1</v>
      </c>
      <c r="D41" s="1410"/>
      <c r="E41" s="1411"/>
      <c r="F41" s="1412"/>
      <c r="G41" s="1413"/>
      <c r="H41" s="1414"/>
      <c r="I41" s="1411"/>
      <c r="J41" s="1414"/>
      <c r="K41" s="783"/>
      <c r="L41" s="1145"/>
      <c r="M41" s="1146"/>
      <c r="N41" s="1133"/>
      <c r="O41" s="1146"/>
      <c r="P41" s="3168" t="str">
        <f>A41</f>
        <v>成交单价（元/平方米）</v>
      </c>
      <c r="Q41" s="3168"/>
      <c r="R41" s="3235">
        <f>E41</f>
        <v>0</v>
      </c>
      <c r="S41" s="3235"/>
      <c r="T41" s="3235">
        <f>G41</f>
        <v>0</v>
      </c>
      <c r="U41" s="3235"/>
      <c r="V41" s="3235">
        <f>I41</f>
        <v>0</v>
      </c>
      <c r="W41" s="3235"/>
      <c r="X41" s="759"/>
      <c r="Y41" s="781"/>
      <c r="Z41" s="759"/>
      <c r="AA41" s="759"/>
      <c r="AB41" s="759"/>
      <c r="AC41" s="759"/>
    </row>
    <row r="42" spans="1:29" ht="15.75" thickBot="1">
      <c r="A42" s="486" t="s">
        <v>2666</v>
      </c>
      <c r="B42" s="487"/>
      <c r="C42" s="1415" t="e">
        <f>R43</f>
        <v>#DIV/0!</v>
      </c>
      <c r="D42" s="1416"/>
      <c r="E42" s="1417" t="e">
        <f>R42</f>
        <v>#DIV/0!</v>
      </c>
      <c r="F42" s="1417"/>
      <c r="G42" s="1415" t="e">
        <f>T42</f>
        <v>#DIV/0!</v>
      </c>
      <c r="H42" s="1416"/>
      <c r="I42" s="1417" t="e">
        <f>V42</f>
        <v>#DIV/0!</v>
      </c>
      <c r="J42" s="1416"/>
      <c r="K42" s="784"/>
      <c r="L42" s="1145"/>
      <c r="M42" s="1146"/>
      <c r="N42" s="1133"/>
      <c r="O42" s="1146"/>
      <c r="P42" s="3168" t="str">
        <f>A42</f>
        <v>比较价值（元/平方米）</v>
      </c>
      <c r="Q42" s="3168"/>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2667</v>
      </c>
      <c r="B43" s="493"/>
      <c r="C43" s="1419" t="e">
        <f>R43</f>
        <v>#DIV/0!</v>
      </c>
      <c r="D43" s="1419"/>
      <c r="E43" s="1419"/>
      <c r="F43" s="1419"/>
      <c r="G43" s="1419"/>
      <c r="H43" s="1419"/>
      <c r="I43" s="1419"/>
      <c r="J43" s="1419"/>
      <c r="K43" s="785"/>
      <c r="L43" s="1145"/>
      <c r="M43" s="1146"/>
      <c r="N43" s="1146"/>
      <c r="O43" s="1146"/>
      <c r="P43" s="3203" t="str">
        <f>A43</f>
        <v>估价对象XX用房的比较价值（楼面单价，元/平方米）</v>
      </c>
      <c r="Q43" s="3204"/>
      <c r="R43" s="3234" t="e">
        <f>IF(F1="售价",ROUND(AVERAGE(R42:V42),0),ROUND(AVERAGE(R42:V42),1))</f>
        <v>#DIV/0!</v>
      </c>
      <c r="S43" s="3234"/>
      <c r="T43" s="3234"/>
      <c r="U43" s="3234"/>
      <c r="V43" s="3234"/>
      <c r="W43" s="3234"/>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2671</v>
      </c>
      <c r="B51" s="759"/>
      <c r="C51" s="764"/>
      <c r="D51" s="764"/>
      <c r="E51" s="764"/>
      <c r="F51" s="765"/>
      <c r="G51" s="765"/>
      <c r="H51" s="764"/>
      <c r="I51" s="764"/>
      <c r="J51" s="764"/>
      <c r="K51" s="1162"/>
      <c r="L51" s="1163"/>
      <c r="M51" s="1161"/>
      <c r="N51" s="1161"/>
      <c r="O51" s="1161"/>
      <c r="P51" s="503"/>
      <c r="Q51" s="504"/>
    </row>
    <row r="52" spans="1:17" s="508" customFormat="1" ht="15">
      <c r="A52" s="505" t="s">
        <v>2545</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3" priority="16" stopIfTrue="1" operator="containsText" text="超过">
      <formula>NOT(ISERROR(SEARCH("超过",F46)))</formula>
    </cfRule>
  </conditionalFormatting>
  <conditionalFormatting sqref="H48">
    <cfRule type="containsText" dxfId="62" priority="15" stopIfTrue="1" operator="containsText" text="超过">
      <formula>NOT(ISERROR(SEARCH("超过",H48)))</formula>
    </cfRule>
  </conditionalFormatting>
  <conditionalFormatting sqref="F48">
    <cfRule type="containsText" dxfId="61" priority="14" stopIfTrue="1" operator="containsText" text="超过">
      <formula>NOT(ISERROR(SEARCH("超过",F48)))</formula>
    </cfRule>
  </conditionalFormatting>
  <conditionalFormatting sqref="F47 H47">
    <cfRule type="containsText" dxfId="60" priority="13" stopIfTrue="1" operator="containsText" text="超过">
      <formula>NOT(ISERROR(SEARCH("超过",F47)))</formula>
    </cfRule>
  </conditionalFormatting>
  <conditionalFormatting sqref="E46">
    <cfRule type="expression" dxfId="59" priority="12" stopIfTrue="1">
      <formula>$F$46="超过30%"</formula>
    </cfRule>
  </conditionalFormatting>
  <conditionalFormatting sqref="E47">
    <cfRule type="expression" dxfId="58" priority="11" stopIfTrue="1">
      <formula>$F$47="超过20%"</formula>
    </cfRule>
  </conditionalFormatting>
  <conditionalFormatting sqref="E48">
    <cfRule type="expression" dxfId="57" priority="10" stopIfTrue="1">
      <formula>$F$48="超过30%"</formula>
    </cfRule>
  </conditionalFormatting>
  <conditionalFormatting sqref="G48">
    <cfRule type="expression" dxfId="56" priority="9" stopIfTrue="1">
      <formula>$H$48="超过30%"</formula>
    </cfRule>
  </conditionalFormatting>
  <conditionalFormatting sqref="G46">
    <cfRule type="expression" dxfId="55" priority="8" stopIfTrue="1">
      <formula>$H$46="超过30%"</formula>
    </cfRule>
  </conditionalFormatting>
  <conditionalFormatting sqref="G47">
    <cfRule type="expression" dxfId="54" priority="7" stopIfTrue="1">
      <formula>$H$47="超过20%"</formula>
    </cfRule>
  </conditionalFormatting>
  <conditionalFormatting sqref="J46">
    <cfRule type="containsText" dxfId="53" priority="6" stopIfTrue="1" operator="containsText" text="超过">
      <formula>NOT(ISERROR(SEARCH("超过",J46)))</formula>
    </cfRule>
  </conditionalFormatting>
  <conditionalFormatting sqref="J48">
    <cfRule type="containsText" dxfId="52" priority="5" stopIfTrue="1" operator="containsText" text="超过">
      <formula>NOT(ISERROR(SEARCH("超过",J48)))</formula>
    </cfRule>
  </conditionalFormatting>
  <conditionalFormatting sqref="J47">
    <cfRule type="containsText" dxfId="51" priority="4" stopIfTrue="1" operator="containsText" text="超过">
      <formula>NOT(ISERROR(SEARCH("超过",J47)))</formula>
    </cfRule>
  </conditionalFormatting>
  <conditionalFormatting sqref="I46">
    <cfRule type="expression" dxfId="50" priority="3" stopIfTrue="1">
      <formula>$J$46="超过30%"</formula>
    </cfRule>
  </conditionalFormatting>
  <conditionalFormatting sqref="I47">
    <cfRule type="expression" dxfId="49" priority="2" stopIfTrue="1">
      <formula>$J$47="超过20%"</formula>
    </cfRule>
  </conditionalFormatting>
  <conditionalFormatting sqref="I48">
    <cfRule type="expression" dxfId="4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24"/>
      <c r="F1" s="2586"/>
      <c r="G1" s="1625" t="s">
        <v>2640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2324</v>
      </c>
      <c r="B2" s="1420" t="e">
        <f ca="1">IF(C2="——",IF(B37="元/平方米",ROUND(C39*D3/10000,0),ROUND(F3*C39/10000,0)),IF(B37="元/平方米",ROUND(C39*D3/10000,0),ROUND(F3*C39/10000,0))-D2)</f>
        <v>#DIV/0!</v>
      </c>
      <c r="C2" s="2588"/>
      <c r="D2" s="1126" t="e">
        <f ca="1">SUMIF(INDIRECT("'"&amp;F2&amp;"'"&amp;"!A:A"),"承租人权益价值",INDIRECT("'"&amp;F2&amp;"'"&amp;"!c:c"))</f>
        <v>#REF!</v>
      </c>
      <c r="E2" s="2589" t="s">
        <v>2325</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2642</v>
      </c>
      <c r="B4" s="402"/>
      <c r="C4" s="3165" t="s">
        <v>2643</v>
      </c>
      <c r="D4" s="3191"/>
      <c r="E4" s="3192" t="s">
        <v>2644</v>
      </c>
      <c r="F4" s="3193"/>
      <c r="G4" s="3165" t="s">
        <v>2645</v>
      </c>
      <c r="H4" s="3191"/>
      <c r="I4" s="3165" t="s">
        <v>2646</v>
      </c>
      <c r="J4" s="3191"/>
      <c r="K4" s="610" t="s">
        <v>2647</v>
      </c>
      <c r="L4" s="1132"/>
      <c r="M4" s="1133"/>
      <c r="N4" s="1133"/>
      <c r="O4" s="1133"/>
      <c r="P4" s="3194" t="s">
        <v>2648</v>
      </c>
      <c r="Q4" s="3195"/>
      <c r="R4" s="3172" t="s">
        <v>2644</v>
      </c>
      <c r="S4" s="3173"/>
      <c r="T4" s="3172" t="s">
        <v>2645</v>
      </c>
      <c r="U4" s="3173"/>
      <c r="V4" s="3184" t="s">
        <v>2646</v>
      </c>
      <c r="W4" s="3184"/>
      <c r="X4" s="1815"/>
      <c r="Y4" s="3172" t="s">
        <v>2648</v>
      </c>
      <c r="Z4" s="3173"/>
      <c r="AA4" s="3188" t="s">
        <v>2644</v>
      </c>
      <c r="AB4" s="3189" t="s">
        <v>2645</v>
      </c>
      <c r="AC4" s="3188" t="s">
        <v>2646</v>
      </c>
    </row>
    <row r="5" spans="1:29" ht="15">
      <c r="A5" s="404"/>
      <c r="B5" s="405"/>
      <c r="C5" s="3176" t="s">
        <v>2539</v>
      </c>
      <c r="D5" s="3177"/>
      <c r="E5" s="3200" t="s">
        <v>2540</v>
      </c>
      <c r="F5" s="3201"/>
      <c r="G5" s="3176" t="s">
        <v>2541</v>
      </c>
      <c r="H5" s="3177"/>
      <c r="I5" s="3176" t="s">
        <v>2542</v>
      </c>
      <c r="J5" s="3177"/>
      <c r="K5" s="610"/>
      <c r="L5" s="1132"/>
      <c r="M5" s="1133"/>
      <c r="N5" s="1133"/>
      <c r="O5" s="1133"/>
      <c r="P5" s="3196"/>
      <c r="Q5" s="3197"/>
      <c r="R5" s="3174"/>
      <c r="S5" s="3175"/>
      <c r="T5" s="3174"/>
      <c r="U5" s="3175"/>
      <c r="V5" s="3184"/>
      <c r="W5" s="3184"/>
      <c r="X5" s="1815"/>
      <c r="Y5" s="3174"/>
      <c r="Z5" s="3175"/>
      <c r="AA5" s="3189"/>
      <c r="AB5" s="3189"/>
      <c r="AC5" s="3189"/>
    </row>
    <row r="6" spans="1:29" ht="15.75" thickBot="1">
      <c r="A6" s="406"/>
      <c r="B6" s="407"/>
      <c r="C6" s="3242" t="s">
        <v>2543</v>
      </c>
      <c r="D6" s="3243"/>
      <c r="E6" s="3244" t="s">
        <v>2543</v>
      </c>
      <c r="F6" s="3245"/>
      <c r="G6" s="3242" t="s">
        <v>2543</v>
      </c>
      <c r="H6" s="3243"/>
      <c r="I6" s="3242" t="s">
        <v>2543</v>
      </c>
      <c r="J6" s="3243"/>
      <c r="K6" s="610" t="s">
        <v>2544</v>
      </c>
      <c r="L6" s="1132"/>
      <c r="M6" s="1133"/>
      <c r="N6" s="1133"/>
      <c r="O6" s="1133"/>
      <c r="P6" s="3198"/>
      <c r="Q6" s="3199"/>
      <c r="R6" s="3174"/>
      <c r="S6" s="3175"/>
      <c r="T6" s="3182"/>
      <c r="U6" s="3183"/>
      <c r="V6" s="3184"/>
      <c r="W6" s="3184"/>
      <c r="X6" s="1815"/>
      <c r="Y6" s="3182"/>
      <c r="Z6" s="3183"/>
      <c r="AA6" s="3190"/>
      <c r="AB6" s="3190"/>
      <c r="AC6" s="3190"/>
    </row>
    <row r="7" spans="1:29" s="117" customFormat="1" ht="15.75" thickBot="1">
      <c r="A7" s="408" t="s">
        <v>2545</v>
      </c>
      <c r="B7" s="409"/>
      <c r="C7" s="410">
        <f>'数据-取费表'!B2</f>
        <v>43297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70" t="s">
        <v>2546</v>
      </c>
      <c r="Q7" s="3180"/>
      <c r="R7" s="770" t="s">
        <v>17</v>
      </c>
      <c r="S7" s="771">
        <f t="shared" ref="S7:S14" si="0">F7</f>
        <v>0</v>
      </c>
      <c r="T7" s="770" t="s">
        <v>17</v>
      </c>
      <c r="U7" s="771">
        <f t="shared" ref="U7:U14" si="1">H7</f>
        <v>0</v>
      </c>
      <c r="V7" s="770" t="s">
        <v>17</v>
      </c>
      <c r="W7" s="771">
        <f t="shared" ref="W7:W14" si="2">J7</f>
        <v>0</v>
      </c>
      <c r="X7" s="772"/>
      <c r="Y7" s="3170" t="s">
        <v>2546</v>
      </c>
      <c r="Z7" s="3171"/>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70" t="s">
        <v>2549</v>
      </c>
      <c r="Q8" s="3171"/>
      <c r="R8" s="770" t="s">
        <v>17</v>
      </c>
      <c r="S8" s="771">
        <f t="shared" si="0"/>
        <v>0</v>
      </c>
      <c r="T8" s="770" t="s">
        <v>17</v>
      </c>
      <c r="U8" s="771">
        <f t="shared" si="1"/>
        <v>0</v>
      </c>
      <c r="V8" s="770" t="s">
        <v>17</v>
      </c>
      <c r="W8" s="771">
        <f t="shared" si="2"/>
        <v>0</v>
      </c>
      <c r="X8" s="772"/>
      <c r="Y8" s="3170" t="s">
        <v>2549</v>
      </c>
      <c r="Z8" s="3171"/>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8" t="s">
        <v>2552</v>
      </c>
      <c r="Q9" s="1797" t="str">
        <f t="shared" ref="Q9:Q14" si="6">B9</f>
        <v>用途</v>
      </c>
      <c r="R9" s="770" t="s">
        <v>17</v>
      </c>
      <c r="S9" s="771">
        <f t="shared" si="0"/>
        <v>100</v>
      </c>
      <c r="T9" s="770" t="s">
        <v>17</v>
      </c>
      <c r="U9" s="771">
        <f t="shared" si="1"/>
        <v>100</v>
      </c>
      <c r="V9" s="770" t="s">
        <v>17</v>
      </c>
      <c r="W9" s="771">
        <f t="shared" si="2"/>
        <v>100</v>
      </c>
      <c r="X9" s="772"/>
      <c r="Y9" s="3020"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8"/>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8"/>
      <c r="Q11" s="179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8"/>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8"/>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5" t="s">
        <v>2557</v>
      </c>
      <c r="Q14" s="1812" t="str">
        <f t="shared" si="6"/>
        <v>交通便捷度</v>
      </c>
      <c r="R14" s="774" t="s">
        <v>17</v>
      </c>
      <c r="S14" s="775">
        <f t="shared" si="0"/>
        <v>100</v>
      </c>
      <c r="T14" s="774" t="s">
        <v>17</v>
      </c>
      <c r="U14" s="775">
        <f t="shared" si="1"/>
        <v>100</v>
      </c>
      <c r="V14" s="774" t="s">
        <v>17</v>
      </c>
      <c r="W14" s="775">
        <f t="shared" si="2"/>
        <v>100</v>
      </c>
      <c r="X14" s="1815"/>
      <c r="Y14" s="3185" t="s">
        <v>2557</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86"/>
      <c r="Q15" s="1812"/>
      <c r="R15" s="774"/>
      <c r="S15" s="775"/>
      <c r="T15" s="774"/>
      <c r="U15" s="775"/>
      <c r="V15" s="774"/>
      <c r="W15" s="775"/>
      <c r="X15" s="1815"/>
      <c r="Y15" s="3186"/>
      <c r="Z15" s="1816"/>
      <c r="AA15" s="1813">
        <v>1</v>
      </c>
      <c r="AB15" s="1813">
        <v>1</v>
      </c>
      <c r="AC15" s="1813">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86"/>
      <c r="Q17" s="1812"/>
      <c r="R17" s="774"/>
      <c r="S17" s="775"/>
      <c r="T17" s="774"/>
      <c r="U17" s="775"/>
      <c r="V17" s="774"/>
      <c r="W17" s="775"/>
      <c r="X17" s="1815"/>
      <c r="Y17" s="3186"/>
      <c r="Z17" s="1816"/>
      <c r="AA17" s="1813">
        <v>1</v>
      </c>
      <c r="AB17" s="1813">
        <v>1</v>
      </c>
      <c r="AC17" s="1813">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86"/>
      <c r="Q19" s="1812"/>
      <c r="R19" s="774"/>
      <c r="S19" s="775"/>
      <c r="T19" s="774"/>
      <c r="U19" s="775"/>
      <c r="V19" s="774"/>
      <c r="W19" s="775"/>
      <c r="X19" s="1815"/>
      <c r="Y19" s="3186"/>
      <c r="Z19" s="1816"/>
      <c r="AA19" s="1813">
        <v>1</v>
      </c>
      <c r="AB19" s="1813">
        <v>1</v>
      </c>
      <c r="AC19" s="1813">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86"/>
      <c r="Q21" s="1812"/>
      <c r="R21" s="774"/>
      <c r="S21" s="775"/>
      <c r="T21" s="774"/>
      <c r="U21" s="775"/>
      <c r="V21" s="774"/>
      <c r="W21" s="775"/>
      <c r="X21" s="1815"/>
      <c r="Y21" s="3186"/>
      <c r="Z21" s="1816"/>
      <c r="AA21" s="1813">
        <v>1</v>
      </c>
      <c r="AB21" s="1813">
        <v>1</v>
      </c>
      <c r="AC21" s="181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6"/>
      <c r="Q24" s="1812">
        <f t="shared" ref="Q24:Q36"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2" t="s">
        <v>2562</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7" t="s">
        <v>2562</v>
      </c>
      <c r="Z26" s="1816" t="str">
        <f t="shared" ref="Z26:Z36" si="15">Q26</f>
        <v>配套类型</v>
      </c>
      <c r="AA26" s="1813">
        <f t="shared" si="3"/>
        <v>1</v>
      </c>
      <c r="AB26" s="1813">
        <f t="shared" si="4"/>
        <v>1</v>
      </c>
      <c r="AC26" s="181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3">
        <f t="shared" si="3"/>
        <v>1</v>
      </c>
      <c r="AB27" s="1813">
        <f t="shared" si="4"/>
        <v>1</v>
      </c>
      <c r="AC27" s="181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7"/>
      <c r="Q28" s="1812" t="str">
        <f t="shared" si="11"/>
        <v>公共部分装修</v>
      </c>
      <c r="R28" s="774" t="s">
        <v>17</v>
      </c>
      <c r="S28" s="775">
        <f t="shared" si="12"/>
        <v>100</v>
      </c>
      <c r="T28" s="774" t="s">
        <v>17</v>
      </c>
      <c r="U28" s="775">
        <f t="shared" si="13"/>
        <v>100</v>
      </c>
      <c r="V28" s="774" t="s">
        <v>17</v>
      </c>
      <c r="W28" s="775">
        <f t="shared" si="14"/>
        <v>100</v>
      </c>
      <c r="X28" s="1815"/>
      <c r="Y28" s="3187"/>
      <c r="Z28" s="1816" t="str">
        <f t="shared" si="15"/>
        <v>公共部分装修</v>
      </c>
      <c r="AA28" s="1813">
        <f t="shared" si="3"/>
        <v>1</v>
      </c>
      <c r="AB28" s="1813">
        <f t="shared" si="4"/>
        <v>1</v>
      </c>
      <c r="AC28" s="181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7"/>
      <c r="Q29" s="1812" t="str">
        <f t="shared" si="11"/>
        <v>成新率</v>
      </c>
      <c r="R29" s="774" t="s">
        <v>17</v>
      </c>
      <c r="S29" s="775" t="e">
        <f t="shared" si="12"/>
        <v>#N/A</v>
      </c>
      <c r="T29" s="774" t="s">
        <v>17</v>
      </c>
      <c r="U29" s="775" t="e">
        <f t="shared" si="13"/>
        <v>#N/A</v>
      </c>
      <c r="V29" s="774" t="s">
        <v>17</v>
      </c>
      <c r="W29" s="775" t="e">
        <f t="shared" si="14"/>
        <v>#N/A</v>
      </c>
      <c r="X29" s="1815"/>
      <c r="Y29" s="3187"/>
      <c r="Z29" s="1816" t="str">
        <f t="shared" si="15"/>
        <v>成新率</v>
      </c>
      <c r="AA29" s="1813" t="e">
        <f t="shared" si="3"/>
        <v>#N/A</v>
      </c>
      <c r="AB29" s="1813" t="e">
        <f t="shared" si="4"/>
        <v>#N/A</v>
      </c>
      <c r="AC29" s="181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87"/>
      <c r="Q30" s="1812" t="str">
        <f t="shared" si="11"/>
        <v>物业等级</v>
      </c>
      <c r="R30" s="774" t="s">
        <v>17</v>
      </c>
      <c r="S30" s="775">
        <f t="shared" si="12"/>
        <v>100</v>
      </c>
      <c r="T30" s="774" t="s">
        <v>17</v>
      </c>
      <c r="U30" s="775">
        <f t="shared" si="13"/>
        <v>100</v>
      </c>
      <c r="V30" s="774" t="s">
        <v>17</v>
      </c>
      <c r="W30" s="775">
        <f t="shared" si="14"/>
        <v>100</v>
      </c>
      <c r="X30" s="1815"/>
      <c r="Y30" s="3187"/>
      <c r="Z30" s="1816" t="str">
        <f t="shared" si="15"/>
        <v>物业等级</v>
      </c>
      <c r="AA30" s="1813">
        <f t="shared" si="3"/>
        <v>1</v>
      </c>
      <c r="AB30" s="1813">
        <f t="shared" si="4"/>
        <v>1</v>
      </c>
      <c r="AC30" s="181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7"/>
      <c r="Q31" s="1797"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7" t="s">
        <v>2562</v>
      </c>
      <c r="Q32" s="1812" t="str">
        <f t="shared" si="11"/>
        <v>车位类型</v>
      </c>
      <c r="R32" s="774" t="s">
        <v>17</v>
      </c>
      <c r="S32" s="775">
        <f t="shared" si="12"/>
        <v>100</v>
      </c>
      <c r="T32" s="774" t="s">
        <v>17</v>
      </c>
      <c r="U32" s="775">
        <f t="shared" si="13"/>
        <v>100</v>
      </c>
      <c r="V32" s="774" t="s">
        <v>17</v>
      </c>
      <c r="W32" s="775">
        <f t="shared" si="14"/>
        <v>100</v>
      </c>
      <c r="X32" s="1815"/>
      <c r="Y32" s="3187" t="s">
        <v>2562</v>
      </c>
      <c r="Z32" s="1816" t="str">
        <f t="shared" si="15"/>
        <v>车位类型</v>
      </c>
      <c r="AA32" s="1813">
        <f t="shared" si="3"/>
        <v>1</v>
      </c>
      <c r="AB32" s="1813">
        <f t="shared" si="4"/>
        <v>1</v>
      </c>
      <c r="AC32" s="181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7"/>
      <c r="Q33" s="1812" t="str">
        <f t="shared" si="11"/>
        <v>是否直接入户</v>
      </c>
      <c r="R33" s="774" t="s">
        <v>17</v>
      </c>
      <c r="S33" s="775">
        <f t="shared" si="12"/>
        <v>100</v>
      </c>
      <c r="T33" s="774" t="s">
        <v>17</v>
      </c>
      <c r="U33" s="775">
        <f t="shared" si="13"/>
        <v>100</v>
      </c>
      <c r="V33" s="774" t="s">
        <v>17</v>
      </c>
      <c r="W33" s="775">
        <f t="shared" si="14"/>
        <v>100</v>
      </c>
      <c r="X33" s="1815"/>
      <c r="Y33" s="318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7"/>
      <c r="Q34" s="1812">
        <f t="shared" si="11"/>
        <v>111</v>
      </c>
      <c r="R34" s="774" t="s">
        <v>17</v>
      </c>
      <c r="S34" s="775">
        <f t="shared" si="12"/>
        <v>100</v>
      </c>
      <c r="T34" s="774" t="s">
        <v>17</v>
      </c>
      <c r="U34" s="775">
        <f t="shared" si="13"/>
        <v>100</v>
      </c>
      <c r="V34" s="774" t="s">
        <v>17</v>
      </c>
      <c r="W34" s="775">
        <f t="shared" si="14"/>
        <v>100</v>
      </c>
      <c r="X34" s="1815"/>
      <c r="Y34" s="318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7"/>
      <c r="Q36" s="1812">
        <f t="shared" si="11"/>
        <v>111</v>
      </c>
      <c r="R36" s="774" t="s">
        <v>17</v>
      </c>
      <c r="S36" s="775">
        <f t="shared" si="12"/>
        <v>100</v>
      </c>
      <c r="T36" s="774" t="s">
        <v>17</v>
      </c>
      <c r="U36" s="775">
        <f t="shared" si="13"/>
        <v>100</v>
      </c>
      <c r="V36" s="774" t="s">
        <v>17</v>
      </c>
      <c r="W36" s="775">
        <f t="shared" si="14"/>
        <v>100</v>
      </c>
      <c r="X36" s="1815"/>
      <c r="Y36" s="3187"/>
      <c r="Z36" s="1816">
        <f t="shared" si="15"/>
        <v>111</v>
      </c>
      <c r="AA36" s="1813">
        <f t="shared" si="3"/>
        <v>1</v>
      </c>
      <c r="AB36" s="1813">
        <f t="shared" si="4"/>
        <v>1</v>
      </c>
      <c r="AC36" s="1813">
        <f t="shared" si="5"/>
        <v>1</v>
      </c>
    </row>
    <row r="37" spans="1:29" ht="15">
      <c r="A37" s="479" t="s">
        <v>2717</v>
      </c>
      <c r="B37" s="2697" t="s">
        <v>2718</v>
      </c>
      <c r="C37" s="1409" t="s">
        <v>1</v>
      </c>
      <c r="D37" s="1410"/>
      <c r="E37" s="1411"/>
      <c r="F37" s="1412"/>
      <c r="G37" s="1413"/>
      <c r="H37" s="1414"/>
      <c r="I37" s="1411"/>
      <c r="J37" s="1414"/>
      <c r="K37" s="619"/>
      <c r="L37" s="1145"/>
      <c r="M37" s="1146"/>
      <c r="N37" s="1133"/>
      <c r="O37" s="1146"/>
      <c r="P37" s="3168" t="str">
        <f>A37</f>
        <v>成交单价</v>
      </c>
      <c r="Q37" s="3168"/>
      <c r="R37" s="3235">
        <f>E37</f>
        <v>0</v>
      </c>
      <c r="S37" s="3235"/>
      <c r="T37" s="3235">
        <f>G37</f>
        <v>0</v>
      </c>
      <c r="U37" s="3235"/>
      <c r="V37" s="3235">
        <f>I37</f>
        <v>0</v>
      </c>
      <c r="W37" s="3235"/>
      <c r="X37" s="759"/>
      <c r="Y37" s="781"/>
      <c r="Z37" s="759"/>
      <c r="AA37" s="759"/>
      <c r="AB37" s="759"/>
      <c r="AC37" s="759"/>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8" t="str">
        <f>A38</f>
        <v>比较价值（元/平方米）</v>
      </c>
      <c r="Q38" s="3168"/>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2720</v>
      </c>
      <c r="B39" s="493"/>
      <c r="C39" s="1419" t="e">
        <f>R39</f>
        <v>#DIV/0!</v>
      </c>
      <c r="D39" s="1419"/>
      <c r="E39" s="1419"/>
      <c r="F39" s="1419"/>
      <c r="G39" s="1419"/>
      <c r="H39" s="1419"/>
      <c r="I39" s="1419"/>
      <c r="J39" s="1419"/>
      <c r="K39" s="621"/>
      <c r="L39" s="1145"/>
      <c r="M39" s="1146"/>
      <c r="N39" s="1146"/>
      <c r="O39" s="1146"/>
      <c r="P39" s="3203" t="str">
        <f>A39</f>
        <v>估价对象XX用房的比较价值（楼面单价，元/平方米）</v>
      </c>
      <c r="Q39" s="3204"/>
      <c r="R39" s="3234" t="e">
        <f>IF(F1="售价",ROUND(AVERAGE(R38:V38),0),ROUND(AVERAGE(R38:V38),1))</f>
        <v>#DIV/0!</v>
      </c>
      <c r="S39" s="3234"/>
      <c r="T39" s="3234"/>
      <c r="U39" s="3234"/>
      <c r="V39" s="3234"/>
      <c r="W39" s="3234"/>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7" priority="14" stopIfTrue="1" operator="containsText" text="超过">
      <formula>NOT(ISERROR(SEARCH("超过",F42)))</formula>
    </cfRule>
  </conditionalFormatting>
  <conditionalFormatting sqref="J44">
    <cfRule type="containsText" dxfId="46" priority="13" stopIfTrue="1" operator="containsText" text="超过">
      <formula>NOT(ISERROR(SEARCH("超过",J44)))</formula>
    </cfRule>
  </conditionalFormatting>
  <conditionalFormatting sqref="H44">
    <cfRule type="containsText" dxfId="45" priority="12" stopIfTrue="1" operator="containsText" text="超过">
      <formula>NOT(ISERROR(SEARCH("超过",H44)))</formula>
    </cfRule>
  </conditionalFormatting>
  <conditionalFormatting sqref="F44">
    <cfRule type="containsText" dxfId="44" priority="11" stopIfTrue="1" operator="containsText" text="超过">
      <formula>NOT(ISERROR(SEARCH("超过",F44)))</formula>
    </cfRule>
  </conditionalFormatting>
  <conditionalFormatting sqref="F43 H43 J43">
    <cfRule type="containsText" dxfId="43" priority="10" stopIfTrue="1" operator="containsText" text="超过">
      <formula>NOT(ISERROR(SEARCH("超过",F43)))</formula>
    </cfRule>
  </conditionalFormatting>
  <conditionalFormatting sqref="E42">
    <cfRule type="expression" dxfId="42" priority="9" stopIfTrue="1">
      <formula>$F$42="超过30%"</formula>
    </cfRule>
  </conditionalFormatting>
  <conditionalFormatting sqref="G44">
    <cfRule type="expression" dxfId="41" priority="8" stopIfTrue="1">
      <formula>$H$54+$H$44="超过30%"</formula>
    </cfRule>
  </conditionalFormatting>
  <conditionalFormatting sqref="E43">
    <cfRule type="expression" dxfId="40" priority="7" stopIfTrue="1">
      <formula>$F$43="超过20%"</formula>
    </cfRule>
  </conditionalFormatting>
  <conditionalFormatting sqref="E44">
    <cfRule type="expression" dxfId="39" priority="6" stopIfTrue="1">
      <formula>$F$44="超过30%"</formula>
    </cfRule>
  </conditionalFormatting>
  <conditionalFormatting sqref="G42">
    <cfRule type="expression" dxfId="38" priority="5" stopIfTrue="1">
      <formula>$H$52+$H$42="超过30%"</formula>
    </cfRule>
  </conditionalFormatting>
  <conditionalFormatting sqref="G43">
    <cfRule type="expression" dxfId="37" priority="4" stopIfTrue="1">
      <formula>$H$43="超过20%"</formula>
    </cfRule>
  </conditionalFormatting>
  <conditionalFormatting sqref="I42">
    <cfRule type="expression" dxfId="36" priority="3" stopIfTrue="1">
      <formula>$J$52+$J$42="超过30%"</formula>
    </cfRule>
  </conditionalFormatting>
  <conditionalFormatting sqref="I43">
    <cfRule type="expression" dxfId="35" priority="2" stopIfTrue="1">
      <formula>$J$53+$J$43="超过20%"</formula>
    </cfRule>
  </conditionalFormatting>
  <conditionalFormatting sqref="I44">
    <cfRule type="expression" dxfId="3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32"/>
      <c r="F1" s="2586"/>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2324</v>
      </c>
      <c r="B2" s="1420" t="e">
        <f ca="1">IF(C2="——",ROUND(C37*D3/10000,0),ROUND(C37*D3/10000,0)-D2)</f>
        <v>#DIV/0!</v>
      </c>
      <c r="C2" s="2588"/>
      <c r="D2" s="1126" t="e">
        <f ca="1">SUMIF(INDIRECT("'"&amp;F2&amp;"'"&amp;"!A:A"),"承租人权益价值",INDIRECT("'"&amp;F2&amp;"'"&amp;"!c:c"))</f>
        <v>#REF!</v>
      </c>
      <c r="E2" s="2589" t="s">
        <v>2325</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2642</v>
      </c>
      <c r="B4" s="402"/>
      <c r="C4" s="3165" t="s">
        <v>2643</v>
      </c>
      <c r="D4" s="3191"/>
      <c r="E4" s="3192" t="s">
        <v>2644</v>
      </c>
      <c r="F4" s="3193"/>
      <c r="G4" s="3165" t="s">
        <v>2645</v>
      </c>
      <c r="H4" s="3191"/>
      <c r="I4" s="3165" t="s">
        <v>2646</v>
      </c>
      <c r="J4" s="3191"/>
      <c r="K4" s="610" t="s">
        <v>2647</v>
      </c>
      <c r="L4" s="1132"/>
      <c r="M4" s="1133"/>
      <c r="N4" s="1133"/>
      <c r="O4" s="1133"/>
      <c r="P4" s="3194" t="s">
        <v>2648</v>
      </c>
      <c r="Q4" s="3195"/>
      <c r="R4" s="3172" t="s">
        <v>2644</v>
      </c>
      <c r="S4" s="3173"/>
      <c r="T4" s="3172" t="s">
        <v>2645</v>
      </c>
      <c r="U4" s="3173"/>
      <c r="V4" s="3184" t="s">
        <v>2646</v>
      </c>
      <c r="W4" s="3184"/>
      <c r="X4" s="1815"/>
      <c r="Y4" s="3172" t="s">
        <v>2648</v>
      </c>
      <c r="Z4" s="3173"/>
      <c r="AA4" s="3188" t="s">
        <v>2644</v>
      </c>
      <c r="AB4" s="3189" t="s">
        <v>2645</v>
      </c>
      <c r="AC4" s="3188" t="s">
        <v>2646</v>
      </c>
    </row>
    <row r="5" spans="1:29" ht="15">
      <c r="A5" s="404"/>
      <c r="B5" s="405"/>
      <c r="C5" s="3176" t="s">
        <v>2539</v>
      </c>
      <c r="D5" s="3177"/>
      <c r="E5" s="3200" t="s">
        <v>2540</v>
      </c>
      <c r="F5" s="3201"/>
      <c r="G5" s="3176" t="s">
        <v>2541</v>
      </c>
      <c r="H5" s="3177"/>
      <c r="I5" s="3176" t="s">
        <v>2542</v>
      </c>
      <c r="J5" s="3177"/>
      <c r="K5" s="610"/>
      <c r="L5" s="1132"/>
      <c r="M5" s="1133"/>
      <c r="N5" s="1133"/>
      <c r="O5" s="1133"/>
      <c r="P5" s="3196"/>
      <c r="Q5" s="3197"/>
      <c r="R5" s="3174"/>
      <c r="S5" s="3175"/>
      <c r="T5" s="3174"/>
      <c r="U5" s="3175"/>
      <c r="V5" s="3184"/>
      <c r="W5" s="3184"/>
      <c r="X5" s="1815"/>
      <c r="Y5" s="3174"/>
      <c r="Z5" s="3175"/>
      <c r="AA5" s="3189"/>
      <c r="AB5" s="3189"/>
      <c r="AC5" s="3189"/>
    </row>
    <row r="6" spans="1:29" ht="15.75" thickBot="1">
      <c r="A6" s="406"/>
      <c r="B6" s="407"/>
      <c r="C6" s="3242" t="s">
        <v>2543</v>
      </c>
      <c r="D6" s="3243"/>
      <c r="E6" s="3244" t="s">
        <v>2543</v>
      </c>
      <c r="F6" s="3245"/>
      <c r="G6" s="3242" t="s">
        <v>2543</v>
      </c>
      <c r="H6" s="3243"/>
      <c r="I6" s="3242" t="s">
        <v>2543</v>
      </c>
      <c r="J6" s="3243"/>
      <c r="K6" s="610" t="s">
        <v>2544</v>
      </c>
      <c r="L6" s="1132"/>
      <c r="M6" s="1133"/>
      <c r="N6" s="1133"/>
      <c r="O6" s="1133"/>
      <c r="P6" s="3198"/>
      <c r="Q6" s="3199"/>
      <c r="R6" s="3174"/>
      <c r="S6" s="3175"/>
      <c r="T6" s="3182"/>
      <c r="U6" s="3183"/>
      <c r="V6" s="3184"/>
      <c r="W6" s="3184"/>
      <c r="X6" s="1815"/>
      <c r="Y6" s="3182"/>
      <c r="Z6" s="3183"/>
      <c r="AA6" s="3190"/>
      <c r="AB6" s="3190"/>
      <c r="AC6" s="3190"/>
    </row>
    <row r="7" spans="1:29" s="117" customFormat="1" ht="15.75" thickBot="1">
      <c r="A7" s="408" t="s">
        <v>2545</v>
      </c>
      <c r="B7" s="409"/>
      <c r="C7" s="410">
        <f>'数据-取费表'!B2</f>
        <v>43297</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70" t="s">
        <v>2546</v>
      </c>
      <c r="Q7" s="3180"/>
      <c r="R7" s="770" t="s">
        <v>17</v>
      </c>
      <c r="S7" s="771">
        <f t="shared" ref="S7:S14" si="0">F7</f>
        <v>0</v>
      </c>
      <c r="T7" s="770" t="s">
        <v>17</v>
      </c>
      <c r="U7" s="771">
        <f t="shared" ref="U7:U14" si="1">H7</f>
        <v>0</v>
      </c>
      <c r="V7" s="770" t="s">
        <v>17</v>
      </c>
      <c r="W7" s="771">
        <f t="shared" ref="W7:W14" si="2">J7</f>
        <v>0</v>
      </c>
      <c r="X7" s="772"/>
      <c r="Y7" s="3170" t="s">
        <v>2546</v>
      </c>
      <c r="Z7" s="3171"/>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70" t="s">
        <v>2549</v>
      </c>
      <c r="Q8" s="3171"/>
      <c r="R8" s="770" t="s">
        <v>17</v>
      </c>
      <c r="S8" s="771">
        <f t="shared" si="0"/>
        <v>0</v>
      </c>
      <c r="T8" s="770" t="s">
        <v>17</v>
      </c>
      <c r="U8" s="771">
        <f t="shared" si="1"/>
        <v>0</v>
      </c>
      <c r="V8" s="770" t="s">
        <v>17</v>
      </c>
      <c r="W8" s="771">
        <f t="shared" si="2"/>
        <v>0</v>
      </c>
      <c r="X8" s="772"/>
      <c r="Y8" s="3170" t="s">
        <v>2549</v>
      </c>
      <c r="Z8" s="3171"/>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8" t="s">
        <v>2552</v>
      </c>
      <c r="Q9" s="1797" t="str">
        <f t="shared" ref="Q9:Q14" si="6">B9</f>
        <v>用途</v>
      </c>
      <c r="R9" s="770" t="s">
        <v>17</v>
      </c>
      <c r="S9" s="771">
        <f t="shared" si="0"/>
        <v>100</v>
      </c>
      <c r="T9" s="770" t="s">
        <v>17</v>
      </c>
      <c r="U9" s="771">
        <f t="shared" si="1"/>
        <v>100</v>
      </c>
      <c r="V9" s="770" t="s">
        <v>17</v>
      </c>
      <c r="W9" s="771">
        <f t="shared" si="2"/>
        <v>100</v>
      </c>
      <c r="X9" s="772"/>
      <c r="Y9" s="3020"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8"/>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8"/>
      <c r="Q11" s="179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8"/>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68"/>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5" t="s">
        <v>2557</v>
      </c>
      <c r="Q14" s="1812" t="str">
        <f t="shared" si="6"/>
        <v>交通便捷度</v>
      </c>
      <c r="R14" s="774" t="s">
        <v>17</v>
      </c>
      <c r="S14" s="775">
        <f t="shared" si="0"/>
        <v>100</v>
      </c>
      <c r="T14" s="774" t="s">
        <v>17</v>
      </c>
      <c r="U14" s="775">
        <f t="shared" si="1"/>
        <v>100</v>
      </c>
      <c r="V14" s="774" t="s">
        <v>17</v>
      </c>
      <c r="W14" s="775">
        <f t="shared" si="2"/>
        <v>100</v>
      </c>
      <c r="X14" s="1815"/>
      <c r="Y14" s="3185" t="s">
        <v>2557</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86"/>
      <c r="Q15" s="1812"/>
      <c r="R15" s="774"/>
      <c r="S15" s="775"/>
      <c r="T15" s="774"/>
      <c r="U15" s="775"/>
      <c r="V15" s="774"/>
      <c r="W15" s="775"/>
      <c r="X15" s="1815"/>
      <c r="Y15" s="3186"/>
      <c r="Z15" s="1816"/>
      <c r="AA15" s="1813">
        <v>1</v>
      </c>
      <c r="AB15" s="1813">
        <v>1</v>
      </c>
      <c r="AC15" s="1813">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86"/>
      <c r="Q17" s="1812"/>
      <c r="R17" s="774"/>
      <c r="S17" s="775"/>
      <c r="T17" s="774"/>
      <c r="U17" s="775"/>
      <c r="V17" s="774"/>
      <c r="W17" s="775"/>
      <c r="X17" s="1815"/>
      <c r="Y17" s="3186"/>
      <c r="Z17" s="1816"/>
      <c r="AA17" s="1813">
        <v>1</v>
      </c>
      <c r="AB17" s="1813">
        <v>1</v>
      </c>
      <c r="AC17" s="1813">
        <v>1</v>
      </c>
    </row>
    <row r="18" spans="1:29" ht="28.5">
      <c r="A18" s="428"/>
      <c r="B18" s="1386"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86"/>
      <c r="Q19" s="1812"/>
      <c r="R19" s="774"/>
      <c r="S19" s="775"/>
      <c r="T19" s="774"/>
      <c r="U19" s="775"/>
      <c r="V19" s="774"/>
      <c r="W19" s="775"/>
      <c r="X19" s="1815"/>
      <c r="Y19" s="3186"/>
      <c r="Z19" s="1816"/>
      <c r="AA19" s="1813">
        <v>1</v>
      </c>
      <c r="AB19" s="1813">
        <v>1</v>
      </c>
      <c r="AC19" s="1813">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86"/>
      <c r="Q21" s="1812"/>
      <c r="R21" s="774"/>
      <c r="S21" s="775"/>
      <c r="T21" s="774"/>
      <c r="U21" s="775"/>
      <c r="V21" s="774"/>
      <c r="W21" s="775"/>
      <c r="X21" s="1815"/>
      <c r="Y21" s="3186"/>
      <c r="Z21" s="1816"/>
      <c r="AA21" s="1813">
        <v>1</v>
      </c>
      <c r="AB21" s="1813">
        <v>1</v>
      </c>
      <c r="AC21" s="181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6"/>
      <c r="Q24" s="1812">
        <f t="shared" ref="Q24:Q34"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02" t="s">
        <v>2562</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7" t="s">
        <v>2562</v>
      </c>
      <c r="Z26" s="1816" t="str">
        <f t="shared" ref="Z26:Z34" si="15">Q26</f>
        <v>公共部分装修</v>
      </c>
      <c r="AA26" s="1813">
        <f t="shared" si="3"/>
        <v>1</v>
      </c>
      <c r="AB26" s="1813">
        <f t="shared" si="4"/>
        <v>1</v>
      </c>
      <c r="AC26" s="181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3" t="e">
        <f t="shared" si="3"/>
        <v>#N/A</v>
      </c>
      <c r="AB27" s="1813" t="e">
        <f t="shared" si="4"/>
        <v>#N/A</v>
      </c>
      <c r="AC27" s="181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7"/>
      <c r="Q28" s="1812" t="str">
        <f t="shared" si="11"/>
        <v>物业等级</v>
      </c>
      <c r="R28" s="774" t="s">
        <v>17</v>
      </c>
      <c r="S28" s="775">
        <f t="shared" si="12"/>
        <v>100</v>
      </c>
      <c r="T28" s="774" t="s">
        <v>17</v>
      </c>
      <c r="U28" s="775">
        <f t="shared" si="13"/>
        <v>100</v>
      </c>
      <c r="V28" s="774" t="s">
        <v>17</v>
      </c>
      <c r="W28" s="775">
        <f t="shared" si="14"/>
        <v>100</v>
      </c>
      <c r="X28" s="1815"/>
      <c r="Y28" s="3187"/>
      <c r="Z28" s="1816" t="str">
        <f t="shared" si="15"/>
        <v>物业等级</v>
      </c>
      <c r="AA28" s="1813">
        <f t="shared" si="3"/>
        <v>1</v>
      </c>
      <c r="AB28" s="1813">
        <f t="shared" si="4"/>
        <v>1</v>
      </c>
      <c r="AC28" s="181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87"/>
      <c r="Q29" s="1812" t="str">
        <f t="shared" si="11"/>
        <v>有无电梯</v>
      </c>
      <c r="R29" s="774" t="s">
        <v>17</v>
      </c>
      <c r="S29" s="775">
        <f t="shared" si="12"/>
        <v>100</v>
      </c>
      <c r="T29" s="774" t="s">
        <v>17</v>
      </c>
      <c r="U29" s="775">
        <f t="shared" si="13"/>
        <v>100</v>
      </c>
      <c r="V29" s="774" t="s">
        <v>17</v>
      </c>
      <c r="W29" s="775">
        <f t="shared" si="14"/>
        <v>100</v>
      </c>
      <c r="X29" s="1815"/>
      <c r="Y29" s="3187"/>
      <c r="Z29" s="1816" t="str">
        <f t="shared" si="15"/>
        <v>有无电梯</v>
      </c>
      <c r="AA29" s="1813">
        <f t="shared" si="3"/>
        <v>1</v>
      </c>
      <c r="AB29" s="1813">
        <f t="shared" si="4"/>
        <v>1</v>
      </c>
      <c r="AC29" s="181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7"/>
      <c r="Q30" s="1812" t="str">
        <f t="shared" si="11"/>
        <v>建筑面积</v>
      </c>
      <c r="R30" s="774" t="s">
        <v>17</v>
      </c>
      <c r="S30" s="775" t="e">
        <f t="shared" si="12"/>
        <v>#N/A</v>
      </c>
      <c r="T30" s="774" t="s">
        <v>17</v>
      </c>
      <c r="U30" s="775" t="e">
        <f t="shared" si="13"/>
        <v>#N/A</v>
      </c>
      <c r="V30" s="774" t="s">
        <v>17</v>
      </c>
      <c r="W30" s="775" t="e">
        <f t="shared" si="14"/>
        <v>#N/A</v>
      </c>
      <c r="X30" s="1815"/>
      <c r="Y30" s="3187"/>
      <c r="Z30" s="1816" t="str">
        <f t="shared" si="15"/>
        <v>建筑面积</v>
      </c>
      <c r="AA30" s="1813" t="e">
        <f t="shared" si="3"/>
        <v>#N/A</v>
      </c>
      <c r="AB30" s="1813" t="e">
        <f t="shared" si="4"/>
        <v>#N/A</v>
      </c>
      <c r="AC30" s="181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87"/>
      <c r="Q31" s="1797"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7" t="s">
        <v>2562</v>
      </c>
      <c r="Q32" s="1812">
        <f t="shared" si="11"/>
        <v>111</v>
      </c>
      <c r="R32" s="774" t="s">
        <v>17</v>
      </c>
      <c r="S32" s="775">
        <f t="shared" si="12"/>
        <v>100</v>
      </c>
      <c r="T32" s="774" t="s">
        <v>17</v>
      </c>
      <c r="U32" s="775">
        <f t="shared" si="13"/>
        <v>100</v>
      </c>
      <c r="V32" s="774" t="s">
        <v>17</v>
      </c>
      <c r="W32" s="775">
        <f t="shared" si="14"/>
        <v>100</v>
      </c>
      <c r="X32" s="1815"/>
      <c r="Y32" s="3187" t="s">
        <v>2562</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7"/>
      <c r="Q33" s="1812">
        <f t="shared" si="11"/>
        <v>111</v>
      </c>
      <c r="R33" s="774" t="s">
        <v>17</v>
      </c>
      <c r="S33" s="775">
        <f t="shared" si="12"/>
        <v>100</v>
      </c>
      <c r="T33" s="774" t="s">
        <v>17</v>
      </c>
      <c r="U33" s="775">
        <f t="shared" si="13"/>
        <v>100</v>
      </c>
      <c r="V33" s="774" t="s">
        <v>17</v>
      </c>
      <c r="W33" s="775">
        <f t="shared" si="14"/>
        <v>100</v>
      </c>
      <c r="X33" s="1815"/>
      <c r="Y33" s="3187"/>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87"/>
      <c r="Q34" s="1812">
        <f t="shared" si="11"/>
        <v>111</v>
      </c>
      <c r="R34" s="774" t="s">
        <v>17</v>
      </c>
      <c r="S34" s="775">
        <f t="shared" si="12"/>
        <v>100</v>
      </c>
      <c r="T34" s="774" t="s">
        <v>17</v>
      </c>
      <c r="U34" s="775">
        <f t="shared" si="13"/>
        <v>100</v>
      </c>
      <c r="V34" s="774" t="s">
        <v>17</v>
      </c>
      <c r="W34" s="775">
        <f t="shared" si="14"/>
        <v>100</v>
      </c>
      <c r="X34" s="1815"/>
      <c r="Y34" s="3187"/>
      <c r="Z34" s="1816">
        <f t="shared" si="15"/>
        <v>111</v>
      </c>
      <c r="AA34" s="1813">
        <f t="shared" si="3"/>
        <v>1</v>
      </c>
      <c r="AB34" s="1813">
        <f t="shared" si="4"/>
        <v>1</v>
      </c>
      <c r="AC34" s="1813">
        <f t="shared" si="5"/>
        <v>1</v>
      </c>
    </row>
    <row r="35" spans="1:29" ht="15">
      <c r="A35" s="479" t="s">
        <v>2574</v>
      </c>
      <c r="B35" s="480"/>
      <c r="C35" s="1409" t="s">
        <v>1</v>
      </c>
      <c r="D35" s="1410"/>
      <c r="E35" s="1411"/>
      <c r="F35" s="1412"/>
      <c r="G35" s="1413"/>
      <c r="H35" s="1414"/>
      <c r="I35" s="1411"/>
      <c r="J35" s="1414"/>
      <c r="K35" s="783"/>
      <c r="L35" s="1145"/>
      <c r="M35" s="1146"/>
      <c r="N35" s="1133"/>
      <c r="O35" s="1146"/>
      <c r="P35" s="3168" t="str">
        <f>A35</f>
        <v>成交单价（元/平方米）</v>
      </c>
      <c r="Q35" s="3168"/>
      <c r="R35" s="3235">
        <f>E35</f>
        <v>0</v>
      </c>
      <c r="S35" s="3235"/>
      <c r="T35" s="3235">
        <f>G35</f>
        <v>0</v>
      </c>
      <c r="U35" s="3235"/>
      <c r="V35" s="3235">
        <f>I35</f>
        <v>0</v>
      </c>
      <c r="W35" s="3235"/>
      <c r="X35" s="759"/>
      <c r="Y35" s="781"/>
      <c r="Z35" s="759"/>
      <c r="AA35" s="759"/>
      <c r="AB35" s="759"/>
      <c r="AC35" s="759"/>
    </row>
    <row r="36" spans="1:29" ht="15.75" thickBot="1">
      <c r="A36" s="486" t="s">
        <v>2666</v>
      </c>
      <c r="B36" s="487"/>
      <c r="C36" s="1415" t="e">
        <f>R37</f>
        <v>#DIV/0!</v>
      </c>
      <c r="D36" s="1416"/>
      <c r="E36" s="1417" t="e">
        <f>R36</f>
        <v>#DIV/0!</v>
      </c>
      <c r="F36" s="1417"/>
      <c r="G36" s="1415" t="e">
        <f>T36</f>
        <v>#DIV/0!</v>
      </c>
      <c r="H36" s="1416"/>
      <c r="I36" s="1417" t="e">
        <f>V36</f>
        <v>#DIV/0!</v>
      </c>
      <c r="J36" s="1416"/>
      <c r="K36" s="784"/>
      <c r="L36" s="1145"/>
      <c r="M36" s="1146"/>
      <c r="N36" s="1133"/>
      <c r="O36" s="1146"/>
      <c r="P36" s="3168" t="str">
        <f>A36</f>
        <v>比较价值（元/平方米）</v>
      </c>
      <c r="Q36" s="3168"/>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2667</v>
      </c>
      <c r="B37" s="493"/>
      <c r="C37" s="1419" t="e">
        <f>R37</f>
        <v>#DIV/0!</v>
      </c>
      <c r="D37" s="1419"/>
      <c r="E37" s="1419"/>
      <c r="F37" s="1419"/>
      <c r="G37" s="1419"/>
      <c r="H37" s="1419"/>
      <c r="I37" s="1419"/>
      <c r="J37" s="1419"/>
      <c r="K37" s="785"/>
      <c r="L37" s="1145"/>
      <c r="M37" s="1146"/>
      <c r="N37" s="1146"/>
      <c r="O37" s="1146"/>
      <c r="P37" s="3203" t="str">
        <f>A37</f>
        <v>估价对象XX用房的比较价值（楼面单价，元/平方米）</v>
      </c>
      <c r="Q37" s="3204"/>
      <c r="R37" s="3234" t="e">
        <f>IF(F1="售价",ROUND(AVERAGE(R36:V36),0),ROUND(AVERAGE(R36:V36),1))</f>
        <v>#DIV/0!</v>
      </c>
      <c r="S37" s="3234"/>
      <c r="T37" s="3234"/>
      <c r="U37" s="3234"/>
      <c r="V37" s="3234"/>
      <c r="W37" s="3234"/>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3" priority="14" stopIfTrue="1" operator="containsText" text="超过">
      <formula>NOT(ISERROR(SEARCH("超过",F40)))</formula>
    </cfRule>
  </conditionalFormatting>
  <conditionalFormatting sqref="J42">
    <cfRule type="containsText" dxfId="32" priority="13" stopIfTrue="1" operator="containsText" text="超过">
      <formula>NOT(ISERROR(SEARCH("超过",J42)))</formula>
    </cfRule>
  </conditionalFormatting>
  <conditionalFormatting sqref="H42">
    <cfRule type="containsText" dxfId="31" priority="12" stopIfTrue="1" operator="containsText" text="超过">
      <formula>NOT(ISERROR(SEARCH("超过",H42)))</formula>
    </cfRule>
  </conditionalFormatting>
  <conditionalFormatting sqref="F42">
    <cfRule type="containsText" dxfId="30" priority="11" stopIfTrue="1" operator="containsText" text="超过">
      <formula>NOT(ISERROR(SEARCH("超过",F42)))</formula>
    </cfRule>
  </conditionalFormatting>
  <conditionalFormatting sqref="F41 H41 J41">
    <cfRule type="containsText" dxfId="29" priority="10" stopIfTrue="1" operator="containsText" text="超过">
      <formula>NOT(ISERROR(SEARCH("超过",F41)))</formula>
    </cfRule>
  </conditionalFormatting>
  <conditionalFormatting sqref="E40">
    <cfRule type="expression" dxfId="28" priority="9" stopIfTrue="1">
      <formula>$F$40="超过30%"</formula>
    </cfRule>
  </conditionalFormatting>
  <conditionalFormatting sqref="G42">
    <cfRule type="expression" dxfId="27" priority="8" stopIfTrue="1">
      <formula>$H$54+$H$42="超过30%"</formula>
    </cfRule>
  </conditionalFormatting>
  <conditionalFormatting sqref="E41">
    <cfRule type="expression" dxfId="26" priority="7" stopIfTrue="1">
      <formula>$F$41="超过20%"</formula>
    </cfRule>
  </conditionalFormatting>
  <conditionalFormatting sqref="E42">
    <cfRule type="expression" dxfId="25" priority="6" stopIfTrue="1">
      <formula>$F$42="超过30%"</formula>
    </cfRule>
  </conditionalFormatting>
  <conditionalFormatting sqref="G40">
    <cfRule type="expression" dxfId="24" priority="5" stopIfTrue="1">
      <formula>$H$52+$H$40="超过30%"</formula>
    </cfRule>
  </conditionalFormatting>
  <conditionalFormatting sqref="G41">
    <cfRule type="expression" dxfId="23" priority="4" stopIfTrue="1">
      <formula>$H$53+$H$41="超过20%"</formula>
    </cfRule>
  </conditionalFormatting>
  <conditionalFormatting sqref="I40">
    <cfRule type="expression" dxfId="22" priority="3" stopIfTrue="1">
      <formula>$J$40="超过30%"</formula>
    </cfRule>
  </conditionalFormatting>
  <conditionalFormatting sqref="I41">
    <cfRule type="expression" dxfId="21" priority="2" stopIfTrue="1">
      <formula>$J$41="超过20%"</formula>
    </cfRule>
  </conditionalFormatting>
  <conditionalFormatting sqref="I42">
    <cfRule type="expression" dxfId="2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2642</v>
      </c>
      <c r="B4" s="402"/>
      <c r="C4" s="3165" t="s">
        <v>2643</v>
      </c>
      <c r="D4" s="3191"/>
      <c r="E4" s="3192" t="s">
        <v>2644</v>
      </c>
      <c r="F4" s="3193"/>
      <c r="G4" s="3165" t="s">
        <v>2645</v>
      </c>
      <c r="H4" s="3191"/>
      <c r="I4" s="3165" t="s">
        <v>2646</v>
      </c>
      <c r="J4" s="3191"/>
      <c r="K4" s="610" t="s">
        <v>2647</v>
      </c>
      <c r="L4" s="1132"/>
      <c r="M4" s="1133"/>
      <c r="N4" s="1133"/>
      <c r="O4" s="1133"/>
      <c r="P4" s="3194" t="s">
        <v>2648</v>
      </c>
      <c r="Q4" s="3195"/>
      <c r="R4" s="3172" t="s">
        <v>2644</v>
      </c>
      <c r="S4" s="3173"/>
      <c r="T4" s="3172" t="s">
        <v>2645</v>
      </c>
      <c r="U4" s="3173"/>
      <c r="V4" s="3184" t="s">
        <v>2646</v>
      </c>
      <c r="W4" s="3184"/>
      <c r="X4" s="1815"/>
      <c r="Y4" s="3172" t="s">
        <v>2648</v>
      </c>
      <c r="Z4" s="3173"/>
      <c r="AA4" s="3188" t="s">
        <v>2644</v>
      </c>
      <c r="AB4" s="3189" t="s">
        <v>2645</v>
      </c>
      <c r="AC4" s="3188" t="s">
        <v>2646</v>
      </c>
    </row>
    <row r="5" spans="1:30" ht="15">
      <c r="A5" s="404"/>
      <c r="B5" s="405"/>
      <c r="C5" s="3176" t="s">
        <v>2539</v>
      </c>
      <c r="D5" s="3177"/>
      <c r="E5" s="3200" t="s">
        <v>2540</v>
      </c>
      <c r="F5" s="3201"/>
      <c r="G5" s="3176" t="s">
        <v>2541</v>
      </c>
      <c r="H5" s="3177"/>
      <c r="I5" s="3176" t="s">
        <v>2542</v>
      </c>
      <c r="J5" s="3177"/>
      <c r="K5" s="610"/>
      <c r="L5" s="1132"/>
      <c r="M5" s="1133"/>
      <c r="N5" s="1133"/>
      <c r="O5" s="1133"/>
      <c r="P5" s="3196"/>
      <c r="Q5" s="3197"/>
      <c r="R5" s="3174"/>
      <c r="S5" s="3175"/>
      <c r="T5" s="3174"/>
      <c r="U5" s="3175"/>
      <c r="V5" s="3184"/>
      <c r="W5" s="3184"/>
      <c r="X5" s="1815"/>
      <c r="Y5" s="3174"/>
      <c r="Z5" s="3175"/>
      <c r="AA5" s="3189"/>
      <c r="AB5" s="3189"/>
      <c r="AC5" s="3189"/>
    </row>
    <row r="6" spans="1:30" ht="15.75" thickBot="1">
      <c r="A6" s="406"/>
      <c r="B6" s="407"/>
      <c r="C6" s="3242" t="s">
        <v>2543</v>
      </c>
      <c r="D6" s="3243"/>
      <c r="E6" s="3244" t="s">
        <v>2543</v>
      </c>
      <c r="F6" s="3245"/>
      <c r="G6" s="3242" t="s">
        <v>2543</v>
      </c>
      <c r="H6" s="3243"/>
      <c r="I6" s="3242" t="s">
        <v>2543</v>
      </c>
      <c r="J6" s="3243"/>
      <c r="K6" s="610" t="s">
        <v>2544</v>
      </c>
      <c r="L6" s="1132"/>
      <c r="M6" s="1133"/>
      <c r="N6" s="1133"/>
      <c r="O6" s="1133"/>
      <c r="P6" s="3198"/>
      <c r="Q6" s="3199"/>
      <c r="R6" s="3174"/>
      <c r="S6" s="3175"/>
      <c r="T6" s="3182"/>
      <c r="U6" s="3183"/>
      <c r="V6" s="3184"/>
      <c r="W6" s="3184"/>
      <c r="X6" s="1815"/>
      <c r="Y6" s="3182"/>
      <c r="Z6" s="3183"/>
      <c r="AA6" s="3190"/>
      <c r="AB6" s="3190"/>
      <c r="AC6" s="3190"/>
    </row>
    <row r="7" spans="1:30" s="117" customFormat="1" ht="15.75" thickBot="1">
      <c r="A7" s="408" t="s">
        <v>2545</v>
      </c>
      <c r="B7" s="409"/>
      <c r="C7" s="410">
        <f>'数据-取费表'!B2</f>
        <v>43297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70" t="s">
        <v>2546</v>
      </c>
      <c r="Q7" s="3180"/>
      <c r="R7" s="770" t="s">
        <v>17</v>
      </c>
      <c r="S7" s="771">
        <f t="shared" ref="S7:S15" si="0">F7</f>
        <v>0</v>
      </c>
      <c r="T7" s="770" t="s">
        <v>17</v>
      </c>
      <c r="U7" s="771">
        <f t="shared" ref="U7:U15" si="1">H7</f>
        <v>0</v>
      </c>
      <c r="V7" s="770" t="s">
        <v>17</v>
      </c>
      <c r="W7" s="771">
        <f t="shared" ref="W7:W15" si="2">J7</f>
        <v>0</v>
      </c>
      <c r="X7" s="772"/>
      <c r="Y7" s="3170" t="s">
        <v>2546</v>
      </c>
      <c r="Z7" s="3171"/>
      <c r="AA7" s="773" t="e">
        <f>D7/F7</f>
        <v>#DIV/0!</v>
      </c>
      <c r="AB7" s="773" t="e">
        <f>D7/H7</f>
        <v>#DIV/0!</v>
      </c>
      <c r="AC7" s="773" t="e">
        <f>D7/J7</f>
        <v>#DIV/0!</v>
      </c>
    </row>
    <row r="8" spans="1:30" s="117" customFormat="1" ht="15.75" thickBot="1">
      <c r="A8" s="408" t="s">
        <v>2547</v>
      </c>
      <c r="B8" s="409"/>
      <c r="C8" s="414" t="s">
        <v>2548</v>
      </c>
      <c r="D8" s="411">
        <v>100</v>
      </c>
      <c r="E8" s="414" t="s">
        <v>3072</v>
      </c>
      <c r="F8" s="413">
        <f>SUMIF(73:73,E8,74:74)-SUMIF(73:73,C8,74:74)+100</f>
        <v>100</v>
      </c>
      <c r="G8" s="414" t="s">
        <v>3072</v>
      </c>
      <c r="H8" s="411">
        <f>SUMIF(73:73,G8,74:74)-SUMIF(73:73,C8,74:74)+100</f>
        <v>100</v>
      </c>
      <c r="I8" s="414" t="s">
        <v>3072</v>
      </c>
      <c r="J8" s="411">
        <f>SUMIF(73:73,I8,74:74)-SUMIF(73:73,C8,74:74)+100</f>
        <v>100</v>
      </c>
      <c r="K8" s="611"/>
      <c r="L8" s="1134"/>
      <c r="M8" s="1135"/>
      <c r="N8" s="1135"/>
      <c r="O8" s="1135"/>
      <c r="P8" s="3170" t="s">
        <v>2549</v>
      </c>
      <c r="Q8" s="3171"/>
      <c r="R8" s="770" t="s">
        <v>17</v>
      </c>
      <c r="S8" s="771">
        <f t="shared" si="0"/>
        <v>100</v>
      </c>
      <c r="T8" s="770" t="s">
        <v>17</v>
      </c>
      <c r="U8" s="771">
        <f t="shared" si="1"/>
        <v>100</v>
      </c>
      <c r="V8" s="770" t="s">
        <v>17</v>
      </c>
      <c r="W8" s="771">
        <f t="shared" si="2"/>
        <v>100</v>
      </c>
      <c r="X8" s="772"/>
      <c r="Y8" s="3170" t="s">
        <v>2549</v>
      </c>
      <c r="Z8" s="3171"/>
      <c r="AA8" s="773">
        <f t="shared" ref="AA8:AA45" si="3">D8/F8</f>
        <v>1</v>
      </c>
      <c r="AB8" s="773">
        <f t="shared" ref="AB8:AB45" si="4">D8/H8</f>
        <v>1</v>
      </c>
      <c r="AC8" s="773">
        <f t="shared" ref="AC8:AC45" si="5">D8/J8</f>
        <v>1</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68" t="s">
        <v>2552</v>
      </c>
      <c r="Q9" s="1797" t="str">
        <f t="shared" ref="Q9:Q15" si="6">B9</f>
        <v>用途</v>
      </c>
      <c r="R9" s="770" t="s">
        <v>17</v>
      </c>
      <c r="S9" s="771">
        <f t="shared" si="0"/>
        <v>100</v>
      </c>
      <c r="T9" s="770" t="s">
        <v>17</v>
      </c>
      <c r="U9" s="771">
        <f t="shared" si="1"/>
        <v>100</v>
      </c>
      <c r="V9" s="770" t="s">
        <v>17</v>
      </c>
      <c r="W9" s="771">
        <f t="shared" si="2"/>
        <v>100</v>
      </c>
      <c r="X9" s="772"/>
      <c r="Y9" s="3020"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112</v>
      </c>
      <c r="G10" s="463"/>
      <c r="H10" s="136">
        <f>ROUND(100/'数据-取费表'!G16,0)</f>
        <v>112</v>
      </c>
      <c r="I10" s="463"/>
      <c r="J10" s="136">
        <f>ROUND(100/'数据-取费表'!G16,0)</f>
        <v>112</v>
      </c>
      <c r="K10" s="672"/>
      <c r="L10" s="1137"/>
      <c r="M10" s="1138"/>
      <c r="N10" s="1138"/>
      <c r="O10" s="1139"/>
      <c r="P10" s="3168"/>
      <c r="Q10" s="1797" t="str">
        <f t="shared" si="6"/>
        <v>土地使用年限（年）</v>
      </c>
      <c r="R10" s="770" t="s">
        <v>17</v>
      </c>
      <c r="S10" s="771">
        <f t="shared" si="0"/>
        <v>112</v>
      </c>
      <c r="T10" s="770" t="s">
        <v>17</v>
      </c>
      <c r="U10" s="771">
        <f t="shared" si="1"/>
        <v>112</v>
      </c>
      <c r="V10" s="770" t="s">
        <v>17</v>
      </c>
      <c r="W10" s="771">
        <f t="shared" si="2"/>
        <v>112</v>
      </c>
      <c r="X10" s="772"/>
      <c r="Y10" s="3020"/>
      <c r="Z10" s="55" t="str">
        <f t="shared" si="7"/>
        <v>土地使用年限（年）</v>
      </c>
      <c r="AA10" s="773">
        <f t="shared" si="3"/>
        <v>0.8928571428571429</v>
      </c>
      <c r="AB10" s="773">
        <f t="shared" si="4"/>
        <v>0.8928571428571429</v>
      </c>
      <c r="AC10" s="773">
        <f t="shared" si="5"/>
        <v>0.8928571428571429</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68"/>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8"/>
      <c r="Q12" s="1797"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8"/>
      <c r="Q13" s="1797">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8"/>
      <c r="Q14" s="1797">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2556</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85" t="s">
        <v>2557</v>
      </c>
      <c r="Q15" s="1812" t="str">
        <f t="shared" si="6"/>
        <v>居住社区成熟度</v>
      </c>
      <c r="R15" s="774" t="s">
        <v>17</v>
      </c>
      <c r="S15" s="775">
        <f t="shared" si="0"/>
        <v>100</v>
      </c>
      <c r="T15" s="774" t="s">
        <v>17</v>
      </c>
      <c r="U15" s="775">
        <f t="shared" si="1"/>
        <v>100</v>
      </c>
      <c r="V15" s="774" t="s">
        <v>17</v>
      </c>
      <c r="W15" s="775">
        <f t="shared" si="2"/>
        <v>100</v>
      </c>
      <c r="X15" s="1815"/>
      <c r="Y15" s="3185" t="s">
        <v>2557</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86"/>
      <c r="Q16" s="1812"/>
      <c r="R16" s="774"/>
      <c r="S16" s="775"/>
      <c r="T16" s="774"/>
      <c r="U16" s="775"/>
      <c r="V16" s="774"/>
      <c r="W16" s="775"/>
      <c r="X16" s="1815"/>
      <c r="Y16" s="3186"/>
      <c r="Z16" s="1816"/>
      <c r="AA16" s="1813">
        <v>1</v>
      </c>
      <c r="AB16" s="1813">
        <v>1</v>
      </c>
      <c r="AC16" s="1813">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6"/>
      <c r="Q17" s="1812" t="str">
        <f>B17</f>
        <v>商业繁华度</v>
      </c>
      <c r="R17" s="774" t="s">
        <v>17</v>
      </c>
      <c r="S17" s="775">
        <f>F17</f>
        <v>100</v>
      </c>
      <c r="T17" s="774" t="s">
        <v>17</v>
      </c>
      <c r="U17" s="775">
        <f>H17</f>
        <v>100</v>
      </c>
      <c r="V17" s="774" t="s">
        <v>17</v>
      </c>
      <c r="W17" s="775">
        <f>J17</f>
        <v>100</v>
      </c>
      <c r="X17" s="1815"/>
      <c r="Y17" s="3186"/>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86"/>
      <c r="Q18" s="1812"/>
      <c r="R18" s="774"/>
      <c r="S18" s="775"/>
      <c r="T18" s="774"/>
      <c r="U18" s="775"/>
      <c r="V18" s="774"/>
      <c r="W18" s="775"/>
      <c r="X18" s="1815"/>
      <c r="Y18" s="3186"/>
      <c r="Z18" s="1816"/>
      <c r="AA18" s="1813">
        <v>1</v>
      </c>
      <c r="AB18" s="1813">
        <v>1</v>
      </c>
      <c r="AC18" s="1813">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6"/>
      <c r="Q19" s="1812" t="str">
        <f>B19</f>
        <v>办公集聚程度</v>
      </c>
      <c r="R19" s="774" t="s">
        <v>17</v>
      </c>
      <c r="S19" s="775">
        <f>F19</f>
        <v>100</v>
      </c>
      <c r="T19" s="774" t="s">
        <v>17</v>
      </c>
      <c r="U19" s="775">
        <f>H19</f>
        <v>100</v>
      </c>
      <c r="V19" s="774" t="s">
        <v>17</v>
      </c>
      <c r="W19" s="775">
        <f>J19</f>
        <v>100</v>
      </c>
      <c r="X19" s="1815"/>
      <c r="Y19" s="3186"/>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86"/>
      <c r="Q20" s="1812"/>
      <c r="R20" s="774"/>
      <c r="S20" s="775"/>
      <c r="T20" s="774"/>
      <c r="U20" s="775"/>
      <c r="V20" s="774"/>
      <c r="W20" s="775"/>
      <c r="X20" s="1815"/>
      <c r="Y20" s="3186"/>
      <c r="Z20" s="1816"/>
      <c r="AA20" s="1813">
        <v>1</v>
      </c>
      <c r="AB20" s="1813">
        <v>1</v>
      </c>
      <c r="AC20" s="1813">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6"/>
      <c r="Q21" s="1812" t="str">
        <f>B21</f>
        <v>交通便捷度</v>
      </c>
      <c r="R21" s="774" t="s">
        <v>17</v>
      </c>
      <c r="S21" s="775">
        <f>F21</f>
        <v>100</v>
      </c>
      <c r="T21" s="774" t="s">
        <v>17</v>
      </c>
      <c r="U21" s="775">
        <f>H21</f>
        <v>100</v>
      </c>
      <c r="V21" s="774" t="s">
        <v>17</v>
      </c>
      <c r="W21" s="775">
        <f>J21</f>
        <v>100</v>
      </c>
      <c r="X21" s="1815"/>
      <c r="Y21" s="3186"/>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86"/>
      <c r="Q22" s="1812"/>
      <c r="R22" s="774"/>
      <c r="S22" s="775"/>
      <c r="T22" s="774"/>
      <c r="U22" s="775"/>
      <c r="V22" s="774"/>
      <c r="W22" s="775"/>
      <c r="X22" s="1815"/>
      <c r="Y22" s="3186"/>
      <c r="Z22" s="1816"/>
      <c r="AA22" s="1813">
        <v>1</v>
      </c>
      <c r="AB22" s="1813">
        <v>1</v>
      </c>
      <c r="AC22" s="1813">
        <v>1</v>
      </c>
    </row>
    <row r="23" spans="1:29" ht="15">
      <c r="A23" s="404"/>
      <c r="B23" s="451" t="s">
        <v>2745</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6"/>
      <c r="Q23" s="1812" t="str">
        <f t="shared" ref="Q23:Q37" si="8">B23</f>
        <v>区域土地利用方向</v>
      </c>
      <c r="R23" s="774" t="s">
        <v>17</v>
      </c>
      <c r="S23" s="775">
        <f>F23</f>
        <v>100</v>
      </c>
      <c r="T23" s="774" t="s">
        <v>17</v>
      </c>
      <c r="U23" s="775">
        <f>H23</f>
        <v>100</v>
      </c>
      <c r="V23" s="774" t="s">
        <v>17</v>
      </c>
      <c r="W23" s="775">
        <f>J23</f>
        <v>100</v>
      </c>
      <c r="X23" s="1815"/>
      <c r="Y23" s="3186"/>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86"/>
      <c r="Q24" s="1812"/>
      <c r="R24" s="774"/>
      <c r="S24" s="775"/>
      <c r="T24" s="774"/>
      <c r="U24" s="775"/>
      <c r="V24" s="774"/>
      <c r="W24" s="775"/>
      <c r="X24" s="1815"/>
      <c r="Y24" s="3186"/>
      <c r="Z24" s="1816"/>
      <c r="AA24" s="1813"/>
      <c r="AB24" s="1813"/>
      <c r="AC24" s="1813"/>
    </row>
    <row r="25" spans="1:29" ht="57">
      <c r="A25" s="404"/>
      <c r="B25" s="1386"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6"/>
      <c r="Q25" s="1812" t="str">
        <f t="shared" si="8"/>
        <v>自然及人文环境状况</v>
      </c>
      <c r="R25" s="774" t="s">
        <v>17</v>
      </c>
      <c r="S25" s="775">
        <f>F25</f>
        <v>100</v>
      </c>
      <c r="T25" s="774" t="s">
        <v>17</v>
      </c>
      <c r="U25" s="775">
        <f>H25</f>
        <v>100</v>
      </c>
      <c r="V25" s="774" t="s">
        <v>17</v>
      </c>
      <c r="W25" s="775">
        <f>J25</f>
        <v>100</v>
      </c>
      <c r="X25" s="1815"/>
      <c r="Y25" s="3186"/>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86"/>
      <c r="Q26" s="1812"/>
      <c r="R26" s="774"/>
      <c r="S26" s="775"/>
      <c r="T26" s="774"/>
      <c r="U26" s="775"/>
      <c r="V26" s="774"/>
      <c r="W26" s="775"/>
      <c r="X26" s="1815"/>
      <c r="Y26" s="3186"/>
      <c r="Z26" s="1816"/>
      <c r="AA26" s="1813">
        <v>1</v>
      </c>
      <c r="AB26" s="1813">
        <v>1</v>
      </c>
      <c r="AC26" s="1813">
        <v>1</v>
      </c>
    </row>
    <row r="27" spans="1:29" s="117" customFormat="1" ht="42.75">
      <c r="A27" s="649"/>
      <c r="B27" s="1386"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6"/>
      <c r="Q27" s="1797" t="str">
        <f t="shared" si="8"/>
        <v>公共配套设施</v>
      </c>
      <c r="R27" s="770" t="s">
        <v>17</v>
      </c>
      <c r="S27" s="771">
        <f>F27</f>
        <v>100</v>
      </c>
      <c r="T27" s="770" t="s">
        <v>17</v>
      </c>
      <c r="U27" s="771">
        <f>H27</f>
        <v>100</v>
      </c>
      <c r="V27" s="770" t="s">
        <v>17</v>
      </c>
      <c r="W27" s="771">
        <f>J27</f>
        <v>100</v>
      </c>
      <c r="X27" s="772"/>
      <c r="Y27" s="3186"/>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86"/>
      <c r="Q28" s="1797"/>
      <c r="R28" s="770"/>
      <c r="S28" s="771"/>
      <c r="T28" s="770"/>
      <c r="U28" s="771"/>
      <c r="V28" s="770"/>
      <c r="W28" s="771"/>
      <c r="X28" s="772"/>
      <c r="Y28" s="3186"/>
      <c r="Z28" s="55"/>
      <c r="AA28" s="1813">
        <v>1</v>
      </c>
      <c r="AB28" s="1813">
        <v>1</v>
      </c>
      <c r="AC28" s="1813">
        <v>1</v>
      </c>
    </row>
    <row r="29" spans="1:29" s="117" customFormat="1" ht="28.5">
      <c r="A29" s="649"/>
      <c r="B29" s="1386"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6"/>
      <c r="Q29" s="1797"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86"/>
      <c r="Q30" s="1797"/>
      <c r="R30" s="770"/>
      <c r="S30" s="771"/>
      <c r="T30" s="770"/>
      <c r="U30" s="771"/>
      <c r="V30" s="770"/>
      <c r="W30" s="771"/>
      <c r="X30" s="772"/>
      <c r="Y30" s="3186"/>
      <c r="Z30" s="55"/>
      <c r="AA30" s="1813">
        <v>1</v>
      </c>
      <c r="AB30" s="1813">
        <v>1</v>
      </c>
      <c r="AC30" s="181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6"/>
      <c r="Z31" s="1816" t="str">
        <f t="shared" ref="Z31:Z45" si="13">Q31</f>
        <v>临街状况</v>
      </c>
      <c r="AA31" s="1813">
        <f t="shared" si="3"/>
        <v>1</v>
      </c>
      <c r="AB31" s="1813">
        <f t="shared" si="4"/>
        <v>1</v>
      </c>
      <c r="AC31" s="1813">
        <f t="shared" si="5"/>
        <v>1</v>
      </c>
    </row>
    <row r="32" spans="1:29" ht="27">
      <c r="A32" s="428"/>
      <c r="B32" s="1386"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6"/>
      <c r="Q32" s="1812" t="str">
        <f t="shared" si="8"/>
        <v>毗邻道路的类型与等级</v>
      </c>
      <c r="R32" s="774" t="s">
        <v>17</v>
      </c>
      <c r="S32" s="775">
        <f t="shared" si="10"/>
        <v>100</v>
      </c>
      <c r="T32" s="774" t="s">
        <v>17</v>
      </c>
      <c r="U32" s="775">
        <f t="shared" si="11"/>
        <v>100</v>
      </c>
      <c r="V32" s="774" t="s">
        <v>17</v>
      </c>
      <c r="W32" s="775">
        <f t="shared" si="12"/>
        <v>100</v>
      </c>
      <c r="X32" s="1815"/>
      <c r="Y32" s="3186"/>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86"/>
      <c r="Q33" s="1812"/>
      <c r="R33" s="774"/>
      <c r="S33" s="775"/>
      <c r="T33" s="774"/>
      <c r="U33" s="775"/>
      <c r="V33" s="774"/>
      <c r="W33" s="775"/>
      <c r="X33" s="1815"/>
      <c r="Y33" s="3186"/>
      <c r="Z33" s="1816"/>
      <c r="AA33" s="1813">
        <v>1</v>
      </c>
      <c r="AB33" s="1813">
        <v>1</v>
      </c>
      <c r="AC33" s="181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6"/>
      <c r="Q34" s="1812" t="str">
        <f t="shared" si="8"/>
        <v>土地级别</v>
      </c>
      <c r="R34" s="774" t="s">
        <v>17</v>
      </c>
      <c r="S34" s="775">
        <f t="shared" si="10"/>
        <v>100</v>
      </c>
      <c r="T34" s="774" t="s">
        <v>17</v>
      </c>
      <c r="U34" s="775">
        <f t="shared" si="11"/>
        <v>100</v>
      </c>
      <c r="V34" s="774" t="s">
        <v>17</v>
      </c>
      <c r="W34" s="775">
        <f t="shared" si="12"/>
        <v>100</v>
      </c>
      <c r="X34" s="1815"/>
      <c r="Y34" s="3186"/>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6"/>
      <c r="Q35" s="1812">
        <f t="shared" si="8"/>
        <v>111</v>
      </c>
      <c r="R35" s="774" t="s">
        <v>17</v>
      </c>
      <c r="S35" s="775">
        <f t="shared" si="10"/>
        <v>100</v>
      </c>
      <c r="T35" s="774" t="s">
        <v>17</v>
      </c>
      <c r="U35" s="775">
        <f t="shared" si="11"/>
        <v>100</v>
      </c>
      <c r="V35" s="774" t="s">
        <v>17</v>
      </c>
      <c r="W35" s="775">
        <f t="shared" si="12"/>
        <v>100</v>
      </c>
      <c r="X35" s="1815"/>
      <c r="Y35" s="3186"/>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2" t="s">
        <v>2562</v>
      </c>
      <c r="Q36" s="1812">
        <f t="shared" si="8"/>
        <v>111</v>
      </c>
      <c r="R36" s="774" t="s">
        <v>17</v>
      </c>
      <c r="S36" s="775">
        <f t="shared" si="10"/>
        <v>100</v>
      </c>
      <c r="T36" s="774" t="s">
        <v>17</v>
      </c>
      <c r="U36" s="775">
        <f t="shared" si="11"/>
        <v>100</v>
      </c>
      <c r="V36" s="774" t="s">
        <v>17</v>
      </c>
      <c r="W36" s="775">
        <f t="shared" si="12"/>
        <v>100</v>
      </c>
      <c r="X36" s="1815"/>
      <c r="Y36" s="3187" t="s">
        <v>2562</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87"/>
      <c r="Q37" s="1812">
        <f t="shared" si="8"/>
        <v>111</v>
      </c>
      <c r="R37" s="777" t="s">
        <v>17</v>
      </c>
      <c r="S37" s="778">
        <f t="shared" si="10"/>
        <v>100</v>
      </c>
      <c r="T37" s="777" t="s">
        <v>17</v>
      </c>
      <c r="U37" s="778">
        <f t="shared" si="11"/>
        <v>100</v>
      </c>
      <c r="V37" s="777" t="s">
        <v>17</v>
      </c>
      <c r="W37" s="778">
        <f t="shared" si="12"/>
        <v>100</v>
      </c>
      <c r="X37" s="779"/>
      <c r="Y37" s="3187"/>
      <c r="Z37" s="780">
        <f t="shared" si="13"/>
        <v>111</v>
      </c>
      <c r="AA37" s="1813">
        <f t="shared" si="3"/>
        <v>1</v>
      </c>
      <c r="AB37" s="1813">
        <f t="shared" si="4"/>
        <v>1</v>
      </c>
      <c r="AC37" s="181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87"/>
      <c r="Q38" s="1812" t="str">
        <f>B38</f>
        <v>宗地面积</v>
      </c>
      <c r="R38" s="774" t="s">
        <v>17</v>
      </c>
      <c r="S38" s="775" t="e">
        <f t="shared" si="10"/>
        <v>#N/A</v>
      </c>
      <c r="T38" s="774" t="s">
        <v>17</v>
      </c>
      <c r="U38" s="775" t="e">
        <f t="shared" si="11"/>
        <v>#N/A</v>
      </c>
      <c r="V38" s="774" t="s">
        <v>17</v>
      </c>
      <c r="W38" s="775" t="e">
        <f t="shared" si="12"/>
        <v>#N/A</v>
      </c>
      <c r="X38" s="1815"/>
      <c r="Y38" s="3187"/>
      <c r="Z38" s="1816" t="str">
        <f t="shared" si="13"/>
        <v>宗地面积</v>
      </c>
      <c r="AA38" s="1813" t="e">
        <f t="shared" si="3"/>
        <v>#N/A</v>
      </c>
      <c r="AB38" s="1813" t="e">
        <f t="shared" si="4"/>
        <v>#N/A</v>
      </c>
      <c r="AC38" s="1813"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87"/>
      <c r="Q39" s="1812" t="str">
        <f t="shared" ref="Q39:Q45" si="14">B39</f>
        <v>宗地形状</v>
      </c>
      <c r="R39" s="774" t="s">
        <v>17</v>
      </c>
      <c r="S39" s="775">
        <f t="shared" si="10"/>
        <v>100</v>
      </c>
      <c r="T39" s="774" t="s">
        <v>17</v>
      </c>
      <c r="U39" s="775">
        <f t="shared" si="11"/>
        <v>100</v>
      </c>
      <c r="V39" s="774" t="s">
        <v>17</v>
      </c>
      <c r="W39" s="775">
        <f t="shared" si="12"/>
        <v>100</v>
      </c>
      <c r="X39" s="1815"/>
      <c r="Y39" s="3187"/>
      <c r="Z39" s="1816" t="str">
        <f t="shared" si="13"/>
        <v>宗地形状</v>
      </c>
      <c r="AA39" s="1813">
        <f t="shared" si="3"/>
        <v>1</v>
      </c>
      <c r="AB39" s="1813">
        <f t="shared" si="4"/>
        <v>1</v>
      </c>
      <c r="AC39" s="1813">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87"/>
      <c r="Q40" s="1812" t="str">
        <f t="shared" si="14"/>
        <v>临街宽度及深度</v>
      </c>
      <c r="R40" s="774" t="s">
        <v>17</v>
      </c>
      <c r="S40" s="775">
        <f t="shared" si="10"/>
        <v>100</v>
      </c>
      <c r="T40" s="774" t="s">
        <v>17</v>
      </c>
      <c r="U40" s="775">
        <f t="shared" si="11"/>
        <v>100</v>
      </c>
      <c r="V40" s="774" t="s">
        <v>17</v>
      </c>
      <c r="W40" s="775">
        <f t="shared" si="12"/>
        <v>100</v>
      </c>
      <c r="X40" s="1815"/>
      <c r="Y40" s="3187"/>
      <c r="Z40" s="1816" t="str">
        <f t="shared" si="13"/>
        <v>临街宽度及深度</v>
      </c>
      <c r="AA40" s="1813">
        <f t="shared" si="3"/>
        <v>1</v>
      </c>
      <c r="AB40" s="1813">
        <f t="shared" si="4"/>
        <v>1</v>
      </c>
      <c r="AC40" s="1813">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87"/>
      <c r="Q41" s="1812"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87" t="s">
        <v>2562</v>
      </c>
      <c r="Q42" s="1812" t="str">
        <f t="shared" si="14"/>
        <v>工程地质条件</v>
      </c>
      <c r="R42" s="774" t="s">
        <v>17</v>
      </c>
      <c r="S42" s="775">
        <f t="shared" si="10"/>
        <v>100</v>
      </c>
      <c r="T42" s="774" t="s">
        <v>17</v>
      </c>
      <c r="U42" s="775">
        <f t="shared" si="11"/>
        <v>100</v>
      </c>
      <c r="V42" s="774" t="s">
        <v>17</v>
      </c>
      <c r="W42" s="775">
        <f t="shared" si="12"/>
        <v>100</v>
      </c>
      <c r="X42" s="1815"/>
      <c r="Y42" s="3187" t="s">
        <v>2562</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87"/>
      <c r="Q43" s="1812">
        <f t="shared" si="14"/>
        <v>111</v>
      </c>
      <c r="R43" s="774" t="s">
        <v>17</v>
      </c>
      <c r="S43" s="775">
        <f t="shared" si="10"/>
        <v>100</v>
      </c>
      <c r="T43" s="774" t="s">
        <v>17</v>
      </c>
      <c r="U43" s="775">
        <f t="shared" si="11"/>
        <v>100</v>
      </c>
      <c r="V43" s="774" t="s">
        <v>17</v>
      </c>
      <c r="W43" s="775">
        <f t="shared" si="12"/>
        <v>100</v>
      </c>
      <c r="X43" s="1815"/>
      <c r="Y43" s="3187"/>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87"/>
      <c r="Q44" s="1812">
        <f t="shared" si="14"/>
        <v>111</v>
      </c>
      <c r="R44" s="774" t="s">
        <v>17</v>
      </c>
      <c r="S44" s="775">
        <f t="shared" si="10"/>
        <v>100</v>
      </c>
      <c r="T44" s="774" t="s">
        <v>17</v>
      </c>
      <c r="U44" s="775">
        <f t="shared" si="11"/>
        <v>100</v>
      </c>
      <c r="V44" s="774" t="s">
        <v>17</v>
      </c>
      <c r="W44" s="775">
        <f t="shared" si="12"/>
        <v>100</v>
      </c>
      <c r="X44" s="1815"/>
      <c r="Y44" s="3187"/>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87"/>
      <c r="Q45" s="1812">
        <f t="shared" si="14"/>
        <v>111</v>
      </c>
      <c r="R45" s="777" t="s">
        <v>17</v>
      </c>
      <c r="S45" s="778">
        <f t="shared" si="10"/>
        <v>100</v>
      </c>
      <c r="T45" s="777" t="s">
        <v>17</v>
      </c>
      <c r="U45" s="778">
        <f t="shared" si="11"/>
        <v>100</v>
      </c>
      <c r="V45" s="777" t="s">
        <v>17</v>
      </c>
      <c r="W45" s="778">
        <f t="shared" si="12"/>
        <v>100</v>
      </c>
      <c r="X45" s="779"/>
      <c r="Y45" s="3187"/>
      <c r="Z45" s="780">
        <f t="shared" si="13"/>
        <v>111</v>
      </c>
      <c r="AA45" s="1813">
        <f t="shared" si="3"/>
        <v>1</v>
      </c>
      <c r="AB45" s="1813">
        <f t="shared" si="4"/>
        <v>1</v>
      </c>
      <c r="AC45" s="1813">
        <f t="shared" si="5"/>
        <v>1</v>
      </c>
    </row>
    <row r="46" spans="1:29" ht="15">
      <c r="A46" s="479" t="s">
        <v>2717</v>
      </c>
      <c r="B46" s="2706" t="s">
        <v>2753</v>
      </c>
      <c r="C46" s="682" t="s">
        <v>1</v>
      </c>
      <c r="D46" s="481"/>
      <c r="E46" s="482"/>
      <c r="F46" s="483"/>
      <c r="G46" s="484"/>
      <c r="H46" s="485"/>
      <c r="I46" s="482"/>
      <c r="J46" s="485"/>
      <c r="K46" s="783"/>
      <c r="L46" s="1145"/>
      <c r="M46" s="1146"/>
      <c r="N46" s="1133"/>
      <c r="O46" s="1146"/>
      <c r="P46" s="3168" t="str">
        <f>A46</f>
        <v>成交单价</v>
      </c>
      <c r="Q46" s="3168"/>
      <c r="R46" s="3184">
        <f>E46</f>
        <v>0</v>
      </c>
      <c r="S46" s="3184"/>
      <c r="T46" s="3184">
        <f>G46</f>
        <v>0</v>
      </c>
      <c r="U46" s="3184"/>
      <c r="V46" s="3184">
        <f>I46</f>
        <v>0</v>
      </c>
      <c r="W46" s="318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5"/>
      <c r="M47" s="1146"/>
      <c r="N47" s="1146"/>
      <c r="O47" s="1146"/>
      <c r="P47" s="3168" t="str">
        <f>A47</f>
        <v>比较价值（元/平方米）</v>
      </c>
      <c r="Q47" s="3168"/>
      <c r="R47" s="3206" t="e">
        <f>ROUND(PRODUCT(R46,AA7:AA45),0)</f>
        <v>#DIV/0!</v>
      </c>
      <c r="S47" s="3206"/>
      <c r="T47" s="3206" t="e">
        <f>ROUND(PRODUCT(T46,AB7:AB45),0)</f>
        <v>#DIV/0!</v>
      </c>
      <c r="U47" s="3206"/>
      <c r="V47" s="3206" t="e">
        <f>ROUND(PRODUCT(V46,AC7:AC45),0)</f>
        <v>#DIV/0!</v>
      </c>
      <c r="W47" s="3206"/>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5"/>
      <c r="M48" s="1146"/>
      <c r="N48" s="1146"/>
      <c r="O48" s="1146"/>
      <c r="P48" s="3203" t="str">
        <f>A48</f>
        <v>估价对象XX用房的比较价值（楼面单价，元/平方米）</v>
      </c>
      <c r="Q48" s="3204"/>
      <c r="R48" s="3205" t="e">
        <f>ROUND(AVERAGE(R47:V47),0)</f>
        <v>#DIV/0!</v>
      </c>
      <c r="S48" s="3205"/>
      <c r="T48" s="3205"/>
      <c r="U48" s="3205"/>
      <c r="V48" s="3205"/>
      <c r="W48" s="3205"/>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2755</v>
      </c>
      <c r="B55" s="685" t="s">
        <v>2756</v>
      </c>
      <c r="C55" s="2707" t="s">
        <v>2757</v>
      </c>
      <c r="D55" s="2708" t="s">
        <v>2758</v>
      </c>
      <c r="E55" s="686" t="s">
        <v>2759</v>
      </c>
      <c r="F55" s="1109" t="s">
        <v>2760</v>
      </c>
      <c r="G55" s="3165" t="s">
        <v>2761</v>
      </c>
      <c r="H55" s="3166"/>
      <c r="I55" s="144" t="s">
        <v>2762</v>
      </c>
      <c r="J55" s="2709">
        <f>项目基本情况!F35</f>
        <v>0</v>
      </c>
      <c r="K55" s="2710" t="s">
        <v>2763</v>
      </c>
      <c r="L55" s="1108"/>
      <c r="M55" s="1146"/>
      <c r="N55" s="1146"/>
      <c r="O55" s="1146"/>
    </row>
    <row r="56" spans="1:15" s="692" customFormat="1">
      <c r="A56" s="688" t="s">
        <v>2764</v>
      </c>
      <c r="B56" s="689" t="e">
        <f>C48</f>
        <v>#DIV/0!</v>
      </c>
      <c r="C56" s="690">
        <v>1</v>
      </c>
      <c r="D56" s="1165">
        <v>1</v>
      </c>
      <c r="E56" s="690">
        <f>'数据-汇总表'!E8+'数据-汇总表'!E9</f>
        <v>6217.83</v>
      </c>
      <c r="F56" s="1105" t="e">
        <f t="shared" ref="F56:F65" si="15">ROUND(B56*E56/10000,0)</f>
        <v>#DIV/0!</v>
      </c>
      <c r="G56" s="3167"/>
      <c r="H56" s="3168"/>
      <c r="I56" s="1110">
        <v>1</v>
      </c>
      <c r="J56" s="1113">
        <v>1</v>
      </c>
      <c r="K56" s="1147"/>
      <c r="L56" s="944"/>
      <c r="M56" s="944"/>
      <c r="N56" s="944"/>
      <c r="O56" s="944"/>
    </row>
    <row r="57" spans="1:15" s="692" customFormat="1">
      <c r="A57" s="693" t="s">
        <v>2765</v>
      </c>
      <c r="B57" s="262" t="e">
        <f>ROUND($C$48*C57*D57,0)</f>
        <v>#DIV/0!</v>
      </c>
      <c r="C57" s="200">
        <f t="shared" ref="C57:C65" si="16">IF($C$55="北京市系数",I57,J57)</f>
        <v>0</v>
      </c>
      <c r="D57" s="1166">
        <v>0.25</v>
      </c>
      <c r="E57" s="694"/>
      <c r="F57" s="1105" t="e">
        <f t="shared" si="15"/>
        <v>#DIV/0!</v>
      </c>
      <c r="G57" s="3169" t="s">
        <v>2766</v>
      </c>
      <c r="H57" s="1106">
        <f>项目基本情况!B37</f>
        <v>0</v>
      </c>
      <c r="I57" s="1110">
        <f>SUMIF(修正!A45:A56,H57,修正!B45:B56)</f>
        <v>0</v>
      </c>
      <c r="J57" s="1114"/>
      <c r="K57" s="1146"/>
      <c r="L57" s="944"/>
      <c r="M57" s="944"/>
      <c r="N57" s="944"/>
      <c r="O57" s="944"/>
    </row>
    <row r="58" spans="1:15" s="692" customFormat="1">
      <c r="A58" s="693" t="s">
        <v>2767</v>
      </c>
      <c r="B58" s="262" t="e">
        <f t="shared" ref="B58:B65" si="17">ROUND($C$48*C58*D58,0)</f>
        <v>#DIV/0!</v>
      </c>
      <c r="C58" s="200">
        <f t="shared" si="16"/>
        <v>0</v>
      </c>
      <c r="D58" s="1166">
        <v>0.25</v>
      </c>
      <c r="E58" s="694"/>
      <c r="F58" s="1105" t="e">
        <f t="shared" si="15"/>
        <v>#DIV/0!</v>
      </c>
      <c r="G58" s="3169"/>
      <c r="H58" s="1106">
        <f>项目基本情况!B37</f>
        <v>0</v>
      </c>
      <c r="I58" s="1110">
        <f>SUMIF(修正!A45:A56,H58,修正!C45:C56)</f>
        <v>0</v>
      </c>
      <c r="J58" s="1114"/>
      <c r="K58" s="1147"/>
      <c r="L58" s="944"/>
      <c r="M58" s="944"/>
      <c r="N58" s="944"/>
      <c r="O58" s="944"/>
    </row>
    <row r="59" spans="1:15" s="692" customFormat="1">
      <c r="A59" s="693" t="s">
        <v>2768</v>
      </c>
      <c r="B59" s="262" t="e">
        <f t="shared" si="17"/>
        <v>#DIV/0!</v>
      </c>
      <c r="C59" s="200">
        <f t="shared" si="16"/>
        <v>0</v>
      </c>
      <c r="D59" s="1166">
        <v>0.25</v>
      </c>
      <c r="E59" s="694"/>
      <c r="F59" s="1105" t="e">
        <f t="shared" si="15"/>
        <v>#DIV/0!</v>
      </c>
      <c r="G59" s="3169"/>
      <c r="H59" s="1106">
        <f>项目基本情况!B37</f>
        <v>0</v>
      </c>
      <c r="I59" s="1110">
        <f>SUMIF(修正!A45:A56,H59,修正!D45:D56)</f>
        <v>0</v>
      </c>
      <c r="J59" s="1114"/>
      <c r="K59" s="1146"/>
      <c r="L59" s="944"/>
      <c r="M59" s="944"/>
      <c r="N59" s="944"/>
      <c r="O59" s="944"/>
    </row>
    <row r="60" spans="1:15" s="692" customFormat="1">
      <c r="A60" s="693" t="s">
        <v>2769</v>
      </c>
      <c r="B60" s="262" t="e">
        <f t="shared" si="17"/>
        <v>#DIV/0!</v>
      </c>
      <c r="C60" s="200">
        <f t="shared" si="16"/>
        <v>0</v>
      </c>
      <c r="D60" s="1166">
        <v>0.25</v>
      </c>
      <c r="E60" s="694"/>
      <c r="F60" s="1105" t="e">
        <f t="shared" si="15"/>
        <v>#DIV/0!</v>
      </c>
      <c r="G60" s="3169"/>
      <c r="H60" s="1106">
        <f>项目基本情况!B37</f>
        <v>0</v>
      </c>
      <c r="I60" s="1110">
        <f>SUMIF(修正!A45:A56,H60,修正!E45:E56)</f>
        <v>0</v>
      </c>
      <c r="J60" s="1114"/>
      <c r="K60" s="1147"/>
      <c r="L60" s="944"/>
      <c r="M60" s="944"/>
      <c r="N60" s="944"/>
      <c r="O60" s="944"/>
    </row>
    <row r="61" spans="1:15" s="692" customFormat="1">
      <c r="A61" s="693" t="s">
        <v>2770</v>
      </c>
      <c r="B61" s="262" t="e">
        <f t="shared" si="17"/>
        <v>#DIV/0!</v>
      </c>
      <c r="C61" s="200">
        <f t="shared" si="16"/>
        <v>0</v>
      </c>
      <c r="D61" s="1166">
        <v>0.25</v>
      </c>
      <c r="E61" s="261">
        <f>'数据-汇总表'!E11</f>
        <v>0</v>
      </c>
      <c r="F61" s="1105" t="e">
        <f t="shared" si="15"/>
        <v>#DIV/0!</v>
      </c>
      <c r="G61" s="2711" t="s">
        <v>2771</v>
      </c>
      <c r="H61" s="1106">
        <f>项目基本情况!C37</f>
        <v>0</v>
      </c>
      <c r="I61" s="1110">
        <f>SUMIF(修正!A45:A56,H61,修正!F45:F56)</f>
        <v>0</v>
      </c>
      <c r="J61" s="1114"/>
      <c r="K61" s="1146"/>
      <c r="L61" s="944"/>
      <c r="M61" s="944"/>
      <c r="N61" s="944"/>
      <c r="O61" s="944"/>
    </row>
    <row r="62" spans="1:15" s="692" customFormat="1">
      <c r="A62" s="693" t="s">
        <v>2772</v>
      </c>
      <c r="B62" s="262" t="e">
        <f t="shared" si="17"/>
        <v>#DIV/0!</v>
      </c>
      <c r="C62" s="200">
        <f t="shared" si="16"/>
        <v>0</v>
      </c>
      <c r="D62" s="1166">
        <v>0.25</v>
      </c>
      <c r="E62" s="261">
        <f>'数据-汇总表'!E12</f>
        <v>0</v>
      </c>
      <c r="F62" s="1105" t="e">
        <f t="shared" si="15"/>
        <v>#DIV/0!</v>
      </c>
      <c r="G62" s="1111" t="s">
        <v>2773</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2774</v>
      </c>
      <c r="B63" s="262" t="e">
        <f t="shared" si="17"/>
        <v>#DIV/0!</v>
      </c>
      <c r="C63" s="200">
        <f t="shared" si="16"/>
        <v>0</v>
      </c>
      <c r="D63" s="1166">
        <v>0.25</v>
      </c>
      <c r="E63" s="261">
        <f>'数据-汇总表'!E13</f>
        <v>0</v>
      </c>
      <c r="F63" s="1105" t="e">
        <f t="shared" si="15"/>
        <v>#DIV/0!</v>
      </c>
      <c r="G63" s="1111" t="s">
        <v>2775</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2776</v>
      </c>
      <c r="B64" s="262" t="e">
        <f t="shared" si="17"/>
        <v>#DIV/0!</v>
      </c>
      <c r="C64" s="200">
        <f t="shared" si="16"/>
        <v>0</v>
      </c>
      <c r="D64" s="1166">
        <v>0.25</v>
      </c>
      <c r="E64" s="261">
        <f>'数据-汇总表'!E14</f>
        <v>0</v>
      </c>
      <c r="F64" s="1105" t="e">
        <f t="shared" si="15"/>
        <v>#DIV/0!</v>
      </c>
      <c r="G64" s="2711" t="s">
        <v>2766</v>
      </c>
      <c r="H64" s="1106">
        <f>项目基本情况!B37</f>
        <v>0</v>
      </c>
      <c r="I64" s="1110">
        <f>SUMIF(修正!A45:A56,H64,修正!H45:H56)</f>
        <v>0</v>
      </c>
      <c r="J64" s="1114"/>
      <c r="K64" s="1147"/>
      <c r="L64" s="944"/>
      <c r="M64" s="944"/>
      <c r="N64" s="944"/>
      <c r="O64" s="944"/>
    </row>
    <row r="65" spans="1:17" s="692" customFormat="1" ht="15" thickBot="1">
      <c r="A65" s="693" t="s">
        <v>2777</v>
      </c>
      <c r="B65" s="262" t="e">
        <f t="shared" si="17"/>
        <v>#DIV/0!</v>
      </c>
      <c r="C65" s="200">
        <f t="shared" si="16"/>
        <v>0</v>
      </c>
      <c r="D65" s="1166">
        <v>0.25</v>
      </c>
      <c r="E65" s="261">
        <f>'数据-汇总表'!E15</f>
        <v>0</v>
      </c>
      <c r="F65" s="1105" t="e">
        <f t="shared" si="15"/>
        <v>#DIV/0!</v>
      </c>
      <c r="G65" s="2712" t="s">
        <v>2771</v>
      </c>
      <c r="H65" s="1116">
        <f>项目基本情况!C37</f>
        <v>0</v>
      </c>
      <c r="I65" s="1112">
        <f>SUMIF(修正!A45:A56,H65,修正!H45:H56)</f>
        <v>0</v>
      </c>
      <c r="J65" s="1115"/>
      <c r="K65" s="1146"/>
      <c r="L65" s="944"/>
      <c r="M65" s="944"/>
      <c r="N65" s="944"/>
      <c r="O65" s="944"/>
    </row>
    <row r="66" spans="1:17" s="692" customFormat="1" ht="13.5" thickBot="1">
      <c r="A66" s="695" t="s">
        <v>2778</v>
      </c>
      <c r="B66" s="696" t="s">
        <v>28</v>
      </c>
      <c r="C66" s="696" t="s">
        <v>29</v>
      </c>
      <c r="D66" s="696" t="s">
        <v>1029</v>
      </c>
      <c r="E66" s="696">
        <f>IF(B46="楼面地价",SUM(E56:E65),'数据-汇总表'!D3)</f>
        <v>6217.83</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2671</v>
      </c>
      <c r="B69" s="759"/>
      <c r="C69" s="764"/>
      <c r="D69" s="764"/>
      <c r="E69" s="764"/>
      <c r="F69" s="765"/>
      <c r="G69" s="765"/>
      <c r="H69" s="764"/>
      <c r="I69" s="764"/>
      <c r="J69" s="1161"/>
      <c r="K69" s="1162"/>
      <c r="L69" s="1163"/>
      <c r="M69" s="1161"/>
      <c r="N69" s="1161"/>
      <c r="O69" s="1161"/>
      <c r="P69" s="503"/>
      <c r="Q69" s="504"/>
    </row>
    <row r="70" spans="1:17" s="508" customFormat="1" ht="15">
      <c r="A70" s="2713" t="s">
        <v>2779</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2585</v>
      </c>
      <c r="B75" s="528" t="s">
        <v>2551</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2688</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2789</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2790</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2791</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2792</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9" priority="14" stopIfTrue="1" operator="containsText" text="超过">
      <formula>NOT(ISERROR(SEARCH("超过",F51)))</formula>
    </cfRule>
  </conditionalFormatting>
  <conditionalFormatting sqref="J53">
    <cfRule type="containsText" dxfId="18" priority="13" stopIfTrue="1" operator="containsText" text="超过">
      <formula>NOT(ISERROR(SEARCH("超过",J53)))</formula>
    </cfRule>
  </conditionalFormatting>
  <conditionalFormatting sqref="H53">
    <cfRule type="containsText" dxfId="17" priority="12" stopIfTrue="1" operator="containsText" text="超过">
      <formula>NOT(ISERROR(SEARCH("超过",H53)))</formula>
    </cfRule>
  </conditionalFormatting>
  <conditionalFormatting sqref="F53">
    <cfRule type="containsText" dxfId="16" priority="11" stopIfTrue="1" operator="containsText" text="超过">
      <formula>NOT(ISERROR(SEARCH("超过",F53)))</formula>
    </cfRule>
  </conditionalFormatting>
  <conditionalFormatting sqref="F52 H52 J52">
    <cfRule type="containsText" dxfId="15" priority="10" stopIfTrue="1" operator="containsText" text="超过">
      <formula>NOT(ISERROR(SEARCH("超过",F52)))</formula>
    </cfRule>
  </conditionalFormatting>
  <conditionalFormatting sqref="E51">
    <cfRule type="expression" dxfId="14" priority="9" stopIfTrue="1">
      <formula>$F$51="超过30%"</formula>
    </cfRule>
  </conditionalFormatting>
  <conditionalFormatting sqref="G53">
    <cfRule type="expression" dxfId="13" priority="8" stopIfTrue="1">
      <formula>$H$53="超过30%"</formula>
    </cfRule>
  </conditionalFormatting>
  <conditionalFormatting sqref="E52">
    <cfRule type="expression" dxfId="12" priority="7" stopIfTrue="1">
      <formula>$F$52="超过20%"</formula>
    </cfRule>
  </conditionalFormatting>
  <conditionalFormatting sqref="E53">
    <cfRule type="expression" dxfId="11" priority="6" stopIfTrue="1">
      <formula>$F$53="超过30%"</formula>
    </cfRule>
  </conditionalFormatting>
  <conditionalFormatting sqref="G51">
    <cfRule type="expression" dxfId="10" priority="5" stopIfTrue="1">
      <formula>$H$53+$H$51="超过30%"</formula>
    </cfRule>
  </conditionalFormatting>
  <conditionalFormatting sqref="G52">
    <cfRule type="expression" dxfId="9" priority="4" stopIfTrue="1">
      <formula>$H$52="超过20%"</formula>
    </cfRule>
  </conditionalFormatting>
  <conditionalFormatting sqref="I51">
    <cfRule type="expression" dxfId="8" priority="3" stopIfTrue="1">
      <formula>$J$51="超过30%"</formula>
    </cfRule>
  </conditionalFormatting>
  <conditionalFormatting sqref="I52">
    <cfRule type="expression" dxfId="7" priority="2" stopIfTrue="1">
      <formula>$J$52="超过20%"</formula>
    </cfRule>
  </conditionalFormatting>
  <conditionalFormatting sqref="I53">
    <cfRule type="expression" dxfId="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42" sqref="F42"/>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2800</v>
      </c>
      <c r="B1" s="241"/>
      <c r="C1" s="245" t="s">
        <v>2801</v>
      </c>
      <c r="D1" s="388">
        <f>SUM(D29:D30,D33:D39)</f>
        <v>0</v>
      </c>
      <c r="E1" s="2719"/>
      <c r="F1" s="2719"/>
      <c r="G1" s="2719"/>
      <c r="H1" s="2719"/>
      <c r="I1" s="2719"/>
      <c r="J1" s="2719"/>
      <c r="K1" s="1372"/>
      <c r="L1" s="2720" t="s">
        <v>2802</v>
      </c>
      <c r="M1" s="1082">
        <f>SUMPRODUCT((区片价!B5:B9=I2)*(区片价!C3:F3=E2)*(区片价!C5:F9))</f>
        <v>0</v>
      </c>
      <c r="N1" s="1085">
        <f>SUMPRODUCT((因素修正幅度!B5:B9=I2)*(因素修正幅度!C3:F3=E2)*(因素修正幅度!C5:F9))</f>
        <v>0</v>
      </c>
      <c r="O1" s="2721"/>
      <c r="P1" s="2721"/>
      <c r="Q1" s="1372"/>
      <c r="R1" s="1604" t="s">
        <v>2803</v>
      </c>
      <c r="S1" s="1604" t="s">
        <v>2804</v>
      </c>
      <c r="T1" s="1604" t="s">
        <v>2805</v>
      </c>
      <c r="U1" s="1604" t="s">
        <v>2806</v>
      </c>
      <c r="V1" s="1604" t="s">
        <v>2807</v>
      </c>
      <c r="W1" s="1608"/>
      <c r="X1" s="1608"/>
      <c r="Y1" s="1608"/>
      <c r="Z1" s="1608"/>
      <c r="AA1" s="1608"/>
      <c r="AB1" s="1608"/>
      <c r="AC1" s="1609"/>
      <c r="AD1" s="1610"/>
      <c r="AE1" s="1610"/>
      <c r="AF1" s="1610"/>
      <c r="AG1" s="1610"/>
      <c r="AH1" s="1610"/>
      <c r="AI1" s="1610"/>
      <c r="AJ1" s="1611"/>
    </row>
    <row r="2" spans="1:36" ht="15.75">
      <c r="A2" s="245" t="s">
        <v>2808</v>
      </c>
      <c r="B2" s="248" t="e">
        <f>C26</f>
        <v>#DIV/0!</v>
      </c>
      <c r="C2" s="2723" t="s">
        <v>2809</v>
      </c>
      <c r="D2" s="2724" t="s">
        <v>2810</v>
      </c>
      <c r="E2" s="2725"/>
      <c r="F2" s="2724" t="s">
        <v>2811</v>
      </c>
      <c r="G2" s="2726" t="str">
        <f>IF(E2="商业",项目基本情况!B37,IF(E2="办公",项目基本情况!C37,IF(E2="住宅",项目基本情况!D37,项目基本情况!E37)))</f>
        <v>七级</v>
      </c>
      <c r="H2" s="2724" t="s">
        <v>2812</v>
      </c>
      <c r="I2" s="2726" t="str">
        <f>IF(E2="商业",项目基本情况!B38,IF(E2="办公",项目基本情况!C38,IF(E2="住宅",项目基本情况!D38,项目基本情况!E38)))</f>
        <v>Ⅶ-大兴开发区</v>
      </c>
      <c r="J2" s="2727"/>
      <c r="K2" s="1372"/>
      <c r="L2" s="2728" t="s">
        <v>2813</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2814</v>
      </c>
      <c r="B3" s="248" t="e">
        <f>ROUND(B2*10000/D1,0)</f>
        <v>#DIV/0!</v>
      </c>
      <c r="C3" s="2723" t="s">
        <v>2815</v>
      </c>
      <c r="D3" s="2724" t="s">
        <v>2816</v>
      </c>
      <c r="E3" s="2729"/>
      <c r="F3" s="2730" t="s">
        <v>2817</v>
      </c>
      <c r="G3" s="916">
        <f>IF(F3="宗地容积率",'数据-汇总表'!I4,IF(F3="估价对象容积率",'数据-汇总表'!I6,'数据-汇总表'!I7))</f>
        <v>2.57</v>
      </c>
      <c r="H3" s="198" t="s">
        <v>2818</v>
      </c>
      <c r="I3" s="947"/>
      <c r="J3" s="2727" t="s">
        <v>2819</v>
      </c>
      <c r="K3" s="1372"/>
      <c r="L3" s="2728" t="s">
        <v>2820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4"/>
      <c r="B4" s="3265"/>
      <c r="C4" s="3265"/>
      <c r="D4" s="3266"/>
      <c r="E4" s="3266"/>
      <c r="F4" s="3266"/>
      <c r="G4" s="3266"/>
      <c r="H4" s="3266"/>
      <c r="I4" s="3266"/>
      <c r="J4" s="3267"/>
      <c r="K4" s="1372"/>
      <c r="L4" s="2728" t="s">
        <v>2821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2822</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2824</v>
      </c>
      <c r="B6" s="2742" t="s">
        <v>2825</v>
      </c>
      <c r="C6" s="918">
        <f>SUMIF(L1:L12,G2,M1:M12)</f>
        <v>0</v>
      </c>
      <c r="D6" s="2743" t="s">
        <v>2826</v>
      </c>
      <c r="E6" s="2744"/>
      <c r="F6" s="2744"/>
      <c r="G6" s="2745"/>
      <c r="H6" s="2745"/>
      <c r="I6" s="2745"/>
      <c r="J6" s="2746"/>
      <c r="K6" s="1844"/>
      <c r="L6" s="2728" t="s">
        <v>2827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8" t="str">
        <f>IF(E2="商业",IF(C8="不临58条商业街","",2),"")</f>
        <v/>
      </c>
      <c r="B7" s="2747" t="s">
        <v>2828</v>
      </c>
      <c r="C7" s="919" t="e">
        <f>IF(C8="不临58条商业街",1,ROUND(1+(1.6*E8+1.2*E9+0.8*E10+0.4*E11)*C9,4))</f>
        <v>#DIV/0!</v>
      </c>
      <c r="D7" s="2748" t="s">
        <v>2829</v>
      </c>
      <c r="E7" s="948"/>
      <c r="F7" s="2749"/>
      <c r="G7" s="2750"/>
      <c r="H7" s="2750"/>
      <c r="I7" s="2750"/>
      <c r="J7" s="2751"/>
      <c r="K7" s="1844"/>
      <c r="L7" s="2728" t="s">
        <v>2830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si="0"/>
        <v>#DIV/0!</v>
      </c>
      <c r="U7" s="1605"/>
      <c r="V7" s="1604" t="e">
        <f t="shared" si="1"/>
        <v>#DIV/0!</v>
      </c>
      <c r="W7" s="1818" t="s">
        <v>2831</v>
      </c>
      <c r="X7" s="1606" t="str">
        <f>G2</f>
        <v>七级</v>
      </c>
      <c r="Y7" s="1606" t="s">
        <v>2832</v>
      </c>
      <c r="Z7" s="1607">
        <f>G3</f>
        <v>2.57</v>
      </c>
      <c r="AA7" s="1608"/>
      <c r="AB7" s="1608"/>
      <c r="AC7" s="1609"/>
      <c r="AD7" s="1610"/>
      <c r="AE7" s="1610"/>
      <c r="AF7" s="1610"/>
      <c r="AG7" s="1610"/>
      <c r="AH7" s="1610"/>
      <c r="AI7" s="1610"/>
      <c r="AJ7" s="1611"/>
    </row>
    <row r="8" spans="1:36" ht="15">
      <c r="A8" s="3269"/>
      <c r="B8" s="198" t="s">
        <v>2833</v>
      </c>
      <c r="C8" s="2752"/>
      <c r="D8" s="920" t="s">
        <v>139</v>
      </c>
      <c r="E8" s="921" t="e">
        <f>ROUND(C11/E7,4)</f>
        <v>#DIV/0!</v>
      </c>
      <c r="F8" s="2753" t="s">
        <v>2834</v>
      </c>
      <c r="G8" s="2754"/>
      <c r="H8" s="2754"/>
      <c r="I8" s="2754"/>
      <c r="J8" s="2755"/>
      <c r="K8" s="1372"/>
      <c r="L8" s="2728" t="s">
        <v>2835</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1" t="s">
        <v>2836</v>
      </c>
      <c r="X8" s="3262"/>
      <c r="Y8" s="1612" t="s">
        <v>2837</v>
      </c>
      <c r="Z8" s="1612" t="s">
        <v>2838</v>
      </c>
      <c r="AA8" s="1612" t="s">
        <v>2839</v>
      </c>
      <c r="AB8" s="1612" t="s">
        <v>2840</v>
      </c>
      <c r="AC8" s="1612" t="s">
        <v>2841</v>
      </c>
      <c r="AD8" s="1612" t="s">
        <v>2842</v>
      </c>
      <c r="AE8" s="1612" t="s">
        <v>2843</v>
      </c>
      <c r="AF8" s="1612" t="s">
        <v>2844</v>
      </c>
      <c r="AG8" s="1612" t="s">
        <v>2845</v>
      </c>
      <c r="AH8" s="1612" t="s">
        <v>2846</v>
      </c>
      <c r="AI8" s="1612" t="s">
        <v>2847</v>
      </c>
      <c r="AJ8" s="1612" t="s">
        <v>2848</v>
      </c>
    </row>
    <row r="9" spans="1:36" ht="15">
      <c r="A9" s="3269"/>
      <c r="B9" s="198" t="s">
        <v>2849</v>
      </c>
      <c r="C9" s="922">
        <f>SUMIF(修正!C59:C119,C8,修正!E59:E119)</f>
        <v>0</v>
      </c>
      <c r="D9" s="200" t="s">
        <v>140</v>
      </c>
      <c r="E9" s="200" t="e">
        <f>ROUND(C11/E7,4)</f>
        <v>#DIV/0!</v>
      </c>
      <c r="F9" s="2753" t="s">
        <v>2850</v>
      </c>
      <c r="G9" s="2754"/>
      <c r="H9" s="2754"/>
      <c r="I9" s="2754"/>
      <c r="J9" s="2755"/>
      <c r="K9" s="1372"/>
      <c r="L9" s="2728" t="s">
        <v>2851</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3" t="s">
        <v>2852</v>
      </c>
      <c r="X9" s="1613" t="s">
        <v>2853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9"/>
      <c r="B10" s="198" t="s">
        <v>2854</v>
      </c>
      <c r="C10" s="200">
        <f>SUMIF(修正!C59:C119,C8,修正!F59:F119)</f>
        <v>0</v>
      </c>
      <c r="D10" s="200" t="s">
        <v>141</v>
      </c>
      <c r="E10" s="200" t="e">
        <f>ROUND(C11/E7,4)</f>
        <v>#DIV/0!</v>
      </c>
      <c r="F10" s="2753" t="s">
        <v>2855</v>
      </c>
      <c r="G10" s="2754"/>
      <c r="H10" s="2754"/>
      <c r="I10" s="2754"/>
      <c r="J10" s="2755"/>
      <c r="K10" s="1372"/>
      <c r="L10" s="2728" t="s">
        <v>2856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9"/>
      <c r="B11" s="2756" t="s">
        <v>2857</v>
      </c>
      <c r="C11" s="923">
        <f>C10/4</f>
        <v>0</v>
      </c>
      <c r="D11" s="923" t="s">
        <v>142</v>
      </c>
      <c r="E11" s="923" t="e">
        <f>ROUND(C11/E7,4)</f>
        <v>#DIV/0!</v>
      </c>
      <c r="F11" s="2757" t="s">
        <v>2858</v>
      </c>
      <c r="G11" s="2758"/>
      <c r="H11" s="2758"/>
      <c r="I11" s="2758"/>
      <c r="J11" s="2759"/>
      <c r="K11" s="1372"/>
      <c r="L11" s="2728" t="s">
        <v>2859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3" t="s">
        <v>2860</v>
      </c>
      <c r="X11" s="1616" t="s">
        <v>2861</v>
      </c>
      <c r="Y11" s="1617">
        <f>$G$3</f>
        <v>2.57</v>
      </c>
      <c r="Z11" s="1617">
        <f t="shared" ref="Z11:AJ11" si="3">$G$3</f>
        <v>2.57</v>
      </c>
      <c r="AA11" s="1617">
        <f t="shared" si="3"/>
        <v>2.57</v>
      </c>
      <c r="AB11" s="1617">
        <f t="shared" si="3"/>
        <v>2.57</v>
      </c>
      <c r="AC11" s="1617">
        <f t="shared" si="3"/>
        <v>2.57</v>
      </c>
      <c r="AD11" s="1617">
        <f t="shared" si="3"/>
        <v>2.57</v>
      </c>
      <c r="AE11" s="1617">
        <f t="shared" si="3"/>
        <v>2.57</v>
      </c>
      <c r="AF11" s="1617">
        <f t="shared" si="3"/>
        <v>2.57</v>
      </c>
      <c r="AG11" s="1617">
        <f t="shared" si="3"/>
        <v>2.57</v>
      </c>
      <c r="AH11" s="1617">
        <f t="shared" si="3"/>
        <v>2.57</v>
      </c>
      <c r="AI11" s="1617">
        <f t="shared" si="3"/>
        <v>2.57</v>
      </c>
      <c r="AJ11" s="1617">
        <f t="shared" si="3"/>
        <v>2.57</v>
      </c>
    </row>
    <row r="12" spans="1:36" ht="25.5" thickBot="1">
      <c r="A12" s="3268" t="s">
        <v>2862</v>
      </c>
      <c r="B12" s="2760" t="s">
        <v>2863</v>
      </c>
      <c r="C12" s="919">
        <f>ROUND(C15*D15*E15*F15*G15*H15*I15*J15,4)</f>
        <v>1</v>
      </c>
      <c r="D12" s="2761" t="s">
        <v>2864</v>
      </c>
      <c r="E12" s="2762"/>
      <c r="F12" s="2762"/>
      <c r="G12" s="2763"/>
      <c r="H12" s="2763"/>
      <c r="I12" s="2763"/>
      <c r="J12" s="2764"/>
      <c r="K12" s="1372"/>
      <c r="L12" s="2765" t="s">
        <v>2865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3"/>
      <c r="X12" s="1618" t="s">
        <v>2866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0"/>
      <c r="B13" s="2766" t="s">
        <v>2867</v>
      </c>
      <c r="C13" s="2767" t="s">
        <v>2868</v>
      </c>
      <c r="D13" s="1810" t="s">
        <v>2869</v>
      </c>
      <c r="E13" s="1810" t="s">
        <v>2870</v>
      </c>
      <c r="F13" s="30" t="s">
        <v>2871</v>
      </c>
      <c r="G13" s="2768" t="s">
        <v>2872</v>
      </c>
      <c r="H13" s="2768" t="s">
        <v>2872</v>
      </c>
      <c r="I13" s="2768" t="s">
        <v>2872</v>
      </c>
      <c r="J13" s="2769" t="s">
        <v>2872</v>
      </c>
      <c r="K13" s="1372"/>
      <c r="L13" s="1372"/>
      <c r="M13" s="1372"/>
      <c r="N13" s="1372"/>
      <c r="O13" s="1372"/>
      <c r="P13" s="1372"/>
      <c r="Q13" s="1372"/>
      <c r="R13" s="1604">
        <v>12</v>
      </c>
      <c r="S13" s="1605"/>
      <c r="T13" s="1604" t="e">
        <f t="shared" si="0"/>
        <v>#DIV/0!</v>
      </c>
      <c r="U13" s="1605"/>
      <c r="V13" s="1604" t="e">
        <f t="shared" si="1"/>
        <v>#DIV/0!</v>
      </c>
      <c r="W13" s="3263"/>
      <c r="X13" s="1618"/>
      <c r="Y13" s="1615">
        <f>(-0.163*(Y12^2)-0.59*Y12+7617)*(10^(-4))/Y11</f>
        <v>0.29638132295719849</v>
      </c>
      <c r="Z13" s="1615">
        <f t="shared" ref="Z13:AJ13" si="5">(-0.163*(Z12^2)-0.59*Z12+7617)*(10^(-4))/Z11</f>
        <v>0.29638132295719849</v>
      </c>
      <c r="AA13" s="1615">
        <f t="shared" si="5"/>
        <v>0.29638132295719849</v>
      </c>
      <c r="AB13" s="1615">
        <f t="shared" si="5"/>
        <v>0.29638132295719849</v>
      </c>
      <c r="AC13" s="1615">
        <f t="shared" si="5"/>
        <v>0.29638132295719849</v>
      </c>
      <c r="AD13" s="1615">
        <f t="shared" si="5"/>
        <v>0.29638132295719849</v>
      </c>
      <c r="AE13" s="1615">
        <f t="shared" si="5"/>
        <v>0.29638132295719849</v>
      </c>
      <c r="AF13" s="1615">
        <f t="shared" si="5"/>
        <v>0.29638132295719849</v>
      </c>
      <c r="AG13" s="1615">
        <f t="shared" si="5"/>
        <v>0.29638132295719849</v>
      </c>
      <c r="AH13" s="1615">
        <f t="shared" si="5"/>
        <v>0.29638132295719849</v>
      </c>
      <c r="AI13" s="1615">
        <f t="shared" si="5"/>
        <v>0.29638132295719849</v>
      </c>
      <c r="AJ13" s="1615">
        <f t="shared" si="5"/>
        <v>0.29638132295719849</v>
      </c>
    </row>
    <row r="14" spans="1:36" ht="15">
      <c r="A14" s="3270"/>
      <c r="B14" s="2770"/>
      <c r="C14" s="2771"/>
      <c r="D14" s="2772"/>
      <c r="E14" s="2772"/>
      <c r="F14" s="2773"/>
      <c r="G14" s="2774" t="s">
        <v>2873</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1"/>
      <c r="B15" s="2778" t="s">
        <v>2874</v>
      </c>
      <c r="C15" s="229">
        <f>IF(C14="有",1.1,1)</f>
        <v>1</v>
      </c>
      <c r="D15" s="229">
        <f>IF(D14="有",1.1,1)</f>
        <v>1</v>
      </c>
      <c r="E15" s="229">
        <f>IF(E14="有",1.1,1)</f>
        <v>1</v>
      </c>
      <c r="F15" s="229">
        <f>IF(F14="500米范围内",1.2,IF(F14="500-1000米",1.1,1))</f>
        <v>1</v>
      </c>
      <c r="G15" s="949">
        <v>1</v>
      </c>
      <c r="H15" s="949">
        <v>1</v>
      </c>
      <c r="I15" s="949">
        <v>1</v>
      </c>
      <c r="J15" s="950">
        <v>1</v>
      </c>
      <c r="K15" s="1372"/>
      <c r="L15" s="2779" t="s">
        <v>2810</v>
      </c>
      <c r="M15" s="920" t="s">
        <v>2875</v>
      </c>
      <c r="N15" s="920" t="s">
        <v>2876</v>
      </c>
      <c r="O15" s="920" t="s">
        <v>2877</v>
      </c>
      <c r="P15" s="2780" t="s">
        <v>2878</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8" t="s">
        <v>2879</v>
      </c>
      <c r="B16" s="2747" t="s">
        <v>2880</v>
      </c>
      <c r="C16" s="1803" t="e">
        <f>ROUND(SUM(G17:J17)/C17,0)</f>
        <v>#DIV/0!</v>
      </c>
      <c r="D16" s="2781" t="s">
        <v>2881</v>
      </c>
      <c r="E16" s="2782"/>
      <c r="F16" s="2783"/>
      <c r="G16" s="2784"/>
      <c r="H16" s="2784"/>
      <c r="I16" s="2784"/>
      <c r="J16" s="2785"/>
      <c r="K16" s="1372"/>
      <c r="L16" s="2786" t="s">
        <v>2882</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9"/>
      <c r="B17" s="2787" t="s">
        <v>2883</v>
      </c>
      <c r="C17" s="924">
        <f>SUMPRODUCT((修正!A2:A5=E2)*(修正!B1:M1=G2)*(修正!B2:M5))</f>
        <v>0</v>
      </c>
      <c r="D17" s="2788"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2886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2887</v>
      </c>
      <c r="C18" s="926">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2888</v>
      </c>
      <c r="C19" s="927" t="e">
        <f>ROUND(IF(H19="按公示增长率计算",SUMPRODUCT((地价!A3:A22=YEAR(G19)&amp;"-"&amp;ROUNDUP(MONTH(G19)/3,0))*(地价!X2:AB2=E2)*(地价!X3:AB22)),IF(H19="地价指数",M20/M19,(1+I19)^O19)),4)</f>
        <v>#DIV/0!</v>
      </c>
      <c r="D19" s="2799" t="s">
        <v>2889</v>
      </c>
      <c r="E19" s="928">
        <v>41640</v>
      </c>
      <c r="F19" s="2799" t="s">
        <v>2890</v>
      </c>
      <c r="G19" s="929">
        <f>'数据-取费表'!B2</f>
        <v>43297</v>
      </c>
      <c r="H19" s="2800" t="s">
        <v>2891</v>
      </c>
      <c r="I19" s="930" t="str">
        <f>IF(H19="季度增幅（自定义）",SUMIF(N21:N24,E2,O21:O24),"")</f>
        <v/>
      </c>
      <c r="J19" s="2797"/>
      <c r="K19" s="1379"/>
      <c r="L19" s="2801" t="s">
        <v>2892</v>
      </c>
      <c r="M19" s="1736">
        <f>ROUND(SUMIF(地价!B2:F2,E2,地价!B22:F22),0)</f>
        <v>0</v>
      </c>
      <c r="N19" s="2802" t="s">
        <v>2893</v>
      </c>
      <c r="O19" s="931">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2894</v>
      </c>
      <c r="C20" s="932" t="e">
        <f>ROUND(POWER(1+G20,J20-I20)*(POWER(1+G20,I20)-1)/(POWER(1+G20,J20)-1),4)</f>
        <v>#DIV/0!</v>
      </c>
      <c r="D20" s="2808" t="s">
        <v>2895</v>
      </c>
      <c r="E20" s="1770">
        <f ca="1">存贷款利率!D4/100</f>
        <v>4.3499999999999997E-2</v>
      </c>
      <c r="F20" s="2808" t="s">
        <v>2886</v>
      </c>
      <c r="G20" s="937">
        <f>SUMIF(M15:P15,E2,M17:P17)</f>
        <v>0</v>
      </c>
      <c r="H20" s="2808" t="s">
        <v>2896</v>
      </c>
      <c r="I20" s="938" t="e">
        <f>SUMIF('数据-取费表'!C6:C15,E2,'数据-取费表'!F6:F15)/COUNTIF('数据-取费表'!C6:C15,E2)</f>
        <v>#DIV/0!</v>
      </c>
      <c r="J20" s="939">
        <f>IF(E2="住宅",70,IF(E2="商业",40,50))</f>
        <v>50</v>
      </c>
      <c r="K20" s="1379"/>
      <c r="L20" s="2809" t="s">
        <v>2897</v>
      </c>
      <c r="M20" s="1737">
        <f>ROUND(SUMPRODUCT((地价!A4:A22=YEAR(G19)&amp;"-"&amp;ROUNDUP(MONTH(G19)/3,0))*(地价!B2:F2=E2)*(地价!B4:F22)),0)</f>
        <v>0</v>
      </c>
      <c r="N20" s="2810" t="s">
        <v>2898</v>
      </c>
      <c r="O20" s="2811" t="s">
        <v>2899</v>
      </c>
      <c r="P20" s="2812" t="s">
        <v>2900</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2901</v>
      </c>
      <c r="C21" s="940">
        <f>IF(B21="容积率修正",IF(G3&lt;=10,D22,J22),C23)</f>
        <v>0</v>
      </c>
      <c r="D21" s="2815"/>
      <c r="E21" s="2815"/>
      <c r="F21" s="2815"/>
      <c r="G21" s="2815"/>
      <c r="H21" s="2815"/>
      <c r="I21" s="2815"/>
      <c r="J21" s="2816"/>
      <c r="K21" s="1379"/>
      <c r="N21" s="2817" t="s">
        <v>2902</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40" customFormat="1" ht="14.25">
      <c r="A22" s="2666" t="s">
        <v>2903</v>
      </c>
      <c r="B22" s="2818" t="s">
        <v>2904</v>
      </c>
      <c r="C22" s="1812" t="s">
        <v>2905</v>
      </c>
      <c r="D22" s="1812">
        <f>IF(E22=G22,F22,IF(G3&lt;=10,ROUND(F22+(H22-F22)*(G3-E22)/(G22-E22),4),"——"))</f>
        <v>0.50380000000000003</v>
      </c>
      <c r="E22" s="916">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0.71970000000000001</v>
      </c>
      <c r="I22" s="1812" t="s">
        <v>155</v>
      </c>
      <c r="J22" s="941" t="str">
        <f>IF(G3&gt;10,D113,"——")</f>
        <v>——</v>
      </c>
      <c r="K22" s="1379"/>
      <c r="N22" s="2817" t="s">
        <v>2906</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6" t="s">
        <v>2907</v>
      </c>
      <c r="B23" s="2819" t="s">
        <v>2908</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2909</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2910</v>
      </c>
      <c r="C24" s="927">
        <f>SUMIF(A45:A88,E2,B45:B88)</f>
        <v>0</v>
      </c>
      <c r="D24" s="2795"/>
      <c r="E24" s="2825"/>
      <c r="F24" s="2825"/>
      <c r="G24" s="2825"/>
      <c r="H24" s="2825"/>
      <c r="I24" s="2825"/>
      <c r="J24" s="2826"/>
      <c r="K24" s="1379"/>
      <c r="N24" s="2827" t="s">
        <v>2911</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2912</v>
      </c>
      <c r="C25" s="933"/>
      <c r="D25" s="2750"/>
      <c r="E25" s="2750"/>
      <c r="F25" s="2829"/>
      <c r="G25" s="2750"/>
      <c r="H25" s="2750"/>
      <c r="I25" s="2750"/>
      <c r="J25" s="2751"/>
      <c r="K25" s="1372"/>
      <c r="N25" s="2830" t="s">
        <v>2913</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31"/>
      <c r="B26" s="2818" t="s">
        <v>2914</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2915</v>
      </c>
      <c r="C27" s="934"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2916</v>
      </c>
      <c r="C28" s="2842" t="s">
        <v>2917</v>
      </c>
      <c r="D28" s="2842" t="s">
        <v>2918</v>
      </c>
      <c r="E28" s="2843" t="s">
        <v>2919</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2920</v>
      </c>
      <c r="C29" s="206" t="e">
        <f>ROUND(C5*C18*C19*C20*C21*C24,0)</f>
        <v>#DIV/0!</v>
      </c>
      <c r="D29" s="2847"/>
      <c r="E29" s="945" t="e">
        <f>ROUND(C29*D29/10000,0)</f>
        <v>#DIV/0!</v>
      </c>
      <c r="F29" s="2848" t="s">
        <v>2921</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2922</v>
      </c>
      <c r="C30" s="229" t="e">
        <f>ROUND(IF(E2="工业",C29*M39,C29*M38),0)</f>
        <v>#DIV/0!</v>
      </c>
      <c r="D30" s="2853"/>
      <c r="E30" s="945" t="e">
        <f>ROUND(C30*D30/10000,0)</f>
        <v>#DIV/0!</v>
      </c>
      <c r="F30" s="2854" t="s">
        <v>2923</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2924</v>
      </c>
      <c r="C31" s="2859" t="s">
        <v>2925</v>
      </c>
      <c r="D31" s="2763"/>
      <c r="E31" s="2859"/>
      <c r="F31" s="2859"/>
      <c r="G31" s="2761" t="s">
        <v>2926</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2917</v>
      </c>
      <c r="D32" s="498" t="s">
        <v>2918</v>
      </c>
      <c r="E32" s="498" t="s">
        <v>2919</v>
      </c>
      <c r="F32" s="388" t="s">
        <v>2927</v>
      </c>
      <c r="G32" s="2862" t="s">
        <v>2917</v>
      </c>
      <c r="H32" s="2862" t="s">
        <v>2918</v>
      </c>
      <c r="I32" s="2862" t="s">
        <v>2919</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8" t="s">
        <v>2928</v>
      </c>
      <c r="B33" s="2863" t="s">
        <v>2929</v>
      </c>
      <c r="C33" s="206" t="e">
        <f>ROUND(D5*C19*C20*C24*F33,0)</f>
        <v>#DIV/0!</v>
      </c>
      <c r="D33" s="2847"/>
      <c r="E33" s="200" t="e">
        <f>ROUND(C33*D33/10000,0)</f>
        <v>#DIV/0!</v>
      </c>
      <c r="F33" s="200">
        <f>SUMIF(修正!A45:A56,G2,修正!B45:B56)</f>
        <v>0.7</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9"/>
      <c r="B34" s="2767" t="s">
        <v>2930</v>
      </c>
      <c r="C34" s="206" t="e">
        <f>ROUND(D5*C19*C20*C24*F34,0)</f>
        <v>#DIV/0!</v>
      </c>
      <c r="D34" s="2847"/>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9"/>
      <c r="B35" s="2767" t="s">
        <v>2931</v>
      </c>
      <c r="C35" s="206" t="e">
        <f>ROUND(D5*C19*C20*C24*F35,0)</f>
        <v>#DIV/0!</v>
      </c>
      <c r="D35" s="2847"/>
      <c r="E35" s="200" t="e">
        <f t="shared" si="7"/>
        <v>#DIV/0!</v>
      </c>
      <c r="F35" s="200">
        <f>SUMIF(修正!A45:A56,G2,修正!D45:D56)</f>
        <v>0.28000000000000003</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80"/>
      <c r="B36" s="2767" t="s">
        <v>2932</v>
      </c>
      <c r="C36" s="206" t="e">
        <f>ROUND(D5*C19*C20*C24*F36,0)</f>
        <v>#DIV/0!</v>
      </c>
      <c r="D36" s="2847"/>
      <c r="E36" s="200" t="e">
        <f t="shared" si="7"/>
        <v>#DIV/0!</v>
      </c>
      <c r="F36" s="200">
        <f>SUMIF(修正!A45:A56,G2,修正!E45:E56)</f>
        <v>0.25</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2933</v>
      </c>
      <c r="C37" s="200" t="e">
        <f>ROUND(C5*C19*C20*C24*F37,0)</f>
        <v>#DIV/0!</v>
      </c>
      <c r="D37" s="2847"/>
      <c r="E37" s="200" t="e">
        <f t="shared" si="7"/>
        <v>#DIV/0!</v>
      </c>
      <c r="F37" s="206">
        <f>SUMIF(修正!A45:A56,G2,修正!F45:F56)</f>
        <v>0.25</v>
      </c>
      <c r="G37" s="200" t="e">
        <f>ROUND(IF(E2="工业",C37*$M$39,C37*$M$38),0)</f>
        <v>#DIV/0!</v>
      </c>
      <c r="H37" s="200">
        <f t="shared" si="8"/>
        <v>0</v>
      </c>
      <c r="I37" s="200" t="e">
        <f t="shared" si="9"/>
        <v>#DIV/0!</v>
      </c>
      <c r="J37" s="2864"/>
      <c r="K37" s="1372"/>
      <c r="L37" s="2866" t="s">
        <v>2934</v>
      </c>
      <c r="M37" s="2867"/>
      <c r="N37" s="1372"/>
      <c r="O37" s="1372"/>
      <c r="P37" s="1372"/>
      <c r="Q37" s="1372"/>
      <c r="R37" s="1372"/>
      <c r="S37" s="1372"/>
      <c r="T37" s="1372"/>
      <c r="U37" s="1372"/>
      <c r="V37" s="1372"/>
      <c r="W37" s="1372"/>
      <c r="X37" s="1372"/>
      <c r="Y37" s="1372"/>
      <c r="Z37" s="1373"/>
    </row>
    <row r="38" spans="1:37">
      <c r="A38" s="2865"/>
      <c r="B38" s="2767" t="s">
        <v>2935</v>
      </c>
      <c r="C38" s="200" t="e">
        <f>ROUND(C5*C19*C20*C24*F38,0)</f>
        <v>#DIV/0!</v>
      </c>
      <c r="D38" s="2847"/>
      <c r="E38" s="200" t="e">
        <f t="shared" si="7"/>
        <v>#DIV/0!</v>
      </c>
      <c r="F38" s="206">
        <f>SUMIF(修正!A45:A56,G2,修正!G45:G56)</f>
        <v>0.25</v>
      </c>
      <c r="G38" s="200" t="e">
        <f>ROUND(IF(E2="工业",C38*$M$39,C38*$M$38),0)</f>
        <v>#DIV/0!</v>
      </c>
      <c r="H38" s="200">
        <f t="shared" si="8"/>
        <v>0</v>
      </c>
      <c r="I38" s="200" t="e">
        <f t="shared" si="9"/>
        <v>#DIV/0!</v>
      </c>
      <c r="J38" s="2864"/>
      <c r="K38" s="1372"/>
      <c r="L38" s="1889" t="s">
        <v>2936</v>
      </c>
      <c r="M38" s="2868">
        <v>0.25</v>
      </c>
      <c r="N38" s="1372"/>
      <c r="O38" s="1372"/>
      <c r="P38" s="1372"/>
      <c r="Q38" s="1372"/>
      <c r="R38" s="1372"/>
      <c r="S38" s="1372"/>
      <c r="T38" s="1372"/>
      <c r="U38" s="1372"/>
      <c r="V38" s="1372"/>
      <c r="W38" s="1372"/>
      <c r="X38" s="1372"/>
      <c r="Y38" s="1372"/>
      <c r="Z38" s="1373"/>
    </row>
    <row r="39" spans="1:37" ht="13.5" thickBot="1">
      <c r="A39" s="2851"/>
      <c r="B39" s="2869" t="s">
        <v>2937</v>
      </c>
      <c r="C39" s="229" t="e">
        <f>ROUND(C5*C19*C20*C24*F39,0)</f>
        <v>#DIV/0!</v>
      </c>
      <c r="D39" s="2853"/>
      <c r="E39" s="229" t="e">
        <f t="shared" si="7"/>
        <v>#DIV/0!</v>
      </c>
      <c r="F39" s="935">
        <f>SUMIF(修正!A45:A56,G2,修正!H45:H56)</f>
        <v>0.2</v>
      </c>
      <c r="G39" s="229" t="e">
        <f>ROUND(IF(E2="工业",C39*$M$39,C39*$M$38),0)</f>
        <v>#DIV/0!</v>
      </c>
      <c r="H39" s="229">
        <f t="shared" si="8"/>
        <v>0</v>
      </c>
      <c r="I39" s="229" t="e">
        <f t="shared" si="9"/>
        <v>#DIV/0!</v>
      </c>
      <c r="J39" s="2870"/>
      <c r="K39" s="1372"/>
      <c r="L39" s="2871" t="s">
        <v>2878</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2938</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2939</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2940</v>
      </c>
      <c r="B47" s="1811" t="s">
        <v>2941</v>
      </c>
      <c r="C47" s="1811" t="s">
        <v>2942</v>
      </c>
      <c r="D47" s="1811" t="s">
        <v>2943</v>
      </c>
      <c r="E47" s="819" t="s">
        <v>2944</v>
      </c>
      <c r="F47" s="2881" t="s">
        <v>2945</v>
      </c>
      <c r="G47" s="1811" t="s">
        <v>754</v>
      </c>
      <c r="H47" s="2882" t="s">
        <v>2946</v>
      </c>
      <c r="I47" s="1811" t="s">
        <v>2947</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38.25">
      <c r="A48" s="2880" t="s">
        <v>2948</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2949</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2950</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2951</v>
      </c>
      <c r="B51" s="2885" t="s">
        <v>2952</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2953</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2954</v>
      </c>
      <c r="B53" s="2886" t="s">
        <v>2955</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2956</v>
      </c>
      <c r="B54" s="1727"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2957</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2958</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2959</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2940</v>
      </c>
      <c r="B58" s="1811"/>
      <c r="C58" s="1811" t="s">
        <v>2942</v>
      </c>
      <c r="D58" s="1811" t="s">
        <v>2943</v>
      </c>
      <c r="E58" s="819" t="s">
        <v>2944</v>
      </c>
      <c r="F58" s="2881" t="s">
        <v>2960</v>
      </c>
      <c r="G58" s="1811" t="s">
        <v>754</v>
      </c>
      <c r="H58" s="2882" t="s">
        <v>2946</v>
      </c>
      <c r="I58" s="1811" t="s">
        <v>2947</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38.25">
      <c r="A59" s="2880" t="s">
        <v>2961</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2949</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2950</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2951</v>
      </c>
      <c r="B62" s="2885" t="s">
        <v>2952</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2953</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2954</v>
      </c>
      <c r="B64" s="2886" t="s">
        <v>2955</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2956</v>
      </c>
      <c r="B65" s="1727"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2957</v>
      </c>
      <c r="B66" s="1727"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2958</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2962</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2940</v>
      </c>
      <c r="B69" s="1811"/>
      <c r="C69" s="1811" t="s">
        <v>2942</v>
      </c>
      <c r="D69" s="1811" t="s">
        <v>2943</v>
      </c>
      <c r="E69" s="819" t="s">
        <v>2944</v>
      </c>
      <c r="F69" s="2881" t="s">
        <v>2960</v>
      </c>
      <c r="G69" s="1811" t="s">
        <v>754</v>
      </c>
      <c r="H69" s="2882" t="s">
        <v>2946</v>
      </c>
      <c r="I69" s="1811" t="s">
        <v>2947</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51">
      <c r="A70" s="2880" t="s">
        <v>2963</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2949</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2950</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2964</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2956</v>
      </c>
      <c r="B74" s="1727"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2957</v>
      </c>
      <c r="B75" s="1727"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2954</v>
      </c>
      <c r="B76" s="2886" t="s">
        <v>2955</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2958</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2965</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2966</v>
      </c>
      <c r="B79" s="2877">
        <f>1+E81</f>
        <v>1</v>
      </c>
      <c r="C79" s="814"/>
      <c r="D79" s="814"/>
      <c r="E79" s="815"/>
      <c r="F79" s="2879"/>
      <c r="G79" s="6"/>
      <c r="H79" s="6"/>
      <c r="I79" s="6"/>
      <c r="J79" s="7"/>
      <c r="K79" s="7"/>
      <c r="L79" s="7"/>
      <c r="M79" s="7"/>
      <c r="N79" s="7"/>
      <c r="Z79" s="2722"/>
      <c r="AA79" s="2798"/>
      <c r="AG79" s="1374"/>
      <c r="AK79" s="2798"/>
    </row>
    <row r="80" spans="1:37" ht="24.75">
      <c r="A80" s="2880" t="s">
        <v>2940</v>
      </c>
      <c r="B80" s="1811"/>
      <c r="C80" s="1811" t="s">
        <v>2942</v>
      </c>
      <c r="D80" s="1811" t="s">
        <v>2943</v>
      </c>
      <c r="E80" s="819" t="s">
        <v>2944</v>
      </c>
      <c r="F80" s="2881" t="s">
        <v>2960</v>
      </c>
      <c r="G80" s="1811" t="s">
        <v>754</v>
      </c>
      <c r="H80" s="2882" t="s">
        <v>2946</v>
      </c>
      <c r="I80" s="1811" t="s">
        <v>2947</v>
      </c>
      <c r="J80" s="603" t="s">
        <v>2594</v>
      </c>
      <c r="K80" s="603" t="s">
        <v>2595</v>
      </c>
      <c r="L80" s="603" t="s">
        <v>2596</v>
      </c>
      <c r="M80" s="603" t="s">
        <v>2597</v>
      </c>
      <c r="N80" s="603" t="s">
        <v>2598</v>
      </c>
      <c r="Z80" s="2722"/>
      <c r="AA80" s="2798"/>
      <c r="AG80" s="1374"/>
      <c r="AK80" s="2798"/>
    </row>
    <row r="81" spans="1:37" ht="63.75">
      <c r="A81" s="2880" t="s">
        <v>2967</v>
      </c>
      <c r="B81" s="2884" t="str">
        <f>估价对象房地状况!G15</f>
        <v>估价对象位于大兴开发区，周边1公里范围内有平客集文华创业园、北京锦秋文化创意产业园等，产业集聚程度较好。</v>
      </c>
      <c r="C81" s="2772"/>
      <c r="D81" s="1288">
        <f t="shared" ref="D81:D88" si="25">SUMIF($J$80:$N$80,C81,J81:N81)</f>
        <v>0</v>
      </c>
      <c r="E81" s="821">
        <f>ROUND(SUM(D81:D88),4)</f>
        <v>0</v>
      </c>
      <c r="F81" s="2503"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2949</v>
      </c>
      <c r="B82" s="2884" t="str">
        <f>估价对象房地状况!G16</f>
        <v>周边1公里范围内有专67路、954路、兴36路等公交线路，停车便捷度较好，交通便捷度一般。</v>
      </c>
      <c r="C82" s="2772"/>
      <c r="D82" s="1288">
        <f t="shared" si="25"/>
        <v>0</v>
      </c>
      <c r="E82" s="826"/>
      <c r="F82" s="2503"/>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2950</v>
      </c>
      <c r="B83" s="2884">
        <f>估价对象房地状况!G17</f>
        <v>0</v>
      </c>
      <c r="C83" s="2772"/>
      <c r="D83" s="1288">
        <f t="shared" si="25"/>
        <v>0</v>
      </c>
      <c r="E83" s="826"/>
      <c r="F83" s="2503"/>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4.25">
      <c r="A84" s="2880" t="s">
        <v>2964</v>
      </c>
      <c r="B84" s="2884">
        <f>估价对象房地状况!G22</f>
        <v>0</v>
      </c>
      <c r="C84" s="2772"/>
      <c r="D84" s="1288">
        <f t="shared" si="25"/>
        <v>0</v>
      </c>
      <c r="E84" s="826"/>
      <c r="F84" s="2503"/>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38.25">
      <c r="A85" s="2880" t="s">
        <v>2956</v>
      </c>
      <c r="B85" s="1727" t="str">
        <f>估价对象房地状况!G19</f>
        <v>周边2公里内有银行、超市、餐饮等配套，公共服务设施一般</v>
      </c>
      <c r="C85" s="2772"/>
      <c r="D85" s="1288">
        <f t="shared" si="25"/>
        <v>0</v>
      </c>
      <c r="E85" s="826"/>
      <c r="F85" s="2503"/>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4">
      <c r="A86" s="2880" t="s">
        <v>2957</v>
      </c>
      <c r="B86" s="1727" t="str">
        <f>估价对象房地状况!G20</f>
        <v>七通</v>
      </c>
      <c r="C86" s="2772"/>
      <c r="D86" s="1288">
        <f t="shared" si="25"/>
        <v>0</v>
      </c>
      <c r="E86" s="826"/>
      <c r="F86" s="2503"/>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24">
      <c r="A87" s="2880" t="s">
        <v>2954</v>
      </c>
      <c r="B87" s="2886" t="s">
        <v>2968</v>
      </c>
      <c r="C87" s="2772"/>
      <c r="D87" s="1288">
        <f t="shared" si="25"/>
        <v>0</v>
      </c>
      <c r="E87" s="826"/>
      <c r="F87" s="2503"/>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51.75" thickBot="1">
      <c r="A88" s="2888" t="s">
        <v>2969</v>
      </c>
      <c r="B88" s="2893" t="str">
        <f>估价对象房地状况!G18</f>
        <v>区域内污染物排放及治理状况一般，周边无危险设施及污染源，环境状况较好。</v>
      </c>
      <c r="C88" s="2772"/>
      <c r="D88" s="1288">
        <f t="shared" si="25"/>
        <v>0</v>
      </c>
      <c r="E88" s="827"/>
      <c r="F88" s="2503"/>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72" t="s">
        <v>2970</v>
      </c>
      <c r="B90" s="3272"/>
      <c r="C90" s="3272"/>
      <c r="D90" s="3272"/>
      <c r="E90" s="3272"/>
      <c r="F90" s="3272"/>
      <c r="G90" s="3272"/>
      <c r="H90" s="3272"/>
      <c r="I90" s="3272"/>
      <c r="J90" s="3272"/>
      <c r="K90" s="2894"/>
      <c r="L90" s="2894"/>
      <c r="M90" s="2894"/>
      <c r="N90" s="2894"/>
    </row>
    <row r="91" spans="1:37">
      <c r="A91" s="3274" t="s">
        <v>2971</v>
      </c>
      <c r="B91" s="3274" t="s">
        <v>2972</v>
      </c>
      <c r="C91" s="2848" t="s">
        <v>2973</v>
      </c>
      <c r="D91" s="2849"/>
      <c r="E91" s="2849"/>
      <c r="F91" s="2849"/>
      <c r="G91" s="2849"/>
      <c r="H91" s="2849"/>
      <c r="I91" s="2849"/>
      <c r="J91" s="2895"/>
      <c r="K91" s="2896"/>
      <c r="L91" s="2896"/>
      <c r="M91" s="2896"/>
      <c r="N91" s="2896"/>
    </row>
    <row r="92" spans="1:37">
      <c r="A92" s="3274"/>
      <c r="B92" s="3274"/>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75" t="s">
        <v>2974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6"/>
      <c r="B99" s="2897" t="s">
        <v>2853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5" t="s">
        <v>2975</v>
      </c>
      <c r="B101" s="2901" t="s">
        <v>2976</v>
      </c>
      <c r="C101" s="2902">
        <f>$G$3</f>
        <v>2.57</v>
      </c>
      <c r="D101" s="2902">
        <f t="shared" ref="D101:N101" si="31">$G$3</f>
        <v>2.57</v>
      </c>
      <c r="E101" s="2902">
        <f t="shared" si="31"/>
        <v>2.57</v>
      </c>
      <c r="F101" s="2902">
        <f t="shared" si="31"/>
        <v>2.57</v>
      </c>
      <c r="G101" s="2902">
        <f t="shared" si="31"/>
        <v>2.57</v>
      </c>
      <c r="H101" s="2902">
        <f t="shared" si="31"/>
        <v>2.57</v>
      </c>
      <c r="I101" s="2902">
        <f t="shared" si="31"/>
        <v>2.57</v>
      </c>
      <c r="J101" s="2902">
        <f t="shared" si="31"/>
        <v>2.57</v>
      </c>
      <c r="K101" s="2902">
        <f t="shared" si="31"/>
        <v>2.57</v>
      </c>
      <c r="L101" s="2902">
        <f t="shared" si="31"/>
        <v>2.57</v>
      </c>
      <c r="M101" s="2902">
        <f t="shared" si="31"/>
        <v>2.57</v>
      </c>
      <c r="N101" s="2902">
        <f t="shared" si="31"/>
        <v>2.57</v>
      </c>
    </row>
    <row r="102" spans="1:14">
      <c r="A102" s="3276"/>
      <c r="B102" s="2897">
        <v>1</v>
      </c>
      <c r="C102" s="2898">
        <f>1.9362/C101</f>
        <v>0.75338521400778213</v>
      </c>
      <c r="D102" s="2898">
        <f>1.9362/D101</f>
        <v>0.75338521400778213</v>
      </c>
      <c r="E102" s="2898">
        <f>1.8629/E101</f>
        <v>0.72486381322957205</v>
      </c>
      <c r="F102" s="2898">
        <f>1.8629/F101</f>
        <v>0.72486381322957205</v>
      </c>
      <c r="G102" s="2898">
        <f>1.8629/G101</f>
        <v>0.72486381322957205</v>
      </c>
      <c r="H102" s="2898">
        <f>1.8629/H101</f>
        <v>0.72486381322957205</v>
      </c>
      <c r="I102" s="2898">
        <f>1.8629/I101</f>
        <v>0.72486381322957205</v>
      </c>
      <c r="J102" s="2898">
        <f>1.942/J101</f>
        <v>0.75564202334630348</v>
      </c>
      <c r="K102" s="2898">
        <f>1.942/K101</f>
        <v>0.75564202334630348</v>
      </c>
      <c r="L102" s="2898">
        <f>1.942/L101</f>
        <v>0.75564202334630348</v>
      </c>
      <c r="M102" s="2898">
        <f>1.942/M101</f>
        <v>0.75564202334630348</v>
      </c>
      <c r="N102" s="2898">
        <f>1.942/N101</f>
        <v>0.75564202334630348</v>
      </c>
    </row>
    <row r="103" spans="1:14">
      <c r="A103" s="3276"/>
      <c r="B103" s="2897">
        <v>2</v>
      </c>
      <c r="C103" s="2898">
        <f>1.4198/C101</f>
        <v>0.55245136186770427</v>
      </c>
      <c r="D103" s="2898">
        <f>1.4198/D101</f>
        <v>0.55245136186770427</v>
      </c>
      <c r="E103" s="2898">
        <f>1.3372/E101</f>
        <v>0.52031128404669258</v>
      </c>
      <c r="F103" s="2898">
        <f>1.3372/F101</f>
        <v>0.52031128404669258</v>
      </c>
      <c r="G103" s="2898">
        <f>1.3372/G101</f>
        <v>0.52031128404669258</v>
      </c>
      <c r="H103" s="2898">
        <f>1.3372/H101</f>
        <v>0.52031128404669258</v>
      </c>
      <c r="I103" s="2898">
        <f>1.3372/I101</f>
        <v>0.52031128404669258</v>
      </c>
      <c r="J103" s="2898">
        <f>1.2799/J101</f>
        <v>0.49801556420233467</v>
      </c>
      <c r="K103" s="2898">
        <f>1.2799/K101</f>
        <v>0.49801556420233467</v>
      </c>
      <c r="L103" s="2898">
        <f>1.2799/L101</f>
        <v>0.49801556420233467</v>
      </c>
      <c r="M103" s="2898">
        <f>1.2799/M101</f>
        <v>0.49801556420233467</v>
      </c>
      <c r="N103" s="2898">
        <f>1.2799/N101</f>
        <v>0.49801556420233467</v>
      </c>
    </row>
    <row r="104" spans="1:14">
      <c r="A104" s="3276"/>
      <c r="B104" s="2897">
        <v>3</v>
      </c>
      <c r="C104" s="2898">
        <f>1.1594/C101</f>
        <v>0.45112840466926074</v>
      </c>
      <c r="D104" s="2898">
        <f>1.1594/D101</f>
        <v>0.45112840466926074</v>
      </c>
      <c r="E104" s="2898">
        <f>1.0788/E101</f>
        <v>0.41976653696498056</v>
      </c>
      <c r="F104" s="2898">
        <f>1.0788/F101</f>
        <v>0.41976653696498056</v>
      </c>
      <c r="G104" s="2898">
        <f>1.0788/G101</f>
        <v>0.41976653696498056</v>
      </c>
      <c r="H104" s="2898">
        <f>1.0788/H101</f>
        <v>0.41976653696498056</v>
      </c>
      <c r="I104" s="2898">
        <f>1.0788/I101</f>
        <v>0.41976653696498056</v>
      </c>
      <c r="J104" s="2898">
        <f>1.0072/J101</f>
        <v>0.39190661478599226</v>
      </c>
      <c r="K104" s="2898">
        <f>1.0072/K101</f>
        <v>0.39190661478599226</v>
      </c>
      <c r="L104" s="2898">
        <f>1.0072/L101</f>
        <v>0.39190661478599226</v>
      </c>
      <c r="M104" s="2898">
        <f>1.0072/M101</f>
        <v>0.39190661478599226</v>
      </c>
      <c r="N104" s="2898">
        <f>1.0072/N101</f>
        <v>0.39190661478599226</v>
      </c>
    </row>
    <row r="105" spans="1:14">
      <c r="A105" s="3276"/>
      <c r="B105" s="2897">
        <v>4</v>
      </c>
      <c r="C105" s="2898">
        <f>0.9622/C101</f>
        <v>0.37439688715953312</v>
      </c>
      <c r="D105" s="2898">
        <f>0.9622/D101</f>
        <v>0.37439688715953312</v>
      </c>
      <c r="E105" s="2898">
        <f>0.8656/E101</f>
        <v>0.33680933852140083</v>
      </c>
      <c r="F105" s="2898">
        <f>0.8656/F101</f>
        <v>0.33680933852140083</v>
      </c>
      <c r="G105" s="2898">
        <f>0.8656/G101</f>
        <v>0.33680933852140083</v>
      </c>
      <c r="H105" s="2898">
        <f>0.8656/H101</f>
        <v>0.33680933852140083</v>
      </c>
      <c r="I105" s="2898">
        <f>0.8656/I101</f>
        <v>0.33680933852140083</v>
      </c>
      <c r="J105" s="2898">
        <f>0.7525/J101</f>
        <v>0.29280155642023348</v>
      </c>
      <c r="K105" s="2898">
        <f>0.7525/K101</f>
        <v>0.29280155642023348</v>
      </c>
      <c r="L105" s="2898">
        <f>0.7525/L101</f>
        <v>0.29280155642023348</v>
      </c>
      <c r="M105" s="2898">
        <f>0.7525/M101</f>
        <v>0.29280155642023348</v>
      </c>
      <c r="N105" s="2898">
        <f>0.7525/N101</f>
        <v>0.29280155642023348</v>
      </c>
    </row>
    <row r="106" spans="1:14">
      <c r="A106" s="3276"/>
      <c r="B106" s="2897">
        <v>5</v>
      </c>
      <c r="C106" s="2898">
        <f>0.8417/C101</f>
        <v>0.32750972762645919</v>
      </c>
      <c r="D106" s="2898">
        <f>0.8417/D101</f>
        <v>0.32750972762645919</v>
      </c>
      <c r="E106" s="2898">
        <f>0.7371/E101</f>
        <v>0.28680933852140078</v>
      </c>
      <c r="F106" s="2898">
        <f>0.7371/F101</f>
        <v>0.28680933852140078</v>
      </c>
      <c r="G106" s="2898">
        <f>0.7371/G101</f>
        <v>0.28680933852140078</v>
      </c>
      <c r="H106" s="2898">
        <f>0.7371/H101</f>
        <v>0.28680933852140078</v>
      </c>
      <c r="I106" s="2898">
        <f>0.7371/I101</f>
        <v>0.28680933852140078</v>
      </c>
      <c r="J106" s="2898">
        <f>0.5659/J101</f>
        <v>0.22019455252918288</v>
      </c>
      <c r="K106" s="2898">
        <f>0.5659/K101</f>
        <v>0.22019455252918288</v>
      </c>
      <c r="L106" s="2898">
        <f>0.5659/L101</f>
        <v>0.22019455252918288</v>
      </c>
      <c r="M106" s="2898">
        <f>0.5659/M101</f>
        <v>0.22019455252918288</v>
      </c>
      <c r="N106" s="2898">
        <f>0.5659/N101</f>
        <v>0.22019455252918288</v>
      </c>
    </row>
    <row r="107" spans="1:14">
      <c r="A107" s="3276"/>
      <c r="B107" s="2897">
        <v>6</v>
      </c>
      <c r="C107" s="2898">
        <f>0.7608/C101</f>
        <v>0.29603112840466927</v>
      </c>
      <c r="D107" s="2898">
        <f>0.7608/D101</f>
        <v>0.29603112840466927</v>
      </c>
      <c r="E107" s="2898">
        <f>0.6482/E101</f>
        <v>0.25221789883268486</v>
      </c>
      <c r="F107" s="2898">
        <f>0.6482/F101</f>
        <v>0.25221789883268486</v>
      </c>
      <c r="G107" s="2898">
        <f>0.6482/G101</f>
        <v>0.25221789883268486</v>
      </c>
      <c r="H107" s="2898">
        <f>0.6482/H101</f>
        <v>0.25221789883268486</v>
      </c>
      <c r="I107" s="2898">
        <f>0.6482/I101</f>
        <v>0.25221789883268486</v>
      </c>
      <c r="J107" s="2898">
        <f>0.4525/J101</f>
        <v>0.17607003891050585</v>
      </c>
      <c r="K107" s="2898">
        <f>0.4525/K101</f>
        <v>0.17607003891050585</v>
      </c>
      <c r="L107" s="2898">
        <f>0.4525/L101</f>
        <v>0.17607003891050585</v>
      </c>
      <c r="M107" s="2898">
        <f>0.4525/M101</f>
        <v>0.17607003891050585</v>
      </c>
      <c r="N107" s="2898">
        <f>0.4525/N101</f>
        <v>0.17607003891050585</v>
      </c>
    </row>
    <row r="108" spans="1:14">
      <c r="A108" s="3276"/>
      <c r="B108" s="3135" t="s">
        <v>2977</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7"/>
      <c r="B109" s="3136"/>
      <c r="C109" s="2900">
        <f>(-0.163*(C108^2)-0.59*C108+7617)*(10^(-4))/C101</f>
        <v>0.29638132295719849</v>
      </c>
      <c r="D109" s="2900">
        <f>(-0.163*(D108^2)-0.59*D108+7617)*(10^(-4))/D101</f>
        <v>0.29638132295719849</v>
      </c>
      <c r="E109" s="2900">
        <f>(-0.161*(E108^2)-7.509*E108+6533)*(10^(-4))/E101</f>
        <v>0.25420233463035019</v>
      </c>
      <c r="F109" s="2900">
        <f>(-0.161*(F108^2)-7.509*F108+6533)*(10^(-4))/F101</f>
        <v>0.25420233463035019</v>
      </c>
      <c r="G109" s="2900">
        <f>(-0.161*(G108^2)-7.509*G108+6533)*(10^(-4))/G101</f>
        <v>0.25420233463035019</v>
      </c>
      <c r="H109" s="2900">
        <f>(-0.161*(H108^2)-7.509*H108+6533)*(10^(-4))/H101</f>
        <v>0.25420233463035019</v>
      </c>
      <c r="I109" s="2900">
        <f>(-0.161*(I108^2)-7.509*I108+6533)*(10^(-4))/I101</f>
        <v>0.25420233463035019</v>
      </c>
      <c r="J109" s="2900">
        <f>(-0.214*(J108^2)-21.991*J108+4665)*(10^(-4))/J101</f>
        <v>0.18151750972762648</v>
      </c>
      <c r="K109" s="2900">
        <f>(-0.214*(K108^2)-21.991*K108+4665)*(10^(-4))/K101</f>
        <v>0.18151750972762648</v>
      </c>
      <c r="L109" s="2900">
        <f>(-0.214*(L108^2)-21.991*L108+4665)*(10^(-4))/L101</f>
        <v>0.18151750972762648</v>
      </c>
      <c r="M109" s="2900">
        <f>(-0.214*(M108^2)-21.991*M108+4665)*(10^(-4))/M101</f>
        <v>0.18151750972762648</v>
      </c>
      <c r="N109" s="2900">
        <f>(-0.214*(N108^2)-21.991*N108+4665)*(10^(-4))/N101</f>
        <v>0.18151750972762648</v>
      </c>
    </row>
    <row r="110" spans="1:14">
      <c r="A110" s="3273" t="s">
        <v>2978</v>
      </c>
      <c r="B110" s="3273"/>
      <c r="C110" s="3273"/>
      <c r="D110" s="3273"/>
      <c r="E110" s="3273"/>
      <c r="F110" s="3273"/>
      <c r="G110" s="3273"/>
      <c r="H110" s="3273"/>
      <c r="I110" s="3273"/>
      <c r="J110" s="3273"/>
      <c r="K110" s="2903"/>
      <c r="L110" s="2903"/>
      <c r="M110" s="2903"/>
      <c r="N110" s="2903"/>
    </row>
    <row r="112" spans="1:14" ht="13.5" thickBot="1"/>
    <row r="113" spans="1:13" ht="25.5" thickBot="1">
      <c r="A113" s="903" t="s">
        <v>2979</v>
      </c>
      <c r="B113" s="1289">
        <f>G3</f>
        <v>2.57</v>
      </c>
      <c r="C113" s="904" t="s">
        <v>2980</v>
      </c>
      <c r="D113" s="905">
        <f>SUMPRODUCT((A115:A118=F113)*(B114:M114=H113)*B115:M118)</f>
        <v>0</v>
      </c>
      <c r="E113" s="2726" t="s">
        <v>2810</v>
      </c>
      <c r="F113" s="2905">
        <f>E2</f>
        <v>0</v>
      </c>
      <c r="G113" s="2726" t="s">
        <v>2811</v>
      </c>
      <c r="H113" s="2905" t="str">
        <f>G2</f>
        <v>七级</v>
      </c>
      <c r="I113" s="2726"/>
      <c r="J113" s="2906"/>
      <c r="K113" s="2906"/>
      <c r="L113" s="2906"/>
      <c r="M113" s="2906"/>
    </row>
    <row r="114" spans="1:13">
      <c r="A114" s="908"/>
      <c r="B114" s="2907" t="s">
        <v>2981</v>
      </c>
      <c r="C114" s="2907" t="s">
        <v>2982</v>
      </c>
      <c r="D114" s="2907" t="s">
        <v>2983</v>
      </c>
      <c r="E114" s="2908" t="s">
        <v>2984</v>
      </c>
      <c r="F114" s="2908" t="s">
        <v>2985</v>
      </c>
      <c r="G114" s="2908" t="s">
        <v>2986</v>
      </c>
      <c r="H114" s="2909" t="s">
        <v>2987</v>
      </c>
      <c r="I114" s="2909" t="s">
        <v>2988</v>
      </c>
      <c r="J114" s="2910" t="s">
        <v>2989</v>
      </c>
      <c r="K114" s="2910" t="s">
        <v>2990</v>
      </c>
      <c r="L114" s="2910" t="s">
        <v>2991</v>
      </c>
      <c r="M114" s="2911" t="s">
        <v>2992</v>
      </c>
    </row>
    <row r="115" spans="1:13">
      <c r="A115" s="909" t="s">
        <v>2875</v>
      </c>
      <c r="B115" s="910">
        <f>ROUND(0.9335-0.0094*B113,4)</f>
        <v>0.9093</v>
      </c>
      <c r="C115" s="910">
        <f>B115</f>
        <v>0.9093</v>
      </c>
      <c r="D115" s="910">
        <f>ROUND(0.8331-0.0109*B113,4)</f>
        <v>0.80510000000000004</v>
      </c>
      <c r="E115" s="910">
        <f>D115</f>
        <v>0.80510000000000004</v>
      </c>
      <c r="F115" s="910">
        <f>E115</f>
        <v>0.80510000000000004</v>
      </c>
      <c r="G115" s="910">
        <f>F115</f>
        <v>0.80510000000000004</v>
      </c>
      <c r="H115" s="910">
        <f>G115</f>
        <v>0.80510000000000004</v>
      </c>
      <c r="I115" s="910">
        <f>ROUND(0.689-0.0155*B113,4)</f>
        <v>0.6492</v>
      </c>
      <c r="J115" s="910">
        <f t="shared" ref="J115:M118" si="33">I115</f>
        <v>0.6492</v>
      </c>
      <c r="K115" s="910">
        <f t="shared" si="33"/>
        <v>0.6492</v>
      </c>
      <c r="L115" s="910">
        <f t="shared" si="33"/>
        <v>0.6492</v>
      </c>
      <c r="M115" s="911">
        <f t="shared" si="33"/>
        <v>0.6492</v>
      </c>
    </row>
    <row r="116" spans="1:13">
      <c r="A116" s="909" t="s">
        <v>2876</v>
      </c>
      <c r="B116" s="910">
        <f>ROUND(0.949-0.012*B113,4)</f>
        <v>0.91820000000000002</v>
      </c>
      <c r="C116" s="910">
        <f>B116</f>
        <v>0.91820000000000002</v>
      </c>
      <c r="D116" s="910">
        <f>ROUND(0.8567-0.013*B113,4)</f>
        <v>0.82330000000000003</v>
      </c>
      <c r="E116" s="910">
        <f t="shared" ref="E116:H117" si="34">D116</f>
        <v>0.82330000000000003</v>
      </c>
      <c r="F116" s="910">
        <f t="shared" si="34"/>
        <v>0.82330000000000003</v>
      </c>
      <c r="G116" s="910">
        <f t="shared" si="34"/>
        <v>0.82330000000000003</v>
      </c>
      <c r="H116" s="910">
        <f t="shared" si="34"/>
        <v>0.82330000000000003</v>
      </c>
      <c r="I116" s="910">
        <f>ROUND(0.7694-0.014*B113,4)</f>
        <v>0.73340000000000005</v>
      </c>
      <c r="J116" s="910">
        <f t="shared" si="33"/>
        <v>0.73340000000000005</v>
      </c>
      <c r="K116" s="910">
        <f t="shared" si="33"/>
        <v>0.73340000000000005</v>
      </c>
      <c r="L116" s="910">
        <f t="shared" si="33"/>
        <v>0.73340000000000005</v>
      </c>
      <c r="M116" s="911">
        <f t="shared" si="33"/>
        <v>0.73340000000000005</v>
      </c>
    </row>
    <row r="117" spans="1:13">
      <c r="A117" s="909" t="s">
        <v>2877</v>
      </c>
      <c r="B117" s="910">
        <f>ROUND(0.8808-0.006*B113,4)</f>
        <v>0.86539999999999995</v>
      </c>
      <c r="C117" s="910">
        <f>B117</f>
        <v>0.86539999999999995</v>
      </c>
      <c r="D117" s="910">
        <f>ROUND(0.8748-0.008*B113,4)</f>
        <v>0.85419999999999996</v>
      </c>
      <c r="E117" s="910">
        <f t="shared" si="34"/>
        <v>0.85419999999999996</v>
      </c>
      <c r="F117" s="910">
        <f t="shared" si="34"/>
        <v>0.85419999999999996</v>
      </c>
      <c r="G117" s="910">
        <f t="shared" si="34"/>
        <v>0.85419999999999996</v>
      </c>
      <c r="H117" s="910">
        <f t="shared" si="34"/>
        <v>0.85419999999999996</v>
      </c>
      <c r="I117" s="910">
        <f>ROUND(0.7412-0.0095*B113,4)</f>
        <v>0.71679999999999999</v>
      </c>
      <c r="J117" s="910">
        <f t="shared" si="33"/>
        <v>0.71679999999999999</v>
      </c>
      <c r="K117" s="910">
        <f t="shared" si="33"/>
        <v>0.71679999999999999</v>
      </c>
      <c r="L117" s="910">
        <f t="shared" si="33"/>
        <v>0.71679999999999999</v>
      </c>
      <c r="M117" s="911">
        <f t="shared" si="33"/>
        <v>0.71679999999999999</v>
      </c>
    </row>
    <row r="118" spans="1:13" ht="13.5" thickBot="1">
      <c r="A118" s="714" t="s">
        <v>2878</v>
      </c>
      <c r="B118" s="912">
        <f>ROUND(0.7275-0.01*B113,4)</f>
        <v>0.70179999999999998</v>
      </c>
      <c r="C118" s="912">
        <f>B118</f>
        <v>0.70179999999999998</v>
      </c>
      <c r="D118" s="912">
        <f>ROUND(0.7043-0.012*B113,4)</f>
        <v>0.67349999999999999</v>
      </c>
      <c r="E118" s="912">
        <f>D118</f>
        <v>0.67349999999999999</v>
      </c>
      <c r="F118" s="912">
        <f>E118</f>
        <v>0.67349999999999999</v>
      </c>
      <c r="G118" s="912">
        <f>ROUND(0.6299-0.0122*B113,4)</f>
        <v>0.59850000000000003</v>
      </c>
      <c r="H118" s="912">
        <f>G118</f>
        <v>0.59850000000000003</v>
      </c>
      <c r="I118" s="912">
        <f>ROUND(0.5667-0.0136*B113,4)</f>
        <v>0.53169999999999995</v>
      </c>
      <c r="J118" s="912">
        <f t="shared" si="33"/>
        <v>0.53169999999999995</v>
      </c>
      <c r="K118" s="912">
        <f t="shared" si="33"/>
        <v>0.53169999999999995</v>
      </c>
      <c r="L118" s="912">
        <f t="shared" si="33"/>
        <v>0.53169999999999995</v>
      </c>
      <c r="M118" s="913">
        <f t="shared" si="33"/>
        <v>0.53169999999999995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3001</v>
      </c>
    </row>
    <row r="2" spans="1:5" ht="15.75">
      <c r="A2" s="2912" t="s">
        <v>2993</v>
      </c>
      <c r="B2" s="2913" t="e">
        <f ca="1">SUMIF(B6:B13,"&lt;&gt;#ref!",B6:B13)</f>
        <v>#DIV/0!</v>
      </c>
      <c r="C2" s="2912" t="s">
        <v>2994</v>
      </c>
      <c r="D2" s="2912" t="s">
        <v>2995</v>
      </c>
      <c r="E2" s="2913">
        <f ca="1">SUMIF(E6:E13,"&lt;&gt;#ref!",E6:E13)</f>
        <v>0</v>
      </c>
    </row>
    <row r="3" spans="1:5" ht="15.75">
      <c r="A3" s="2912" t="s">
        <v>2996</v>
      </c>
      <c r="B3" s="2913" t="e">
        <f ca="1">ROUND(B2*10000/E2,0)</f>
        <v>#DIV/0!</v>
      </c>
      <c r="C3" s="2912" t="s">
        <v>3002</v>
      </c>
      <c r="D3" s="2914"/>
      <c r="E3" s="2914"/>
    </row>
    <row r="4" spans="1:5" ht="15.75">
      <c r="A4" s="2915"/>
      <c r="B4" s="2914"/>
      <c r="C4" s="2914"/>
      <c r="D4" s="2914"/>
      <c r="E4" s="2914"/>
    </row>
    <row r="5" spans="1:5" ht="28.5">
      <c r="A5" s="2916" t="s">
        <v>2997</v>
      </c>
      <c r="B5" s="2912" t="s">
        <v>2998</v>
      </c>
      <c r="C5" s="2913"/>
      <c r="D5" s="2914"/>
      <c r="E5" s="2912" t="s">
        <v>2999</v>
      </c>
    </row>
    <row r="6" spans="1:5" ht="15.75">
      <c r="A6" s="2917" t="s">
        <v>3000</v>
      </c>
      <c r="B6" s="2913" t="e">
        <f ca="1">SUMIF(INDIRECT("'"&amp;A6&amp;"'"&amp;"!A:A"),"总价",INDIRECT("'"&amp;A6&amp;"'"&amp;"!B:B"))</f>
        <v>#DIV/0!</v>
      </c>
      <c r="C6" s="2912" t="s">
        <v>2994</v>
      </c>
      <c r="D6" s="2914"/>
      <c r="E6" s="2577">
        <f ca="1">SUMIF(INDIRECT("'"&amp;A6&amp;"'"&amp;"!C:C"),"建筑面积",INDIRECT("'"&amp;A6&amp;"'"&amp;"!D:D"))</f>
        <v>0</v>
      </c>
    </row>
    <row r="7" spans="1:5" ht="15.75">
      <c r="A7" s="2917"/>
      <c r="B7" s="2913" t="e">
        <f ca="1">SUMIF(INDIRECT("'"&amp;A7&amp;"'"&amp;"!A:A"),"总价",INDIRECT("'"&amp;A7&amp;"'"&amp;"!B:B"))</f>
        <v>#REF!</v>
      </c>
      <c r="C7" s="2912" t="s">
        <v>2994</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2994</v>
      </c>
      <c r="D8" s="2914"/>
      <c r="E8" s="2577" t="e">
        <f t="shared" ca="1" si="0"/>
        <v>#REF!</v>
      </c>
    </row>
    <row r="9" spans="1:5" ht="15.75">
      <c r="A9" s="2917"/>
      <c r="B9" s="2913" t="e">
        <f t="shared" ca="1" si="1"/>
        <v>#REF!</v>
      </c>
      <c r="C9" s="2912" t="s">
        <v>2994</v>
      </c>
      <c r="D9" s="2914"/>
      <c r="E9" s="2577" t="e">
        <f t="shared" ca="1" si="0"/>
        <v>#REF!</v>
      </c>
    </row>
    <row r="10" spans="1:5" ht="15.75">
      <c r="A10" s="2917"/>
      <c r="B10" s="2913" t="e">
        <f t="shared" ca="1" si="1"/>
        <v>#REF!</v>
      </c>
      <c r="C10" s="2912" t="s">
        <v>2994</v>
      </c>
      <c r="D10" s="2914"/>
      <c r="E10" s="2577" t="e">
        <f t="shared" ca="1" si="0"/>
        <v>#REF!</v>
      </c>
    </row>
    <row r="11" spans="1:5" ht="15.75">
      <c r="A11" s="2917"/>
      <c r="B11" s="2913" t="e">
        <f t="shared" ca="1" si="1"/>
        <v>#REF!</v>
      </c>
      <c r="C11" s="2912" t="s">
        <v>2994</v>
      </c>
      <c r="D11" s="2914"/>
      <c r="E11" s="2577" t="e">
        <f t="shared" ca="1" si="0"/>
        <v>#REF!</v>
      </c>
    </row>
    <row r="12" spans="1:5" ht="15.75">
      <c r="A12" s="2917"/>
      <c r="B12" s="2913" t="e">
        <f t="shared" ca="1" si="1"/>
        <v>#REF!</v>
      </c>
      <c r="C12" s="2912" t="s">
        <v>2994</v>
      </c>
      <c r="D12" s="2914"/>
      <c r="E12" s="2577" t="e">
        <f t="shared" ca="1" si="0"/>
        <v>#REF!</v>
      </c>
    </row>
    <row r="13" spans="1:5" ht="15.75">
      <c r="A13" s="2917"/>
      <c r="B13" s="2913" t="e">
        <f t="shared" ca="1" si="1"/>
        <v>#REF!</v>
      </c>
      <c r="C13" s="2912" t="s">
        <v>2994</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7" t="s">
        <v>1150</v>
      </c>
      <c r="C1" s="3287"/>
      <c r="D1" s="3287"/>
      <c r="E1" s="3287"/>
      <c r="F1" s="3287"/>
      <c r="G1" s="3286" t="s">
        <v>1151</v>
      </c>
      <c r="H1" s="3286"/>
      <c r="I1" s="3286"/>
      <c r="J1" s="3286"/>
      <c r="K1" s="3286"/>
      <c r="L1" s="3286"/>
      <c r="N1" s="3286" t="s">
        <v>1152</v>
      </c>
      <c r="O1" s="3286"/>
      <c r="P1" s="3286"/>
      <c r="Q1" s="3286"/>
      <c r="R1" s="1448"/>
      <c r="S1" s="3286" t="s">
        <v>1153</v>
      </c>
      <c r="T1" s="3286"/>
      <c r="U1" s="3286"/>
      <c r="V1" s="3286"/>
      <c r="X1" s="3285" t="s">
        <v>1154</v>
      </c>
      <c r="Y1" s="3286"/>
      <c r="Z1" s="3286"/>
      <c r="AA1" s="3286"/>
      <c r="AB1" s="3286"/>
      <c r="AD1" s="3285" t="s">
        <v>1155</v>
      </c>
      <c r="AE1" s="3286"/>
      <c r="AF1" s="3286"/>
      <c r="AG1" s="3286"/>
      <c r="AH1" s="328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3036</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69">
        <f t="shared" ref="N5" si="7">I5/100</f>
        <v>0</v>
      </c>
      <c r="O5" s="1469">
        <f t="shared" ref="O5" si="8">J5/100</f>
        <v>0</v>
      </c>
      <c r="P5" s="1469">
        <f t="shared" ref="P5" si="9">K5/100</f>
        <v>0</v>
      </c>
      <c r="Q5" s="1469">
        <f t="shared" ref="Q5" si="10">L5/100</f>
        <v>0</v>
      </c>
      <c r="R5" s="1734"/>
      <c r="S5" s="1735"/>
      <c r="T5" s="1734"/>
      <c r="U5" s="1734"/>
      <c r="V5" s="1734"/>
      <c r="W5" s="2930" t="s">
        <v>3037</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3035</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2">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3032</v>
      </c>
      <c r="B7" s="1471">
        <v>439</v>
      </c>
      <c r="C7" s="1471">
        <v>327</v>
      </c>
      <c r="D7" s="1471">
        <f>C7</f>
        <v>327</v>
      </c>
      <c r="E7" s="1471">
        <v>627</v>
      </c>
      <c r="F7" s="1472">
        <v>283</v>
      </c>
      <c r="G7" s="2928">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4"/>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3"/>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4"/>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8">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3"/>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3"/>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4"/>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2">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3"/>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3"/>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4"/>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2">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3"/>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3"/>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4"/>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89">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0"/>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0"/>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1"/>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2">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3"/>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3"/>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4"/>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2">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3">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3">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4">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2">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3">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3">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4">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2">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3">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3">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4">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2">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3">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3">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4">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2">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3">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3">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4">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2">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3">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3">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4">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2">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3">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3">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4">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2">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3">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3">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4">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2">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3">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3">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4">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2">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3">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3">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4">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3"/>
      <c r="B4" s="2980" t="s">
        <v>1629</v>
      </c>
      <c r="C4" s="2980"/>
      <c r="D4" s="2980"/>
      <c r="E4" s="1963"/>
    </row>
    <row r="5" spans="1:5" ht="16.5" thickTop="1">
      <c r="A5" s="1961"/>
      <c r="B5" s="2978" t="s">
        <v>1621</v>
      </c>
      <c r="C5" s="1964" t="s">
        <v>1622</v>
      </c>
      <c r="D5" s="1043">
        <f ca="1">结果表!H101</f>
        <v>2470</v>
      </c>
      <c r="E5" s="1961"/>
    </row>
    <row r="6" spans="1:5" ht="15.75">
      <c r="A6" s="1961"/>
      <c r="B6" s="2978"/>
      <c r="C6" s="1964" t="s">
        <v>1623</v>
      </c>
      <c r="D6" s="1043" t="str">
        <f ca="1">NUMBERSTRING(INT(D5*10000),2)&amp;"元整"</f>
        <v>贰仟肆佰柒拾万元整</v>
      </c>
      <c r="E6" s="1961"/>
    </row>
    <row r="7" spans="1:5" ht="15.75">
      <c r="A7" s="1961"/>
      <c r="B7" s="2983"/>
      <c r="C7" s="1965" t="s">
        <v>1624</v>
      </c>
      <c r="D7" s="1044">
        <f ca="1">结果表!H102</f>
        <v>3972</v>
      </c>
      <c r="E7" s="1961"/>
    </row>
    <row r="8" spans="1:5" ht="15.75">
      <c r="A8" s="1961"/>
      <c r="B8" s="2984" t="str">
        <f>结果表!E103</f>
        <v>2.估价师知悉的法定优先受偿款</v>
      </c>
      <c r="C8" s="1966" t="s">
        <v>1625</v>
      </c>
      <c r="D8" s="1044">
        <f>结果表!H103</f>
        <v>0</v>
      </c>
      <c r="E8" s="1961"/>
    </row>
    <row r="9" spans="1:5" ht="15.75">
      <c r="A9" s="1961"/>
      <c r="B9" s="2986"/>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77" t="str">
        <f>结果表!E107</f>
        <v>——</v>
      </c>
      <c r="C13" s="1969" t="s">
        <v>1622</v>
      </c>
      <c r="D13" s="1046" t="str">
        <f>结果表!H107</f>
        <v>——</v>
      </c>
      <c r="E13" s="1961"/>
    </row>
    <row r="14" spans="1:5" ht="15.75">
      <c r="A14" s="1961"/>
      <c r="B14" s="2978"/>
      <c r="C14" s="1964" t="s">
        <v>1623</v>
      </c>
      <c r="D14" s="1043" t="e">
        <f>NUMBERSTRING(INT(D13*10000),2)&amp;"元整"</f>
        <v>#VALUE!</v>
      </c>
      <c r="E14" s="1961"/>
    </row>
    <row r="15" spans="1:5" ht="15">
      <c r="A15" s="1961"/>
      <c r="B15" s="2983"/>
      <c r="C15" s="1965" t="s">
        <v>1633</v>
      </c>
      <c r="D15" s="1054" t="e">
        <f>结果表!H108</f>
        <v>#VALUE!</v>
      </c>
      <c r="E15" s="1961"/>
    </row>
    <row r="16" spans="1:5" ht="15">
      <c r="A16" s="1961"/>
      <c r="B16" s="2984" t="str">
        <f>结果表!E109</f>
        <v>3.抵押担保权已注销时的房地产抵押价值</v>
      </c>
      <c r="C16" s="1969" t="s">
        <v>1634</v>
      </c>
      <c r="D16" s="1970">
        <f ca="1">结果表!H109</f>
        <v>2470</v>
      </c>
      <c r="E16" s="1961"/>
    </row>
    <row r="17" spans="1:5" ht="15.75">
      <c r="A17" s="1961"/>
      <c r="B17" s="2985"/>
      <c r="C17" s="1964" t="s">
        <v>1635</v>
      </c>
      <c r="D17" s="1043" t="str">
        <f ca="1">NUMBERSTRING(INT(D16*10000),2)&amp;"元整"</f>
        <v>贰仟肆佰柒拾万元整</v>
      </c>
      <c r="E17" s="1961"/>
    </row>
    <row r="18" spans="1:5" ht="15">
      <c r="A18" s="1961"/>
      <c r="B18" s="2986"/>
      <c r="C18" s="1965" t="s">
        <v>1624</v>
      </c>
      <c r="D18" s="1054">
        <f ca="1">结果表!H110</f>
        <v>3972</v>
      </c>
      <c r="E18" s="1961"/>
    </row>
    <row r="19" spans="1:5" ht="15.75">
      <c r="A19" s="1961"/>
      <c r="B19" s="2977" t="str">
        <f>结果表!E111</f>
        <v>——</v>
      </c>
      <c r="C19" s="1969" t="s">
        <v>1622</v>
      </c>
      <c r="D19" s="1044" t="str">
        <f>结果表!H111</f>
        <v>——</v>
      </c>
      <c r="E19" s="1961"/>
    </row>
    <row r="20" spans="1:5" ht="15.75">
      <c r="A20" s="1961"/>
      <c r="B20" s="2978"/>
      <c r="C20" s="1964" t="s">
        <v>1635</v>
      </c>
      <c r="D20" s="1043" t="e">
        <f>NUMBERSTRING(INT(D19*10000),2)&amp;"元整"</f>
        <v>#VALUE!</v>
      </c>
      <c r="E20" s="1961"/>
    </row>
    <row r="21" spans="1:5" ht="15.75" thickBot="1">
      <c r="A21" s="1961"/>
      <c r="B21" s="2979"/>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3003</v>
      </c>
      <c r="C1" s="3293" t="s">
        <v>3004</v>
      </c>
      <c r="D1" s="3294"/>
      <c r="E1" s="3294"/>
      <c r="F1" s="3294"/>
      <c r="G1" s="3294"/>
      <c r="H1" s="3294"/>
      <c r="I1" s="3294"/>
      <c r="J1" s="3294"/>
      <c r="K1" s="3294"/>
      <c r="L1" s="3294"/>
      <c r="M1" s="3294"/>
      <c r="N1" s="3294"/>
      <c r="O1" s="3294"/>
      <c r="P1" s="3294"/>
      <c r="Q1" s="3294"/>
      <c r="R1" s="3294"/>
      <c r="S1" s="3295"/>
      <c r="T1" s="1206" t="s">
        <v>3005</v>
      </c>
    </row>
    <row r="2" spans="1:45" s="707" customFormat="1">
      <c r="A2" s="1207"/>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3007</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3008</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3009</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3010</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3011</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3012</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3013</v>
      </c>
      <c r="B17" s="2919" t="s">
        <v>3014</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3015</v>
      </c>
      <c r="E19" s="1794"/>
      <c r="F19" s="1794"/>
      <c r="G19" s="1794"/>
      <c r="H19" s="1282"/>
      <c r="I19" s="168"/>
      <c r="J19" s="168"/>
      <c r="K19" s="168"/>
      <c r="L19" s="168"/>
      <c r="M19" s="168"/>
      <c r="N19" s="168"/>
      <c r="O19" s="168"/>
      <c r="P19" s="168"/>
      <c r="Q19" s="168"/>
      <c r="R19" s="788"/>
      <c r="S19" s="138"/>
    </row>
    <row r="20" spans="1:45" ht="16.5" thickBot="1">
      <c r="A20" s="715" t="s">
        <v>3016</v>
      </c>
      <c r="B20" s="338" t="e">
        <f ca="1">IF(D20="——",S22,S22-F20)</f>
        <v>#REF!</v>
      </c>
      <c r="C20" s="168"/>
      <c r="D20" s="2921" t="s">
        <v>3017</v>
      </c>
      <c r="E20" s="1795"/>
      <c r="F20" s="1206" t="e">
        <f ca="1">SUMIF(INDIRECT("'"&amp;H20&amp;"'"&amp;"!A:A"),"承租人权益价值",INDIRECT("'"&amp;H20&amp;"'"&amp;"!c:c"))</f>
        <v>#REF!</v>
      </c>
      <c r="G20" s="1206" t="s">
        <v>3018</v>
      </c>
      <c r="H20" s="292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57" t="s">
        <v>33</v>
      </c>
      <c r="D22" s="3158"/>
      <c r="E22" s="3158"/>
      <c r="F22" s="3158"/>
      <c r="G22" s="3158"/>
      <c r="H22" s="3158"/>
      <c r="I22" s="3158"/>
      <c r="J22" s="3158"/>
      <c r="K22" s="3158"/>
      <c r="L22" s="3158"/>
      <c r="M22" s="3158"/>
      <c r="N22" s="3158"/>
      <c r="O22" s="3158"/>
      <c r="P22" s="3158"/>
      <c r="Q22" s="3292"/>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28751</v>
      </c>
      <c r="C2" s="2" t="s">
        <v>133</v>
      </c>
      <c r="D2" s="243"/>
      <c r="E2" s="243"/>
      <c r="F2" s="243"/>
      <c r="G2" s="243"/>
    </row>
    <row r="3" spans="1:7" s="244" customFormat="1" ht="18" customHeight="1" thickBot="1">
      <c r="A3" s="247" t="s">
        <v>85</v>
      </c>
      <c r="B3" s="248">
        <f ca="1">ROUND(B2*10000/'数据-汇总表'!E3,0)</f>
        <v>46240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124</v>
      </c>
      <c r="D10" s="1035">
        <f>'数据-汇总表'!E6</f>
        <v>6217.83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124</v>
      </c>
      <c r="D19" s="1039">
        <f>'数据-汇总表'!E3</f>
        <v>6217.83</v>
      </c>
      <c r="E19" s="255">
        <f>'数据-取费表'!B31</f>
        <v>200</v>
      </c>
      <c r="F19" s="275"/>
      <c r="G19" s="1" t="s">
        <v>1074</v>
      </c>
    </row>
    <row r="20" spans="1:7" s="258" customFormat="1" ht="13.5" customHeight="1">
      <c r="A20" s="951" t="s">
        <v>1057</v>
      </c>
      <c r="B20" s="254" t="s">
        <v>104</v>
      </c>
      <c r="C20" s="276">
        <f>ROUND((C5+C19)*F20,0)</f>
        <v>415</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2036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2115</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2115</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1244</v>
      </c>
      <c r="D34" s="261"/>
      <c r="E34" s="264"/>
      <c r="F34" s="301">
        <f>IF('数据-取费表'!B24=0,1,'数据-取费表'!N16)</f>
        <v>1</v>
      </c>
      <c r="G34" s="263" t="s">
        <v>116</v>
      </c>
    </row>
    <row r="35" spans="1:7" ht="13.5" customHeight="1">
      <c r="A35" s="954" t="s">
        <v>796</v>
      </c>
      <c r="B35" s="259" t="s">
        <v>60</v>
      </c>
      <c r="C35" s="264">
        <f>ROUND(C34*F35,0)</f>
        <v>37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124</v>
      </c>
      <c r="D37" s="261">
        <f>'数据-汇总表'!E3</f>
        <v>6217.83</v>
      </c>
      <c r="E37" s="293">
        <f>'数据-取费表'!B35</f>
        <v>200</v>
      </c>
      <c r="F37" s="303"/>
      <c r="G37" s="305" t="s">
        <v>119</v>
      </c>
    </row>
    <row r="38" spans="1:7" ht="13.5" customHeight="1">
      <c r="A38" s="954" t="s">
        <v>799</v>
      </c>
      <c r="B38" s="259" t="s">
        <v>63</v>
      </c>
      <c r="C38" s="264">
        <f>ROUND(C34*F38,0)</f>
        <v>19</v>
      </c>
      <c r="D38" s="264"/>
      <c r="E38" s="264"/>
      <c r="F38" s="303">
        <f>'数据-取费表'!B36</f>
        <v>1.4999999999999999E-2</v>
      </c>
      <c r="G38" s="263" t="s">
        <v>117</v>
      </c>
    </row>
    <row r="39" spans="1:7" s="258" customFormat="1" ht="13.5" customHeight="1">
      <c r="A39" s="951" t="s">
        <v>783</v>
      </c>
      <c r="B39" s="254" t="s">
        <v>104</v>
      </c>
      <c r="C39" s="276">
        <f>ROUND(C33*F20,0)</f>
        <v>28</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69</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68</v>
      </c>
      <c r="D42" s="282"/>
      <c r="E42" s="282"/>
      <c r="F42" s="283"/>
      <c r="G42" s="3162" t="s">
        <v>121</v>
      </c>
    </row>
    <row r="43" spans="1:7" ht="13.5" customHeight="1">
      <c r="A43" s="954" t="s">
        <v>792</v>
      </c>
      <c r="B43" s="259" t="s">
        <v>1064</v>
      </c>
      <c r="C43" s="282">
        <f ca="1">ROUND(IF('数据-取费表'!B22&lt;=1,C39*F22*'数据-取费表'!B21/2,C39*(POWER((1+F22),'数据-取费表'!B21/2)-1)),0)</f>
        <v>1</v>
      </c>
      <c r="D43" s="282"/>
      <c r="E43" s="282"/>
      <c r="F43" s="283"/>
      <c r="G43" s="3163"/>
    </row>
    <row r="44" spans="1:7" ht="13.5" customHeight="1">
      <c r="A44" s="954" t="s">
        <v>793</v>
      </c>
      <c r="B44" s="259" t="s">
        <v>1066</v>
      </c>
      <c r="C44" s="282">
        <f ca="1">ROUND(IF('数据-取费表'!B22&lt;=1,C40*F22*'数据-取费表'!B21/2,C40*(POWER((1+F22),'数据-取费表'!B21/2)-1)),4)</f>
        <v>1E-3</v>
      </c>
      <c r="D44" s="282"/>
      <c r="E44" s="282"/>
      <c r="F44" s="283"/>
      <c r="G44" s="3164"/>
    </row>
    <row r="45" spans="1:7" s="258" customFormat="1" ht="13.5" customHeight="1">
      <c r="A45" s="951" t="s">
        <v>786</v>
      </c>
      <c r="B45" s="288" t="s">
        <v>112</v>
      </c>
      <c r="C45" s="289">
        <f>C46</f>
        <v>145</v>
      </c>
      <c r="D45" s="279">
        <f>C47</f>
        <v>2E-3</v>
      </c>
      <c r="E45" s="280" t="s">
        <v>129</v>
      </c>
      <c r="F45" s="290"/>
      <c r="G45" s="291" t="s">
        <v>1072</v>
      </c>
    </row>
    <row r="46" spans="1:7" s="258" customFormat="1" ht="13.5" customHeight="1">
      <c r="A46" s="954" t="s">
        <v>794</v>
      </c>
      <c r="B46" s="292" t="s">
        <v>1065</v>
      </c>
      <c r="C46" s="293">
        <f>ROUND((C33+C39)*F27,0)</f>
        <v>145</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1802</v>
      </c>
      <c r="D49" s="276"/>
      <c r="E49" s="276"/>
      <c r="F49" s="308"/>
      <c r="G49" s="278" t="s">
        <v>1073</v>
      </c>
    </row>
    <row r="50" spans="1:7" s="302" customFormat="1" ht="24">
      <c r="A50" s="951" t="s">
        <v>789</v>
      </c>
      <c r="B50" s="254" t="s">
        <v>124</v>
      </c>
      <c r="C50" s="276"/>
      <c r="D50" s="276"/>
      <c r="E50" s="276"/>
      <c r="F50" s="308">
        <f>IF('数据-取费表'!B24=0,'数据-取费表'!N16,1)</f>
        <v>0.77</v>
      </c>
      <c r="G50" s="291" t="s">
        <v>125</v>
      </c>
    </row>
    <row r="51" spans="1:7" ht="16.5" customHeight="1">
      <c r="A51" s="951" t="s">
        <v>790</v>
      </c>
      <c r="B51" s="254" t="s">
        <v>132</v>
      </c>
      <c r="C51" s="276">
        <f ca="1">ROUND(C49*F50,0)</f>
        <v>1388</v>
      </c>
      <c r="D51" s="276"/>
      <c r="E51" s="276"/>
      <c r="F51" s="308"/>
      <c r="G51" s="278" t="s">
        <v>64</v>
      </c>
    </row>
    <row r="52" spans="1:7" s="252" customFormat="1" ht="16.5" thickBot="1">
      <c r="A52" s="309" t="s">
        <v>65</v>
      </c>
      <c r="B52" s="310"/>
      <c r="C52" s="311">
        <f ca="1">C31+C51</f>
        <v>28751</v>
      </c>
      <c r="D52" s="310"/>
      <c r="E52" s="310"/>
      <c r="F52" s="310"/>
      <c r="G52" s="312"/>
    </row>
    <row r="55" spans="1:7" ht="15">
      <c r="B55" s="314" t="s">
        <v>66</v>
      </c>
      <c r="C55" s="315"/>
    </row>
    <row r="56" spans="1:7">
      <c r="B56" s="317" t="s">
        <v>67</v>
      </c>
      <c r="C56" s="318">
        <f ca="1">ROUND(C51/C52,3)</f>
        <v>4.8000000000000001E-2</v>
      </c>
    </row>
    <row r="57" spans="1:7">
      <c r="B57" s="317" t="s">
        <v>68</v>
      </c>
      <c r="C57" s="319">
        <f ca="1">1-C56</f>
        <v>0.95199999999999996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workbookViewId="0">
      <selection activeCell="E29" sqref="E29"/>
    </sheetView>
  </sheetViews>
  <sheetFormatPr defaultRowHeight="13.5"/>
  <sheetData>
    <row r="2" spans="1:4">
      <c r="C2">
        <v>4786.32</v>
      </c>
    </row>
    <row r="4" spans="1:4">
      <c r="A4" s="2957" t="s">
        <v>3068</v>
      </c>
      <c r="B4">
        <v>1.5</v>
      </c>
      <c r="C4">
        <f>ROUND($C$2*B4*365/10000,2)</f>
        <v>262.05</v>
      </c>
    </row>
    <row r="5" spans="1:4">
      <c r="A5" s="2957" t="s">
        <v>3069</v>
      </c>
      <c r="B5">
        <v>1.6</v>
      </c>
      <c r="C5">
        <f t="shared" ref="C5:C7" si="0">ROUND($C$2*B5*365/10000,2)</f>
        <v>279.52</v>
      </c>
    </row>
    <row r="6" spans="1:4">
      <c r="A6" s="2957" t="s">
        <v>3070</v>
      </c>
      <c r="B6">
        <v>1.7</v>
      </c>
      <c r="C6">
        <f t="shared" si="0"/>
        <v>296.99</v>
      </c>
    </row>
    <row r="7" spans="1:4">
      <c r="A7" s="2957" t="s">
        <v>3071</v>
      </c>
      <c r="B7">
        <v>1.8</v>
      </c>
      <c r="C7">
        <f t="shared" si="0"/>
        <v>314.45999999999998</v>
      </c>
    </row>
    <row r="8" spans="1:4">
      <c r="C8">
        <f>SUM(C4:C7)</f>
        <v>1153.02</v>
      </c>
      <c r="D8">
        <f>ROUND(C8/C2*10000/365/4,2)</f>
        <v>1.65</v>
      </c>
    </row>
    <row r="14" spans="1:4">
      <c r="B14" s="2957"/>
      <c r="C14" s="2957"/>
      <c r="D14" s="2957"/>
    </row>
    <row r="15" spans="1:4">
      <c r="A15" s="2957"/>
      <c r="C15" s="2973"/>
    </row>
    <row r="16" spans="1:4">
      <c r="A16" s="2957"/>
      <c r="C16" s="2966"/>
    </row>
    <row r="17" spans="1:5">
      <c r="A17" s="3300"/>
      <c r="B17" s="2971"/>
      <c r="C17" s="2969"/>
      <c r="D17" s="2968"/>
      <c r="E17" s="2968"/>
    </row>
    <row r="18" spans="1:5">
      <c r="A18" s="3301"/>
      <c r="B18" s="2968"/>
      <c r="C18" s="2969"/>
      <c r="D18" s="2968"/>
      <c r="E18" s="2967"/>
    </row>
    <row r="19" spans="1:5">
      <c r="A19" s="3302"/>
      <c r="B19" s="2968"/>
      <c r="C19" s="2969"/>
      <c r="D19" s="2968"/>
      <c r="E19" s="2968"/>
    </row>
    <row r="20" spans="1:5">
      <c r="B20" s="2970"/>
      <c r="C20" s="2972"/>
    </row>
    <row r="22" spans="1:5">
      <c r="C22" s="2957"/>
    </row>
  </sheetData>
  <mergeCells count="1">
    <mergeCell ref="A17:A19"/>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K20" sqref="K20"/>
    </sheetView>
  </sheetViews>
  <sheetFormatPr defaultRowHeight="13.5"/>
  <cols>
    <col min="1" max="1" width="49.125" style="1637" customWidth="1"/>
    <col min="2" max="2" width="6.25" style="1637" hidden="1" customWidth="1"/>
    <col min="3" max="3" width="7.875" style="1637" customWidth="1"/>
    <col min="4" max="5" width="13.875" style="1637" customWidth="1"/>
    <col min="6" max="6" width="8.75" style="1637" customWidth="1"/>
    <col min="7" max="7" width="7.875" style="1637" hidden="1" customWidth="1"/>
    <col min="8" max="8" width="9" style="1637" customWidth="1"/>
    <col min="9" max="9" width="10.625" style="1637" hidden="1" customWidth="1"/>
    <col min="10" max="11" width="10.625" style="1637" customWidth="1"/>
    <col min="12" max="12" width="14.375" style="1637" customWidth="1"/>
    <col min="13" max="13" width="6.25" style="1637" customWidth="1"/>
    <col min="14" max="14" width="32" style="1637" customWidth="1"/>
    <col min="15" max="256" width="9" style="1637"/>
    <col min="257" max="257" width="49.125" style="1637" customWidth="1"/>
    <col min="258" max="258" width="6.25" style="1637" customWidth="1"/>
    <col min="259" max="259" width="7.875" style="1637" customWidth="1"/>
    <col min="260" max="261" width="13.875" style="1637" customWidth="1"/>
    <col min="262" max="262" width="8.75" style="1637" customWidth="1"/>
    <col min="263" max="263" width="7.875" style="1637" customWidth="1"/>
    <col min="264" max="264" width="9" style="1637" customWidth="1"/>
    <col min="265" max="267" width="10.625" style="1637" customWidth="1"/>
    <col min="268" max="268" width="14.375" style="1637" customWidth="1"/>
    <col min="269" max="269" width="6.25" style="1637" customWidth="1"/>
    <col min="270" max="270" width="32" style="1637" customWidth="1"/>
    <col min="271" max="512" width="9" style="1637"/>
    <col min="513" max="513" width="49.125" style="1637" customWidth="1"/>
    <col min="514" max="514" width="6.25" style="1637" customWidth="1"/>
    <col min="515" max="515" width="7.875" style="1637" customWidth="1"/>
    <col min="516" max="517" width="13.875" style="1637" customWidth="1"/>
    <col min="518" max="518" width="8.75" style="1637" customWidth="1"/>
    <col min="519" max="519" width="7.875" style="1637" customWidth="1"/>
    <col min="520" max="520" width="9" style="1637" customWidth="1"/>
    <col min="521" max="523" width="10.625" style="1637" customWidth="1"/>
    <col min="524" max="524" width="14.375" style="1637" customWidth="1"/>
    <col min="525" max="525" width="6.25" style="1637" customWidth="1"/>
    <col min="526" max="526" width="32" style="1637" customWidth="1"/>
    <col min="527" max="768" width="9" style="1637"/>
    <col min="769" max="769" width="49.125" style="1637" customWidth="1"/>
    <col min="770" max="770" width="6.25" style="1637" customWidth="1"/>
    <col min="771" max="771" width="7.875" style="1637" customWidth="1"/>
    <col min="772" max="773" width="13.875" style="1637" customWidth="1"/>
    <col min="774" max="774" width="8.75" style="1637" customWidth="1"/>
    <col min="775" max="775" width="7.875" style="1637" customWidth="1"/>
    <col min="776" max="776" width="9" style="1637" customWidth="1"/>
    <col min="777" max="779" width="10.625" style="1637" customWidth="1"/>
    <col min="780" max="780" width="14.375" style="1637" customWidth="1"/>
    <col min="781" max="781" width="6.25" style="1637" customWidth="1"/>
    <col min="782" max="782" width="32" style="1637" customWidth="1"/>
    <col min="783" max="1024" width="9" style="1637"/>
    <col min="1025" max="1025" width="49.125" style="1637" customWidth="1"/>
    <col min="1026" max="1026" width="6.25" style="1637" customWidth="1"/>
    <col min="1027" max="1027" width="7.875" style="1637" customWidth="1"/>
    <col min="1028" max="1029" width="13.875" style="1637" customWidth="1"/>
    <col min="1030" max="1030" width="8.75" style="1637" customWidth="1"/>
    <col min="1031" max="1031" width="7.875" style="1637" customWidth="1"/>
    <col min="1032" max="1032" width="9" style="1637" customWidth="1"/>
    <col min="1033" max="1035" width="10.625" style="1637" customWidth="1"/>
    <col min="1036" max="1036" width="14.375" style="1637" customWidth="1"/>
    <col min="1037" max="1037" width="6.25" style="1637" customWidth="1"/>
    <col min="1038" max="1038" width="32" style="1637" customWidth="1"/>
    <col min="1039" max="1280" width="9" style="1637"/>
    <col min="1281" max="1281" width="49.125" style="1637" customWidth="1"/>
    <col min="1282" max="1282" width="6.25" style="1637" customWidth="1"/>
    <col min="1283" max="1283" width="7.875" style="1637" customWidth="1"/>
    <col min="1284" max="1285" width="13.875" style="1637" customWidth="1"/>
    <col min="1286" max="1286" width="8.75" style="1637" customWidth="1"/>
    <col min="1287" max="1287" width="7.875" style="1637" customWidth="1"/>
    <col min="1288" max="1288" width="9" style="1637" customWidth="1"/>
    <col min="1289" max="1291" width="10.625" style="1637" customWidth="1"/>
    <col min="1292" max="1292" width="14.375" style="1637" customWidth="1"/>
    <col min="1293" max="1293" width="6.25" style="1637" customWidth="1"/>
    <col min="1294" max="1294" width="32" style="1637" customWidth="1"/>
    <col min="1295" max="1536" width="9" style="1637"/>
    <col min="1537" max="1537" width="49.125" style="1637" customWidth="1"/>
    <col min="1538" max="1538" width="6.25" style="1637" customWidth="1"/>
    <col min="1539" max="1539" width="7.875" style="1637" customWidth="1"/>
    <col min="1540" max="1541" width="13.875" style="1637" customWidth="1"/>
    <col min="1542" max="1542" width="8.75" style="1637" customWidth="1"/>
    <col min="1543" max="1543" width="7.875" style="1637" customWidth="1"/>
    <col min="1544" max="1544" width="9" style="1637" customWidth="1"/>
    <col min="1545" max="1547" width="10.625" style="1637" customWidth="1"/>
    <col min="1548" max="1548" width="14.375" style="1637" customWidth="1"/>
    <col min="1549" max="1549" width="6.25" style="1637" customWidth="1"/>
    <col min="1550" max="1550" width="32" style="1637" customWidth="1"/>
    <col min="1551" max="1792" width="9" style="1637"/>
    <col min="1793" max="1793" width="49.125" style="1637" customWidth="1"/>
    <col min="1794" max="1794" width="6.25" style="1637" customWidth="1"/>
    <col min="1795" max="1795" width="7.875" style="1637" customWidth="1"/>
    <col min="1796" max="1797" width="13.875" style="1637" customWidth="1"/>
    <col min="1798" max="1798" width="8.75" style="1637" customWidth="1"/>
    <col min="1799" max="1799" width="7.875" style="1637" customWidth="1"/>
    <col min="1800" max="1800" width="9" style="1637" customWidth="1"/>
    <col min="1801" max="1803" width="10.625" style="1637" customWidth="1"/>
    <col min="1804" max="1804" width="14.375" style="1637" customWidth="1"/>
    <col min="1805" max="1805" width="6.25" style="1637" customWidth="1"/>
    <col min="1806" max="1806" width="32" style="1637" customWidth="1"/>
    <col min="1807" max="2048" width="9" style="1637"/>
    <col min="2049" max="2049" width="49.125" style="1637" customWidth="1"/>
    <col min="2050" max="2050" width="6.25" style="1637" customWidth="1"/>
    <col min="2051" max="2051" width="7.875" style="1637" customWidth="1"/>
    <col min="2052" max="2053" width="13.875" style="1637" customWidth="1"/>
    <col min="2054" max="2054" width="8.75" style="1637" customWidth="1"/>
    <col min="2055" max="2055" width="7.875" style="1637" customWidth="1"/>
    <col min="2056" max="2056" width="9" style="1637" customWidth="1"/>
    <col min="2057" max="2059" width="10.625" style="1637" customWidth="1"/>
    <col min="2060" max="2060" width="14.375" style="1637" customWidth="1"/>
    <col min="2061" max="2061" width="6.25" style="1637" customWidth="1"/>
    <col min="2062" max="2062" width="32" style="1637" customWidth="1"/>
    <col min="2063" max="2304" width="9" style="1637"/>
    <col min="2305" max="2305" width="49.125" style="1637" customWidth="1"/>
    <col min="2306" max="2306" width="6.25" style="1637" customWidth="1"/>
    <col min="2307" max="2307" width="7.875" style="1637" customWidth="1"/>
    <col min="2308" max="2309" width="13.875" style="1637" customWidth="1"/>
    <col min="2310" max="2310" width="8.75" style="1637" customWidth="1"/>
    <col min="2311" max="2311" width="7.875" style="1637" customWidth="1"/>
    <col min="2312" max="2312" width="9" style="1637" customWidth="1"/>
    <col min="2313" max="2315" width="10.625" style="1637" customWidth="1"/>
    <col min="2316" max="2316" width="14.375" style="1637" customWidth="1"/>
    <col min="2317" max="2317" width="6.25" style="1637" customWidth="1"/>
    <col min="2318" max="2318" width="32" style="1637" customWidth="1"/>
    <col min="2319" max="2560" width="9" style="1637"/>
    <col min="2561" max="2561" width="49.125" style="1637" customWidth="1"/>
    <col min="2562" max="2562" width="6.25" style="1637" customWidth="1"/>
    <col min="2563" max="2563" width="7.875" style="1637" customWidth="1"/>
    <col min="2564" max="2565" width="13.875" style="1637" customWidth="1"/>
    <col min="2566" max="2566" width="8.75" style="1637" customWidth="1"/>
    <col min="2567" max="2567" width="7.875" style="1637" customWidth="1"/>
    <col min="2568" max="2568" width="9" style="1637" customWidth="1"/>
    <col min="2569" max="2571" width="10.625" style="1637" customWidth="1"/>
    <col min="2572" max="2572" width="14.375" style="1637" customWidth="1"/>
    <col min="2573" max="2573" width="6.25" style="1637" customWidth="1"/>
    <col min="2574" max="2574" width="32" style="1637" customWidth="1"/>
    <col min="2575" max="2816" width="9" style="1637"/>
    <col min="2817" max="2817" width="49.125" style="1637" customWidth="1"/>
    <col min="2818" max="2818" width="6.25" style="1637" customWidth="1"/>
    <col min="2819" max="2819" width="7.875" style="1637" customWidth="1"/>
    <col min="2820" max="2821" width="13.875" style="1637" customWidth="1"/>
    <col min="2822" max="2822" width="8.75" style="1637" customWidth="1"/>
    <col min="2823" max="2823" width="7.875" style="1637" customWidth="1"/>
    <col min="2824" max="2824" width="9" style="1637" customWidth="1"/>
    <col min="2825" max="2827" width="10.625" style="1637" customWidth="1"/>
    <col min="2828" max="2828" width="14.375" style="1637" customWidth="1"/>
    <col min="2829" max="2829" width="6.25" style="1637" customWidth="1"/>
    <col min="2830" max="2830" width="32" style="1637" customWidth="1"/>
    <col min="2831" max="3072" width="9" style="1637"/>
    <col min="3073" max="3073" width="49.125" style="1637" customWidth="1"/>
    <col min="3074" max="3074" width="6.25" style="1637" customWidth="1"/>
    <col min="3075" max="3075" width="7.875" style="1637" customWidth="1"/>
    <col min="3076" max="3077" width="13.875" style="1637" customWidth="1"/>
    <col min="3078" max="3078" width="8.75" style="1637" customWidth="1"/>
    <col min="3079" max="3079" width="7.875" style="1637" customWidth="1"/>
    <col min="3080" max="3080" width="9" style="1637" customWidth="1"/>
    <col min="3081" max="3083" width="10.625" style="1637" customWidth="1"/>
    <col min="3084" max="3084" width="14.375" style="1637" customWidth="1"/>
    <col min="3085" max="3085" width="6.25" style="1637" customWidth="1"/>
    <col min="3086" max="3086" width="32" style="1637" customWidth="1"/>
    <col min="3087" max="3328" width="9" style="1637"/>
    <col min="3329" max="3329" width="49.125" style="1637" customWidth="1"/>
    <col min="3330" max="3330" width="6.25" style="1637" customWidth="1"/>
    <col min="3331" max="3331" width="7.875" style="1637" customWidth="1"/>
    <col min="3332" max="3333" width="13.875" style="1637" customWidth="1"/>
    <col min="3334" max="3334" width="8.75" style="1637" customWidth="1"/>
    <col min="3335" max="3335" width="7.875" style="1637" customWidth="1"/>
    <col min="3336" max="3336" width="9" style="1637" customWidth="1"/>
    <col min="3337" max="3339" width="10.625" style="1637" customWidth="1"/>
    <col min="3340" max="3340" width="14.375" style="1637" customWidth="1"/>
    <col min="3341" max="3341" width="6.25" style="1637" customWidth="1"/>
    <col min="3342" max="3342" width="32" style="1637" customWidth="1"/>
    <col min="3343" max="3584" width="9" style="1637"/>
    <col min="3585" max="3585" width="49.125" style="1637" customWidth="1"/>
    <col min="3586" max="3586" width="6.25" style="1637" customWidth="1"/>
    <col min="3587" max="3587" width="7.875" style="1637" customWidth="1"/>
    <col min="3588" max="3589" width="13.875" style="1637" customWidth="1"/>
    <col min="3590" max="3590" width="8.75" style="1637" customWidth="1"/>
    <col min="3591" max="3591" width="7.875" style="1637" customWidth="1"/>
    <col min="3592" max="3592" width="9" style="1637" customWidth="1"/>
    <col min="3593" max="3595" width="10.625" style="1637" customWidth="1"/>
    <col min="3596" max="3596" width="14.375" style="1637" customWidth="1"/>
    <col min="3597" max="3597" width="6.25" style="1637" customWidth="1"/>
    <col min="3598" max="3598" width="32" style="1637" customWidth="1"/>
    <col min="3599" max="3840" width="9" style="1637"/>
    <col min="3841" max="3841" width="49.125" style="1637" customWidth="1"/>
    <col min="3842" max="3842" width="6.25" style="1637" customWidth="1"/>
    <col min="3843" max="3843" width="7.875" style="1637" customWidth="1"/>
    <col min="3844" max="3845" width="13.875" style="1637" customWidth="1"/>
    <col min="3846" max="3846" width="8.75" style="1637" customWidth="1"/>
    <col min="3847" max="3847" width="7.875" style="1637" customWidth="1"/>
    <col min="3848" max="3848" width="9" style="1637" customWidth="1"/>
    <col min="3849" max="3851" width="10.625" style="1637" customWidth="1"/>
    <col min="3852" max="3852" width="14.375" style="1637" customWidth="1"/>
    <col min="3853" max="3853" width="6.25" style="1637" customWidth="1"/>
    <col min="3854" max="3854" width="32" style="1637" customWidth="1"/>
    <col min="3855" max="4096" width="9" style="1637"/>
    <col min="4097" max="4097" width="49.125" style="1637" customWidth="1"/>
    <col min="4098" max="4098" width="6.25" style="1637" customWidth="1"/>
    <col min="4099" max="4099" width="7.875" style="1637" customWidth="1"/>
    <col min="4100" max="4101" width="13.875" style="1637" customWidth="1"/>
    <col min="4102" max="4102" width="8.75" style="1637" customWidth="1"/>
    <col min="4103" max="4103" width="7.875" style="1637" customWidth="1"/>
    <col min="4104" max="4104" width="9" style="1637" customWidth="1"/>
    <col min="4105" max="4107" width="10.625" style="1637" customWidth="1"/>
    <col min="4108" max="4108" width="14.375" style="1637" customWidth="1"/>
    <col min="4109" max="4109" width="6.25" style="1637" customWidth="1"/>
    <col min="4110" max="4110" width="32" style="1637" customWidth="1"/>
    <col min="4111" max="4352" width="9" style="1637"/>
    <col min="4353" max="4353" width="49.125" style="1637" customWidth="1"/>
    <col min="4354" max="4354" width="6.25" style="1637" customWidth="1"/>
    <col min="4355" max="4355" width="7.875" style="1637" customWidth="1"/>
    <col min="4356" max="4357" width="13.875" style="1637" customWidth="1"/>
    <col min="4358" max="4358" width="8.75" style="1637" customWidth="1"/>
    <col min="4359" max="4359" width="7.875" style="1637" customWidth="1"/>
    <col min="4360" max="4360" width="9" style="1637" customWidth="1"/>
    <col min="4361" max="4363" width="10.625" style="1637" customWidth="1"/>
    <col min="4364" max="4364" width="14.375" style="1637" customWidth="1"/>
    <col min="4365" max="4365" width="6.25" style="1637" customWidth="1"/>
    <col min="4366" max="4366" width="32" style="1637" customWidth="1"/>
    <col min="4367" max="4608" width="9" style="1637"/>
    <col min="4609" max="4609" width="49.125" style="1637" customWidth="1"/>
    <col min="4610" max="4610" width="6.25" style="1637" customWidth="1"/>
    <col min="4611" max="4611" width="7.875" style="1637" customWidth="1"/>
    <col min="4612" max="4613" width="13.875" style="1637" customWidth="1"/>
    <col min="4614" max="4614" width="8.75" style="1637" customWidth="1"/>
    <col min="4615" max="4615" width="7.875" style="1637" customWidth="1"/>
    <col min="4616" max="4616" width="9" style="1637" customWidth="1"/>
    <col min="4617" max="4619" width="10.625" style="1637" customWidth="1"/>
    <col min="4620" max="4620" width="14.375" style="1637" customWidth="1"/>
    <col min="4621" max="4621" width="6.25" style="1637" customWidth="1"/>
    <col min="4622" max="4622" width="32" style="1637" customWidth="1"/>
    <col min="4623" max="4864" width="9" style="1637"/>
    <col min="4865" max="4865" width="49.125" style="1637" customWidth="1"/>
    <col min="4866" max="4866" width="6.25" style="1637" customWidth="1"/>
    <col min="4867" max="4867" width="7.875" style="1637" customWidth="1"/>
    <col min="4868" max="4869" width="13.875" style="1637" customWidth="1"/>
    <col min="4870" max="4870" width="8.75" style="1637" customWidth="1"/>
    <col min="4871" max="4871" width="7.875" style="1637" customWidth="1"/>
    <col min="4872" max="4872" width="9" style="1637" customWidth="1"/>
    <col min="4873" max="4875" width="10.625" style="1637" customWidth="1"/>
    <col min="4876" max="4876" width="14.375" style="1637" customWidth="1"/>
    <col min="4877" max="4877" width="6.25" style="1637" customWidth="1"/>
    <col min="4878" max="4878" width="32" style="1637" customWidth="1"/>
    <col min="4879" max="5120" width="9" style="1637"/>
    <col min="5121" max="5121" width="49.125" style="1637" customWidth="1"/>
    <col min="5122" max="5122" width="6.25" style="1637" customWidth="1"/>
    <col min="5123" max="5123" width="7.875" style="1637" customWidth="1"/>
    <col min="5124" max="5125" width="13.875" style="1637" customWidth="1"/>
    <col min="5126" max="5126" width="8.75" style="1637" customWidth="1"/>
    <col min="5127" max="5127" width="7.875" style="1637" customWidth="1"/>
    <col min="5128" max="5128" width="9" style="1637" customWidth="1"/>
    <col min="5129" max="5131" width="10.625" style="1637" customWidth="1"/>
    <col min="5132" max="5132" width="14.375" style="1637" customWidth="1"/>
    <col min="5133" max="5133" width="6.25" style="1637" customWidth="1"/>
    <col min="5134" max="5134" width="32" style="1637" customWidth="1"/>
    <col min="5135" max="5376" width="9" style="1637"/>
    <col min="5377" max="5377" width="49.125" style="1637" customWidth="1"/>
    <col min="5378" max="5378" width="6.25" style="1637" customWidth="1"/>
    <col min="5379" max="5379" width="7.875" style="1637" customWidth="1"/>
    <col min="5380" max="5381" width="13.875" style="1637" customWidth="1"/>
    <col min="5382" max="5382" width="8.75" style="1637" customWidth="1"/>
    <col min="5383" max="5383" width="7.875" style="1637" customWidth="1"/>
    <col min="5384" max="5384" width="9" style="1637" customWidth="1"/>
    <col min="5385" max="5387" width="10.625" style="1637" customWidth="1"/>
    <col min="5388" max="5388" width="14.375" style="1637" customWidth="1"/>
    <col min="5389" max="5389" width="6.25" style="1637" customWidth="1"/>
    <col min="5390" max="5390" width="32" style="1637" customWidth="1"/>
    <col min="5391" max="5632" width="9" style="1637"/>
    <col min="5633" max="5633" width="49.125" style="1637" customWidth="1"/>
    <col min="5634" max="5634" width="6.25" style="1637" customWidth="1"/>
    <col min="5635" max="5635" width="7.875" style="1637" customWidth="1"/>
    <col min="5636" max="5637" width="13.875" style="1637" customWidth="1"/>
    <col min="5638" max="5638" width="8.75" style="1637" customWidth="1"/>
    <col min="5639" max="5639" width="7.875" style="1637" customWidth="1"/>
    <col min="5640" max="5640" width="9" style="1637" customWidth="1"/>
    <col min="5641" max="5643" width="10.625" style="1637" customWidth="1"/>
    <col min="5644" max="5644" width="14.375" style="1637" customWidth="1"/>
    <col min="5645" max="5645" width="6.25" style="1637" customWidth="1"/>
    <col min="5646" max="5646" width="32" style="1637" customWidth="1"/>
    <col min="5647" max="5888" width="9" style="1637"/>
    <col min="5889" max="5889" width="49.125" style="1637" customWidth="1"/>
    <col min="5890" max="5890" width="6.25" style="1637" customWidth="1"/>
    <col min="5891" max="5891" width="7.875" style="1637" customWidth="1"/>
    <col min="5892" max="5893" width="13.875" style="1637" customWidth="1"/>
    <col min="5894" max="5894" width="8.75" style="1637" customWidth="1"/>
    <col min="5895" max="5895" width="7.875" style="1637" customWidth="1"/>
    <col min="5896" max="5896" width="9" style="1637" customWidth="1"/>
    <col min="5897" max="5899" width="10.625" style="1637" customWidth="1"/>
    <col min="5900" max="5900" width="14.375" style="1637" customWidth="1"/>
    <col min="5901" max="5901" width="6.25" style="1637" customWidth="1"/>
    <col min="5902" max="5902" width="32" style="1637" customWidth="1"/>
    <col min="5903" max="6144" width="9" style="1637"/>
    <col min="6145" max="6145" width="49.125" style="1637" customWidth="1"/>
    <col min="6146" max="6146" width="6.25" style="1637" customWidth="1"/>
    <col min="6147" max="6147" width="7.875" style="1637" customWidth="1"/>
    <col min="6148" max="6149" width="13.875" style="1637" customWidth="1"/>
    <col min="6150" max="6150" width="8.75" style="1637" customWidth="1"/>
    <col min="6151" max="6151" width="7.875" style="1637" customWidth="1"/>
    <col min="6152" max="6152" width="9" style="1637" customWidth="1"/>
    <col min="6153" max="6155" width="10.625" style="1637" customWidth="1"/>
    <col min="6156" max="6156" width="14.375" style="1637" customWidth="1"/>
    <col min="6157" max="6157" width="6.25" style="1637" customWidth="1"/>
    <col min="6158" max="6158" width="32" style="1637" customWidth="1"/>
    <col min="6159" max="6400" width="9" style="1637"/>
    <col min="6401" max="6401" width="49.125" style="1637" customWidth="1"/>
    <col min="6402" max="6402" width="6.25" style="1637" customWidth="1"/>
    <col min="6403" max="6403" width="7.875" style="1637" customWidth="1"/>
    <col min="6404" max="6405" width="13.875" style="1637" customWidth="1"/>
    <col min="6406" max="6406" width="8.75" style="1637" customWidth="1"/>
    <col min="6407" max="6407" width="7.875" style="1637" customWidth="1"/>
    <col min="6408" max="6408" width="9" style="1637" customWidth="1"/>
    <col min="6409" max="6411" width="10.625" style="1637" customWidth="1"/>
    <col min="6412" max="6412" width="14.375" style="1637" customWidth="1"/>
    <col min="6413" max="6413" width="6.25" style="1637" customWidth="1"/>
    <col min="6414" max="6414" width="32" style="1637" customWidth="1"/>
    <col min="6415" max="6656" width="9" style="1637"/>
    <col min="6657" max="6657" width="49.125" style="1637" customWidth="1"/>
    <col min="6658" max="6658" width="6.25" style="1637" customWidth="1"/>
    <col min="6659" max="6659" width="7.875" style="1637" customWidth="1"/>
    <col min="6660" max="6661" width="13.875" style="1637" customWidth="1"/>
    <col min="6662" max="6662" width="8.75" style="1637" customWidth="1"/>
    <col min="6663" max="6663" width="7.875" style="1637" customWidth="1"/>
    <col min="6664" max="6664" width="9" style="1637" customWidth="1"/>
    <col min="6665" max="6667" width="10.625" style="1637" customWidth="1"/>
    <col min="6668" max="6668" width="14.375" style="1637" customWidth="1"/>
    <col min="6669" max="6669" width="6.25" style="1637" customWidth="1"/>
    <col min="6670" max="6670" width="32" style="1637" customWidth="1"/>
    <col min="6671" max="6912" width="9" style="1637"/>
    <col min="6913" max="6913" width="49.125" style="1637" customWidth="1"/>
    <col min="6914" max="6914" width="6.25" style="1637" customWidth="1"/>
    <col min="6915" max="6915" width="7.875" style="1637" customWidth="1"/>
    <col min="6916" max="6917" width="13.875" style="1637" customWidth="1"/>
    <col min="6918" max="6918" width="8.75" style="1637" customWidth="1"/>
    <col min="6919" max="6919" width="7.875" style="1637" customWidth="1"/>
    <col min="6920" max="6920" width="9" style="1637" customWidth="1"/>
    <col min="6921" max="6923" width="10.625" style="1637" customWidth="1"/>
    <col min="6924" max="6924" width="14.375" style="1637" customWidth="1"/>
    <col min="6925" max="6925" width="6.25" style="1637" customWidth="1"/>
    <col min="6926" max="6926" width="32" style="1637" customWidth="1"/>
    <col min="6927" max="7168" width="9" style="1637"/>
    <col min="7169" max="7169" width="49.125" style="1637" customWidth="1"/>
    <col min="7170" max="7170" width="6.25" style="1637" customWidth="1"/>
    <col min="7171" max="7171" width="7.875" style="1637" customWidth="1"/>
    <col min="7172" max="7173" width="13.875" style="1637" customWidth="1"/>
    <col min="7174" max="7174" width="8.75" style="1637" customWidth="1"/>
    <col min="7175" max="7175" width="7.875" style="1637" customWidth="1"/>
    <col min="7176" max="7176" width="9" style="1637" customWidth="1"/>
    <col min="7177" max="7179" width="10.625" style="1637" customWidth="1"/>
    <col min="7180" max="7180" width="14.375" style="1637" customWidth="1"/>
    <col min="7181" max="7181" width="6.25" style="1637" customWidth="1"/>
    <col min="7182" max="7182" width="32" style="1637" customWidth="1"/>
    <col min="7183" max="7424" width="9" style="1637"/>
    <col min="7425" max="7425" width="49.125" style="1637" customWidth="1"/>
    <col min="7426" max="7426" width="6.25" style="1637" customWidth="1"/>
    <col min="7427" max="7427" width="7.875" style="1637" customWidth="1"/>
    <col min="7428" max="7429" width="13.875" style="1637" customWidth="1"/>
    <col min="7430" max="7430" width="8.75" style="1637" customWidth="1"/>
    <col min="7431" max="7431" width="7.875" style="1637" customWidth="1"/>
    <col min="7432" max="7432" width="9" style="1637" customWidth="1"/>
    <col min="7433" max="7435" width="10.625" style="1637" customWidth="1"/>
    <col min="7436" max="7436" width="14.375" style="1637" customWidth="1"/>
    <col min="7437" max="7437" width="6.25" style="1637" customWidth="1"/>
    <col min="7438" max="7438" width="32" style="1637" customWidth="1"/>
    <col min="7439" max="7680" width="9" style="1637"/>
    <col min="7681" max="7681" width="49.125" style="1637" customWidth="1"/>
    <col min="7682" max="7682" width="6.25" style="1637" customWidth="1"/>
    <col min="7683" max="7683" width="7.875" style="1637" customWidth="1"/>
    <col min="7684" max="7685" width="13.875" style="1637" customWidth="1"/>
    <col min="7686" max="7686" width="8.75" style="1637" customWidth="1"/>
    <col min="7687" max="7687" width="7.875" style="1637" customWidth="1"/>
    <col min="7688" max="7688" width="9" style="1637" customWidth="1"/>
    <col min="7689" max="7691" width="10.625" style="1637" customWidth="1"/>
    <col min="7692" max="7692" width="14.375" style="1637" customWidth="1"/>
    <col min="7693" max="7693" width="6.25" style="1637" customWidth="1"/>
    <col min="7694" max="7694" width="32" style="1637" customWidth="1"/>
    <col min="7695" max="7936" width="9" style="1637"/>
    <col min="7937" max="7937" width="49.125" style="1637" customWidth="1"/>
    <col min="7938" max="7938" width="6.25" style="1637" customWidth="1"/>
    <col min="7939" max="7939" width="7.875" style="1637" customWidth="1"/>
    <col min="7940" max="7941" width="13.875" style="1637" customWidth="1"/>
    <col min="7942" max="7942" width="8.75" style="1637" customWidth="1"/>
    <col min="7943" max="7943" width="7.875" style="1637" customWidth="1"/>
    <col min="7944" max="7944" width="9" style="1637" customWidth="1"/>
    <col min="7945" max="7947" width="10.625" style="1637" customWidth="1"/>
    <col min="7948" max="7948" width="14.375" style="1637" customWidth="1"/>
    <col min="7949" max="7949" width="6.25" style="1637" customWidth="1"/>
    <col min="7950" max="7950" width="32" style="1637" customWidth="1"/>
    <col min="7951" max="8192" width="9" style="1637"/>
    <col min="8193" max="8193" width="49.125" style="1637" customWidth="1"/>
    <col min="8194" max="8194" width="6.25" style="1637" customWidth="1"/>
    <col min="8195" max="8195" width="7.875" style="1637" customWidth="1"/>
    <col min="8196" max="8197" width="13.875" style="1637" customWidth="1"/>
    <col min="8198" max="8198" width="8.75" style="1637" customWidth="1"/>
    <col min="8199" max="8199" width="7.875" style="1637" customWidth="1"/>
    <col min="8200" max="8200" width="9" style="1637" customWidth="1"/>
    <col min="8201" max="8203" width="10.625" style="1637" customWidth="1"/>
    <col min="8204" max="8204" width="14.375" style="1637" customWidth="1"/>
    <col min="8205" max="8205" width="6.25" style="1637" customWidth="1"/>
    <col min="8206" max="8206" width="32" style="1637" customWidth="1"/>
    <col min="8207" max="8448" width="9" style="1637"/>
    <col min="8449" max="8449" width="49.125" style="1637" customWidth="1"/>
    <col min="8450" max="8450" width="6.25" style="1637" customWidth="1"/>
    <col min="8451" max="8451" width="7.875" style="1637" customWidth="1"/>
    <col min="8452" max="8453" width="13.875" style="1637" customWidth="1"/>
    <col min="8454" max="8454" width="8.75" style="1637" customWidth="1"/>
    <col min="8455" max="8455" width="7.875" style="1637" customWidth="1"/>
    <col min="8456" max="8456" width="9" style="1637" customWidth="1"/>
    <col min="8457" max="8459" width="10.625" style="1637" customWidth="1"/>
    <col min="8460" max="8460" width="14.375" style="1637" customWidth="1"/>
    <col min="8461" max="8461" width="6.25" style="1637" customWidth="1"/>
    <col min="8462" max="8462" width="32" style="1637" customWidth="1"/>
    <col min="8463" max="8704" width="9" style="1637"/>
    <col min="8705" max="8705" width="49.125" style="1637" customWidth="1"/>
    <col min="8706" max="8706" width="6.25" style="1637" customWidth="1"/>
    <col min="8707" max="8707" width="7.875" style="1637" customWidth="1"/>
    <col min="8708" max="8709" width="13.875" style="1637" customWidth="1"/>
    <col min="8710" max="8710" width="8.75" style="1637" customWidth="1"/>
    <col min="8711" max="8711" width="7.875" style="1637" customWidth="1"/>
    <col min="8712" max="8712" width="9" style="1637" customWidth="1"/>
    <col min="8713" max="8715" width="10.625" style="1637" customWidth="1"/>
    <col min="8716" max="8716" width="14.375" style="1637" customWidth="1"/>
    <col min="8717" max="8717" width="6.25" style="1637" customWidth="1"/>
    <col min="8718" max="8718" width="32" style="1637" customWidth="1"/>
    <col min="8719" max="8960" width="9" style="1637"/>
    <col min="8961" max="8961" width="49.125" style="1637" customWidth="1"/>
    <col min="8962" max="8962" width="6.25" style="1637" customWidth="1"/>
    <col min="8963" max="8963" width="7.875" style="1637" customWidth="1"/>
    <col min="8964" max="8965" width="13.875" style="1637" customWidth="1"/>
    <col min="8966" max="8966" width="8.75" style="1637" customWidth="1"/>
    <col min="8967" max="8967" width="7.875" style="1637" customWidth="1"/>
    <col min="8968" max="8968" width="9" style="1637" customWidth="1"/>
    <col min="8969" max="8971" width="10.625" style="1637" customWidth="1"/>
    <col min="8972" max="8972" width="14.375" style="1637" customWidth="1"/>
    <col min="8973" max="8973" width="6.25" style="1637" customWidth="1"/>
    <col min="8974" max="8974" width="32" style="1637" customWidth="1"/>
    <col min="8975" max="9216" width="9" style="1637"/>
    <col min="9217" max="9217" width="49.125" style="1637" customWidth="1"/>
    <col min="9218" max="9218" width="6.25" style="1637" customWidth="1"/>
    <col min="9219" max="9219" width="7.875" style="1637" customWidth="1"/>
    <col min="9220" max="9221" width="13.875" style="1637" customWidth="1"/>
    <col min="9222" max="9222" width="8.75" style="1637" customWidth="1"/>
    <col min="9223" max="9223" width="7.875" style="1637" customWidth="1"/>
    <col min="9224" max="9224" width="9" style="1637" customWidth="1"/>
    <col min="9225" max="9227" width="10.625" style="1637" customWidth="1"/>
    <col min="9228" max="9228" width="14.375" style="1637" customWidth="1"/>
    <col min="9229" max="9229" width="6.25" style="1637" customWidth="1"/>
    <col min="9230" max="9230" width="32" style="1637" customWidth="1"/>
    <col min="9231" max="9472" width="9" style="1637"/>
    <col min="9473" max="9473" width="49.125" style="1637" customWidth="1"/>
    <col min="9474" max="9474" width="6.25" style="1637" customWidth="1"/>
    <col min="9475" max="9475" width="7.875" style="1637" customWidth="1"/>
    <col min="9476" max="9477" width="13.875" style="1637" customWidth="1"/>
    <col min="9478" max="9478" width="8.75" style="1637" customWidth="1"/>
    <col min="9479" max="9479" width="7.875" style="1637" customWidth="1"/>
    <col min="9480" max="9480" width="9" style="1637" customWidth="1"/>
    <col min="9481" max="9483" width="10.625" style="1637" customWidth="1"/>
    <col min="9484" max="9484" width="14.375" style="1637" customWidth="1"/>
    <col min="9485" max="9485" width="6.25" style="1637" customWidth="1"/>
    <col min="9486" max="9486" width="32" style="1637" customWidth="1"/>
    <col min="9487" max="9728" width="9" style="1637"/>
    <col min="9729" max="9729" width="49.125" style="1637" customWidth="1"/>
    <col min="9730" max="9730" width="6.25" style="1637" customWidth="1"/>
    <col min="9731" max="9731" width="7.875" style="1637" customWidth="1"/>
    <col min="9732" max="9733" width="13.875" style="1637" customWidth="1"/>
    <col min="9734" max="9734" width="8.75" style="1637" customWidth="1"/>
    <col min="9735" max="9735" width="7.875" style="1637" customWidth="1"/>
    <col min="9736" max="9736" width="9" style="1637" customWidth="1"/>
    <col min="9737" max="9739" width="10.625" style="1637" customWidth="1"/>
    <col min="9740" max="9740" width="14.375" style="1637" customWidth="1"/>
    <col min="9741" max="9741" width="6.25" style="1637" customWidth="1"/>
    <col min="9742" max="9742" width="32" style="1637" customWidth="1"/>
    <col min="9743" max="9984" width="9" style="1637"/>
    <col min="9985" max="9985" width="49.125" style="1637" customWidth="1"/>
    <col min="9986" max="9986" width="6.25" style="1637" customWidth="1"/>
    <col min="9987" max="9987" width="7.875" style="1637" customWidth="1"/>
    <col min="9988" max="9989" width="13.875" style="1637" customWidth="1"/>
    <col min="9990" max="9990" width="8.75" style="1637" customWidth="1"/>
    <col min="9991" max="9991" width="7.875" style="1637" customWidth="1"/>
    <col min="9992" max="9992" width="9" style="1637" customWidth="1"/>
    <col min="9993" max="9995" width="10.625" style="1637" customWidth="1"/>
    <col min="9996" max="9996" width="14.375" style="1637" customWidth="1"/>
    <col min="9997" max="9997" width="6.25" style="1637" customWidth="1"/>
    <col min="9998" max="9998" width="32" style="1637" customWidth="1"/>
    <col min="9999" max="10240" width="9" style="1637"/>
    <col min="10241" max="10241" width="49.125" style="1637" customWidth="1"/>
    <col min="10242" max="10242" width="6.25" style="1637" customWidth="1"/>
    <col min="10243" max="10243" width="7.875" style="1637" customWidth="1"/>
    <col min="10244" max="10245" width="13.875" style="1637" customWidth="1"/>
    <col min="10246" max="10246" width="8.75" style="1637" customWidth="1"/>
    <col min="10247" max="10247" width="7.875" style="1637" customWidth="1"/>
    <col min="10248" max="10248" width="9" style="1637" customWidth="1"/>
    <col min="10249" max="10251" width="10.625" style="1637" customWidth="1"/>
    <col min="10252" max="10252" width="14.375" style="1637" customWidth="1"/>
    <col min="10253" max="10253" width="6.25" style="1637" customWidth="1"/>
    <col min="10254" max="10254" width="32" style="1637" customWidth="1"/>
    <col min="10255" max="10496" width="9" style="1637"/>
    <col min="10497" max="10497" width="49.125" style="1637" customWidth="1"/>
    <col min="10498" max="10498" width="6.25" style="1637" customWidth="1"/>
    <col min="10499" max="10499" width="7.875" style="1637" customWidth="1"/>
    <col min="10500" max="10501" width="13.875" style="1637" customWidth="1"/>
    <col min="10502" max="10502" width="8.75" style="1637" customWidth="1"/>
    <col min="10503" max="10503" width="7.875" style="1637" customWidth="1"/>
    <col min="10504" max="10504" width="9" style="1637" customWidth="1"/>
    <col min="10505" max="10507" width="10.625" style="1637" customWidth="1"/>
    <col min="10508" max="10508" width="14.375" style="1637" customWidth="1"/>
    <col min="10509" max="10509" width="6.25" style="1637" customWidth="1"/>
    <col min="10510" max="10510" width="32" style="1637" customWidth="1"/>
    <col min="10511" max="10752" width="9" style="1637"/>
    <col min="10753" max="10753" width="49.125" style="1637" customWidth="1"/>
    <col min="10754" max="10754" width="6.25" style="1637" customWidth="1"/>
    <col min="10755" max="10755" width="7.875" style="1637" customWidth="1"/>
    <col min="10756" max="10757" width="13.875" style="1637" customWidth="1"/>
    <col min="10758" max="10758" width="8.75" style="1637" customWidth="1"/>
    <col min="10759" max="10759" width="7.875" style="1637" customWidth="1"/>
    <col min="10760" max="10760" width="9" style="1637" customWidth="1"/>
    <col min="10761" max="10763" width="10.625" style="1637" customWidth="1"/>
    <col min="10764" max="10764" width="14.375" style="1637" customWidth="1"/>
    <col min="10765" max="10765" width="6.25" style="1637" customWidth="1"/>
    <col min="10766" max="10766" width="32" style="1637" customWidth="1"/>
    <col min="10767" max="11008" width="9" style="1637"/>
    <col min="11009" max="11009" width="49.125" style="1637" customWidth="1"/>
    <col min="11010" max="11010" width="6.25" style="1637" customWidth="1"/>
    <col min="11011" max="11011" width="7.875" style="1637" customWidth="1"/>
    <col min="11012" max="11013" width="13.875" style="1637" customWidth="1"/>
    <col min="11014" max="11014" width="8.75" style="1637" customWidth="1"/>
    <col min="11015" max="11015" width="7.875" style="1637" customWidth="1"/>
    <col min="11016" max="11016" width="9" style="1637" customWidth="1"/>
    <col min="11017" max="11019" width="10.625" style="1637" customWidth="1"/>
    <col min="11020" max="11020" width="14.375" style="1637" customWidth="1"/>
    <col min="11021" max="11021" width="6.25" style="1637" customWidth="1"/>
    <col min="11022" max="11022" width="32" style="1637" customWidth="1"/>
    <col min="11023" max="11264" width="9" style="1637"/>
    <col min="11265" max="11265" width="49.125" style="1637" customWidth="1"/>
    <col min="11266" max="11266" width="6.25" style="1637" customWidth="1"/>
    <col min="11267" max="11267" width="7.875" style="1637" customWidth="1"/>
    <col min="11268" max="11269" width="13.875" style="1637" customWidth="1"/>
    <col min="11270" max="11270" width="8.75" style="1637" customWidth="1"/>
    <col min="11271" max="11271" width="7.875" style="1637" customWidth="1"/>
    <col min="11272" max="11272" width="9" style="1637" customWidth="1"/>
    <col min="11273" max="11275" width="10.625" style="1637" customWidth="1"/>
    <col min="11276" max="11276" width="14.375" style="1637" customWidth="1"/>
    <col min="11277" max="11277" width="6.25" style="1637" customWidth="1"/>
    <col min="11278" max="11278" width="32" style="1637" customWidth="1"/>
    <col min="11279" max="11520" width="9" style="1637"/>
    <col min="11521" max="11521" width="49.125" style="1637" customWidth="1"/>
    <col min="11522" max="11522" width="6.25" style="1637" customWidth="1"/>
    <col min="11523" max="11523" width="7.875" style="1637" customWidth="1"/>
    <col min="11524" max="11525" width="13.875" style="1637" customWidth="1"/>
    <col min="11526" max="11526" width="8.75" style="1637" customWidth="1"/>
    <col min="11527" max="11527" width="7.875" style="1637" customWidth="1"/>
    <col min="11528" max="11528" width="9" style="1637" customWidth="1"/>
    <col min="11529" max="11531" width="10.625" style="1637" customWidth="1"/>
    <col min="11532" max="11532" width="14.375" style="1637" customWidth="1"/>
    <col min="11533" max="11533" width="6.25" style="1637" customWidth="1"/>
    <col min="11534" max="11534" width="32" style="1637" customWidth="1"/>
    <col min="11535" max="11776" width="9" style="1637"/>
    <col min="11777" max="11777" width="49.125" style="1637" customWidth="1"/>
    <col min="11778" max="11778" width="6.25" style="1637" customWidth="1"/>
    <col min="11779" max="11779" width="7.875" style="1637" customWidth="1"/>
    <col min="11780" max="11781" width="13.875" style="1637" customWidth="1"/>
    <col min="11782" max="11782" width="8.75" style="1637" customWidth="1"/>
    <col min="11783" max="11783" width="7.875" style="1637" customWidth="1"/>
    <col min="11784" max="11784" width="9" style="1637" customWidth="1"/>
    <col min="11785" max="11787" width="10.625" style="1637" customWidth="1"/>
    <col min="11788" max="11788" width="14.375" style="1637" customWidth="1"/>
    <col min="11789" max="11789" width="6.25" style="1637" customWidth="1"/>
    <col min="11790" max="11790" width="32" style="1637" customWidth="1"/>
    <col min="11791" max="12032" width="9" style="1637"/>
    <col min="12033" max="12033" width="49.125" style="1637" customWidth="1"/>
    <col min="12034" max="12034" width="6.25" style="1637" customWidth="1"/>
    <col min="12035" max="12035" width="7.875" style="1637" customWidth="1"/>
    <col min="12036" max="12037" width="13.875" style="1637" customWidth="1"/>
    <col min="12038" max="12038" width="8.75" style="1637" customWidth="1"/>
    <col min="12039" max="12039" width="7.875" style="1637" customWidth="1"/>
    <col min="12040" max="12040" width="9" style="1637" customWidth="1"/>
    <col min="12041" max="12043" width="10.625" style="1637" customWidth="1"/>
    <col min="12044" max="12044" width="14.375" style="1637" customWidth="1"/>
    <col min="12045" max="12045" width="6.25" style="1637" customWidth="1"/>
    <col min="12046" max="12046" width="32" style="1637" customWidth="1"/>
    <col min="12047" max="12288" width="9" style="1637"/>
    <col min="12289" max="12289" width="49.125" style="1637" customWidth="1"/>
    <col min="12290" max="12290" width="6.25" style="1637" customWidth="1"/>
    <col min="12291" max="12291" width="7.875" style="1637" customWidth="1"/>
    <col min="12292" max="12293" width="13.875" style="1637" customWidth="1"/>
    <col min="12294" max="12294" width="8.75" style="1637" customWidth="1"/>
    <col min="12295" max="12295" width="7.875" style="1637" customWidth="1"/>
    <col min="12296" max="12296" width="9" style="1637" customWidth="1"/>
    <col min="12297" max="12299" width="10.625" style="1637" customWidth="1"/>
    <col min="12300" max="12300" width="14.375" style="1637" customWidth="1"/>
    <col min="12301" max="12301" width="6.25" style="1637" customWidth="1"/>
    <col min="12302" max="12302" width="32" style="1637" customWidth="1"/>
    <col min="12303" max="12544" width="9" style="1637"/>
    <col min="12545" max="12545" width="49.125" style="1637" customWidth="1"/>
    <col min="12546" max="12546" width="6.25" style="1637" customWidth="1"/>
    <col min="12547" max="12547" width="7.875" style="1637" customWidth="1"/>
    <col min="12548" max="12549" width="13.875" style="1637" customWidth="1"/>
    <col min="12550" max="12550" width="8.75" style="1637" customWidth="1"/>
    <col min="12551" max="12551" width="7.875" style="1637" customWidth="1"/>
    <col min="12552" max="12552" width="9" style="1637" customWidth="1"/>
    <col min="12553" max="12555" width="10.625" style="1637" customWidth="1"/>
    <col min="12556" max="12556" width="14.375" style="1637" customWidth="1"/>
    <col min="12557" max="12557" width="6.25" style="1637" customWidth="1"/>
    <col min="12558" max="12558" width="32" style="1637" customWidth="1"/>
    <col min="12559" max="12800" width="9" style="1637"/>
    <col min="12801" max="12801" width="49.125" style="1637" customWidth="1"/>
    <col min="12802" max="12802" width="6.25" style="1637" customWidth="1"/>
    <col min="12803" max="12803" width="7.875" style="1637" customWidth="1"/>
    <col min="12804" max="12805" width="13.875" style="1637" customWidth="1"/>
    <col min="12806" max="12806" width="8.75" style="1637" customWidth="1"/>
    <col min="12807" max="12807" width="7.875" style="1637" customWidth="1"/>
    <col min="12808" max="12808" width="9" style="1637" customWidth="1"/>
    <col min="12809" max="12811" width="10.625" style="1637" customWidth="1"/>
    <col min="12812" max="12812" width="14.375" style="1637" customWidth="1"/>
    <col min="12813" max="12813" width="6.25" style="1637" customWidth="1"/>
    <col min="12814" max="12814" width="32" style="1637" customWidth="1"/>
    <col min="12815" max="13056" width="9" style="1637"/>
    <col min="13057" max="13057" width="49.125" style="1637" customWidth="1"/>
    <col min="13058" max="13058" width="6.25" style="1637" customWidth="1"/>
    <col min="13059" max="13059" width="7.875" style="1637" customWidth="1"/>
    <col min="13060" max="13061" width="13.875" style="1637" customWidth="1"/>
    <col min="13062" max="13062" width="8.75" style="1637" customWidth="1"/>
    <col min="13063" max="13063" width="7.875" style="1637" customWidth="1"/>
    <col min="13064" max="13064" width="9" style="1637" customWidth="1"/>
    <col min="13065" max="13067" width="10.625" style="1637" customWidth="1"/>
    <col min="13068" max="13068" width="14.375" style="1637" customWidth="1"/>
    <col min="13069" max="13069" width="6.25" style="1637" customWidth="1"/>
    <col min="13070" max="13070" width="32" style="1637" customWidth="1"/>
    <col min="13071" max="13312" width="9" style="1637"/>
    <col min="13313" max="13313" width="49.125" style="1637" customWidth="1"/>
    <col min="13314" max="13314" width="6.25" style="1637" customWidth="1"/>
    <col min="13315" max="13315" width="7.875" style="1637" customWidth="1"/>
    <col min="13316" max="13317" width="13.875" style="1637" customWidth="1"/>
    <col min="13318" max="13318" width="8.75" style="1637" customWidth="1"/>
    <col min="13319" max="13319" width="7.875" style="1637" customWidth="1"/>
    <col min="13320" max="13320" width="9" style="1637" customWidth="1"/>
    <col min="13321" max="13323" width="10.625" style="1637" customWidth="1"/>
    <col min="13324" max="13324" width="14.375" style="1637" customWidth="1"/>
    <col min="13325" max="13325" width="6.25" style="1637" customWidth="1"/>
    <col min="13326" max="13326" width="32" style="1637" customWidth="1"/>
    <col min="13327" max="13568" width="9" style="1637"/>
    <col min="13569" max="13569" width="49.125" style="1637" customWidth="1"/>
    <col min="13570" max="13570" width="6.25" style="1637" customWidth="1"/>
    <col min="13571" max="13571" width="7.875" style="1637" customWidth="1"/>
    <col min="13572" max="13573" width="13.875" style="1637" customWidth="1"/>
    <col min="13574" max="13574" width="8.75" style="1637" customWidth="1"/>
    <col min="13575" max="13575" width="7.875" style="1637" customWidth="1"/>
    <col min="13576" max="13576" width="9" style="1637" customWidth="1"/>
    <col min="13577" max="13579" width="10.625" style="1637" customWidth="1"/>
    <col min="13580" max="13580" width="14.375" style="1637" customWidth="1"/>
    <col min="13581" max="13581" width="6.25" style="1637" customWidth="1"/>
    <col min="13582" max="13582" width="32" style="1637" customWidth="1"/>
    <col min="13583" max="13824" width="9" style="1637"/>
    <col min="13825" max="13825" width="49.125" style="1637" customWidth="1"/>
    <col min="13826" max="13826" width="6.25" style="1637" customWidth="1"/>
    <col min="13827" max="13827" width="7.875" style="1637" customWidth="1"/>
    <col min="13828" max="13829" width="13.875" style="1637" customWidth="1"/>
    <col min="13830" max="13830" width="8.75" style="1637" customWidth="1"/>
    <col min="13831" max="13831" width="7.875" style="1637" customWidth="1"/>
    <col min="13832" max="13832" width="9" style="1637" customWidth="1"/>
    <col min="13833" max="13835" width="10.625" style="1637" customWidth="1"/>
    <col min="13836" max="13836" width="14.375" style="1637" customWidth="1"/>
    <col min="13837" max="13837" width="6.25" style="1637" customWidth="1"/>
    <col min="13838" max="13838" width="32" style="1637" customWidth="1"/>
    <col min="13839" max="14080" width="9" style="1637"/>
    <col min="14081" max="14081" width="49.125" style="1637" customWidth="1"/>
    <col min="14082" max="14082" width="6.25" style="1637" customWidth="1"/>
    <col min="14083" max="14083" width="7.875" style="1637" customWidth="1"/>
    <col min="14084" max="14085" width="13.875" style="1637" customWidth="1"/>
    <col min="14086" max="14086" width="8.75" style="1637" customWidth="1"/>
    <col min="14087" max="14087" width="7.875" style="1637" customWidth="1"/>
    <col min="14088" max="14088" width="9" style="1637" customWidth="1"/>
    <col min="14089" max="14091" width="10.625" style="1637" customWidth="1"/>
    <col min="14092" max="14092" width="14.375" style="1637" customWidth="1"/>
    <col min="14093" max="14093" width="6.25" style="1637" customWidth="1"/>
    <col min="14094" max="14094" width="32" style="1637" customWidth="1"/>
    <col min="14095" max="14336" width="9" style="1637"/>
    <col min="14337" max="14337" width="49.125" style="1637" customWidth="1"/>
    <col min="14338" max="14338" width="6.25" style="1637" customWidth="1"/>
    <col min="14339" max="14339" width="7.875" style="1637" customWidth="1"/>
    <col min="14340" max="14341" width="13.875" style="1637" customWidth="1"/>
    <col min="14342" max="14342" width="8.75" style="1637" customWidth="1"/>
    <col min="14343" max="14343" width="7.875" style="1637" customWidth="1"/>
    <col min="14344" max="14344" width="9" style="1637" customWidth="1"/>
    <col min="14345" max="14347" width="10.625" style="1637" customWidth="1"/>
    <col min="14348" max="14348" width="14.375" style="1637" customWidth="1"/>
    <col min="14349" max="14349" width="6.25" style="1637" customWidth="1"/>
    <col min="14350" max="14350" width="32" style="1637" customWidth="1"/>
    <col min="14351" max="14592" width="9" style="1637"/>
    <col min="14593" max="14593" width="49.125" style="1637" customWidth="1"/>
    <col min="14594" max="14594" width="6.25" style="1637" customWidth="1"/>
    <col min="14595" max="14595" width="7.875" style="1637" customWidth="1"/>
    <col min="14596" max="14597" width="13.875" style="1637" customWidth="1"/>
    <col min="14598" max="14598" width="8.75" style="1637" customWidth="1"/>
    <col min="14599" max="14599" width="7.875" style="1637" customWidth="1"/>
    <col min="14600" max="14600" width="9" style="1637" customWidth="1"/>
    <col min="14601" max="14603" width="10.625" style="1637" customWidth="1"/>
    <col min="14604" max="14604" width="14.375" style="1637" customWidth="1"/>
    <col min="14605" max="14605" width="6.25" style="1637" customWidth="1"/>
    <col min="14606" max="14606" width="32" style="1637" customWidth="1"/>
    <col min="14607" max="14848" width="9" style="1637"/>
    <col min="14849" max="14849" width="49.125" style="1637" customWidth="1"/>
    <col min="14850" max="14850" width="6.25" style="1637" customWidth="1"/>
    <col min="14851" max="14851" width="7.875" style="1637" customWidth="1"/>
    <col min="14852" max="14853" width="13.875" style="1637" customWidth="1"/>
    <col min="14854" max="14854" width="8.75" style="1637" customWidth="1"/>
    <col min="14855" max="14855" width="7.875" style="1637" customWidth="1"/>
    <col min="14856" max="14856" width="9" style="1637" customWidth="1"/>
    <col min="14857" max="14859" width="10.625" style="1637" customWidth="1"/>
    <col min="14860" max="14860" width="14.375" style="1637" customWidth="1"/>
    <col min="14861" max="14861" width="6.25" style="1637" customWidth="1"/>
    <col min="14862" max="14862" width="32" style="1637" customWidth="1"/>
    <col min="14863" max="15104" width="9" style="1637"/>
    <col min="15105" max="15105" width="49.125" style="1637" customWidth="1"/>
    <col min="15106" max="15106" width="6.25" style="1637" customWidth="1"/>
    <col min="15107" max="15107" width="7.875" style="1637" customWidth="1"/>
    <col min="15108" max="15109" width="13.875" style="1637" customWidth="1"/>
    <col min="15110" max="15110" width="8.75" style="1637" customWidth="1"/>
    <col min="15111" max="15111" width="7.875" style="1637" customWidth="1"/>
    <col min="15112" max="15112" width="9" style="1637" customWidth="1"/>
    <col min="15113" max="15115" width="10.625" style="1637" customWidth="1"/>
    <col min="15116" max="15116" width="14.375" style="1637" customWidth="1"/>
    <col min="15117" max="15117" width="6.25" style="1637" customWidth="1"/>
    <col min="15118" max="15118" width="32" style="1637" customWidth="1"/>
    <col min="15119" max="15360" width="9" style="1637"/>
    <col min="15361" max="15361" width="49.125" style="1637" customWidth="1"/>
    <col min="15362" max="15362" width="6.25" style="1637" customWidth="1"/>
    <col min="15363" max="15363" width="7.875" style="1637" customWidth="1"/>
    <col min="15364" max="15365" width="13.875" style="1637" customWidth="1"/>
    <col min="15366" max="15366" width="8.75" style="1637" customWidth="1"/>
    <col min="15367" max="15367" width="7.875" style="1637" customWidth="1"/>
    <col min="15368" max="15368" width="9" style="1637" customWidth="1"/>
    <col min="15369" max="15371" width="10.625" style="1637" customWidth="1"/>
    <col min="15372" max="15372" width="14.375" style="1637" customWidth="1"/>
    <col min="15373" max="15373" width="6.25" style="1637" customWidth="1"/>
    <col min="15374" max="15374" width="32" style="1637" customWidth="1"/>
    <col min="15375" max="15616" width="9" style="1637"/>
    <col min="15617" max="15617" width="49.125" style="1637" customWidth="1"/>
    <col min="15618" max="15618" width="6.25" style="1637" customWidth="1"/>
    <col min="15619" max="15619" width="7.875" style="1637" customWidth="1"/>
    <col min="15620" max="15621" width="13.875" style="1637" customWidth="1"/>
    <col min="15622" max="15622" width="8.75" style="1637" customWidth="1"/>
    <col min="15623" max="15623" width="7.875" style="1637" customWidth="1"/>
    <col min="15624" max="15624" width="9" style="1637" customWidth="1"/>
    <col min="15625" max="15627" width="10.625" style="1637" customWidth="1"/>
    <col min="15628" max="15628" width="14.375" style="1637" customWidth="1"/>
    <col min="15629" max="15629" width="6.25" style="1637" customWidth="1"/>
    <col min="15630" max="15630" width="32" style="1637" customWidth="1"/>
    <col min="15631" max="15872" width="9" style="1637"/>
    <col min="15873" max="15873" width="49.125" style="1637" customWidth="1"/>
    <col min="15874" max="15874" width="6.25" style="1637" customWidth="1"/>
    <col min="15875" max="15875" width="7.875" style="1637" customWidth="1"/>
    <col min="15876" max="15877" width="13.875" style="1637" customWidth="1"/>
    <col min="15878" max="15878" width="8.75" style="1637" customWidth="1"/>
    <col min="15879" max="15879" width="7.875" style="1637" customWidth="1"/>
    <col min="15880" max="15880" width="9" style="1637" customWidth="1"/>
    <col min="15881" max="15883" width="10.625" style="1637" customWidth="1"/>
    <col min="15884" max="15884" width="14.375" style="1637" customWidth="1"/>
    <col min="15885" max="15885" width="6.25" style="1637" customWidth="1"/>
    <col min="15886" max="15886" width="32" style="1637" customWidth="1"/>
    <col min="15887" max="16128" width="9" style="1637"/>
    <col min="16129" max="16129" width="49.125" style="1637" customWidth="1"/>
    <col min="16130" max="16130" width="6.25" style="1637" customWidth="1"/>
    <col min="16131" max="16131" width="7.875" style="1637" customWidth="1"/>
    <col min="16132" max="16133" width="13.875" style="1637" customWidth="1"/>
    <col min="16134" max="16134" width="8.75" style="1637" customWidth="1"/>
    <col min="16135" max="16135" width="7.875" style="1637" customWidth="1"/>
    <col min="16136" max="16136" width="9" style="1637" customWidth="1"/>
    <col min="16137" max="16139" width="10.625" style="1637" customWidth="1"/>
    <col min="16140" max="16140" width="14.375" style="1637" customWidth="1"/>
    <col min="16141" max="16141" width="6.25" style="1637" customWidth="1"/>
    <col min="16142" max="16142" width="32" style="1637" customWidth="1"/>
    <col min="16143" max="16384" width="9" style="1637"/>
  </cols>
  <sheetData>
    <row r="1" spans="1:14">
      <c r="A1" s="1637" t="s">
        <v>3074</v>
      </c>
      <c r="B1" s="1637" t="s">
        <v>3075</v>
      </c>
      <c r="C1" s="1637" t="s">
        <v>3076</v>
      </c>
      <c r="D1" s="1637" t="s">
        <v>3077</v>
      </c>
      <c r="E1" s="1637" t="s">
        <v>3078</v>
      </c>
      <c r="F1" s="1637" t="s">
        <v>3079</v>
      </c>
      <c r="G1" s="1637" t="s">
        <v>3080</v>
      </c>
      <c r="H1" s="1637" t="s">
        <v>3081</v>
      </c>
      <c r="I1" s="1637" t="s">
        <v>3082</v>
      </c>
      <c r="J1" s="1637" t="s">
        <v>3083</v>
      </c>
      <c r="K1" s="2958" t="s">
        <v>3084</v>
      </c>
      <c r="L1" s="1637" t="s">
        <v>3085</v>
      </c>
      <c r="M1" s="1637" t="s">
        <v>3086</v>
      </c>
      <c r="N1" s="1637" t="s">
        <v>3087</v>
      </c>
    </row>
    <row r="2" spans="1:14">
      <c r="A2" s="1637" t="s">
        <v>3088</v>
      </c>
      <c r="B2" s="1637" t="s">
        <v>3049</v>
      </c>
      <c r="C2" s="1637" t="s">
        <v>3089</v>
      </c>
      <c r="D2" s="1637">
        <v>73230.3</v>
      </c>
      <c r="E2" s="1637">
        <v>124491.5</v>
      </c>
      <c r="F2" s="1637" t="s">
        <v>3090</v>
      </c>
      <c r="G2" s="1637" t="s">
        <v>3091</v>
      </c>
      <c r="H2" s="1637" t="s">
        <v>3092</v>
      </c>
      <c r="I2" s="1637">
        <v>9038.07</v>
      </c>
      <c r="J2" s="1637">
        <v>9038.07</v>
      </c>
      <c r="K2" s="1637">
        <f>ROUND(J2/D2*10000,0)</f>
        <v>1234</v>
      </c>
      <c r="L2" s="1637">
        <v>726</v>
      </c>
      <c r="M2" s="1637">
        <v>0</v>
      </c>
      <c r="N2" s="1637" t="s">
        <v>3093</v>
      </c>
    </row>
    <row r="3" spans="1:14">
      <c r="A3" s="1637" t="s">
        <v>3094</v>
      </c>
      <c r="B3" s="1637" t="s">
        <v>3049</v>
      </c>
      <c r="C3" s="1637" t="s">
        <v>3089</v>
      </c>
      <c r="D3" s="1637">
        <v>11958.6</v>
      </c>
      <c r="E3" s="1637">
        <v>17937.900000000001</v>
      </c>
      <c r="F3" s="1637">
        <v>1.5</v>
      </c>
      <c r="G3" s="1637" t="s">
        <v>3091</v>
      </c>
      <c r="H3" s="1637" t="s">
        <v>3092</v>
      </c>
      <c r="I3" s="1637">
        <v>1302.28</v>
      </c>
      <c r="J3" s="1637">
        <v>1302.28</v>
      </c>
      <c r="K3" s="1637">
        <f t="shared" ref="K3:K33" si="0">ROUND(J3/D3*10000,0)</f>
        <v>1089</v>
      </c>
      <c r="L3" s="1637">
        <v>726</v>
      </c>
      <c r="M3" s="1637">
        <v>0</v>
      </c>
      <c r="N3" s="1637" t="s">
        <v>3095</v>
      </c>
    </row>
    <row r="4" spans="1:14">
      <c r="A4" s="1637" t="s">
        <v>3096</v>
      </c>
      <c r="B4" s="1637" t="s">
        <v>3049</v>
      </c>
      <c r="C4" s="1637" t="s">
        <v>3089</v>
      </c>
      <c r="D4" s="1637">
        <v>23044.5</v>
      </c>
      <c r="E4" s="1637">
        <v>46089</v>
      </c>
      <c r="F4" s="1637">
        <v>2</v>
      </c>
      <c r="G4" s="1637" t="s">
        <v>3091</v>
      </c>
      <c r="H4" s="1637" t="s">
        <v>3097</v>
      </c>
      <c r="I4" s="1637">
        <v>4977.6000000000004</v>
      </c>
      <c r="J4" s="1637">
        <v>4977.6000000000004</v>
      </c>
      <c r="K4" s="1637">
        <f t="shared" si="0"/>
        <v>2160</v>
      </c>
      <c r="L4" s="1637">
        <v>1080</v>
      </c>
      <c r="M4" s="1637">
        <v>0</v>
      </c>
      <c r="N4" s="1637" t="s">
        <v>3098</v>
      </c>
    </row>
    <row r="5" spans="1:14">
      <c r="A5" s="1637" t="s">
        <v>3099</v>
      </c>
      <c r="B5" s="1637" t="s">
        <v>3049</v>
      </c>
      <c r="C5" s="1637" t="s">
        <v>3089</v>
      </c>
      <c r="D5" s="1637">
        <v>82687.360000000001</v>
      </c>
      <c r="E5" s="1637">
        <v>157106</v>
      </c>
      <c r="F5" s="1637">
        <v>1.9</v>
      </c>
      <c r="G5" s="1637" t="s">
        <v>3091</v>
      </c>
      <c r="H5" s="1637" t="s">
        <v>3100</v>
      </c>
      <c r="I5" s="1637">
        <v>14688.07</v>
      </c>
      <c r="J5" s="1637">
        <v>14688.07</v>
      </c>
      <c r="K5" s="1637">
        <f t="shared" si="0"/>
        <v>1776</v>
      </c>
      <c r="L5" s="1637">
        <v>934.91</v>
      </c>
      <c r="M5" s="1637">
        <v>0</v>
      </c>
      <c r="N5" s="1637" t="s">
        <v>3101</v>
      </c>
    </row>
    <row r="6" spans="1:14">
      <c r="A6" s="1637" t="s">
        <v>3102</v>
      </c>
      <c r="B6" s="1637" t="s">
        <v>3049</v>
      </c>
      <c r="C6" s="1637" t="s">
        <v>3089</v>
      </c>
      <c r="D6" s="1637">
        <v>791422.1</v>
      </c>
      <c r="E6" s="1637">
        <v>1187133</v>
      </c>
      <c r="F6" s="1637">
        <v>1.5</v>
      </c>
      <c r="G6" s="1637" t="s">
        <v>3091</v>
      </c>
      <c r="H6" s="1637" t="s">
        <v>3103</v>
      </c>
      <c r="I6" s="1637">
        <v>187820</v>
      </c>
      <c r="J6" s="1637">
        <v>187820</v>
      </c>
      <c r="K6" s="1637">
        <f t="shared" si="0"/>
        <v>2373</v>
      </c>
      <c r="L6" s="1637">
        <v>1582.13</v>
      </c>
      <c r="M6" s="1637">
        <v>0</v>
      </c>
      <c r="N6" s="1637" t="s">
        <v>3104</v>
      </c>
    </row>
    <row r="7" spans="1:14">
      <c r="A7" s="1637" t="s">
        <v>3105</v>
      </c>
      <c r="B7" s="1637" t="s">
        <v>3049</v>
      </c>
      <c r="C7" s="1637" t="s">
        <v>3089</v>
      </c>
      <c r="D7" s="1637">
        <v>23308.3</v>
      </c>
      <c r="E7" s="1637">
        <v>34962.449999999997</v>
      </c>
      <c r="F7" s="1637">
        <v>1.5</v>
      </c>
      <c r="G7" s="1637" t="s">
        <v>3091</v>
      </c>
      <c r="H7" s="1637" t="s">
        <v>3106</v>
      </c>
      <c r="I7" s="1637">
        <v>5244.36</v>
      </c>
      <c r="J7" s="1637">
        <v>5244.36</v>
      </c>
      <c r="K7" s="1637">
        <f t="shared" si="0"/>
        <v>2250</v>
      </c>
      <c r="L7" s="1637">
        <v>1500</v>
      </c>
      <c r="M7" s="1637">
        <v>0</v>
      </c>
      <c r="N7" s="1637" t="s">
        <v>3107</v>
      </c>
    </row>
    <row r="8" spans="1:14">
      <c r="A8" s="1637" t="s">
        <v>3108</v>
      </c>
      <c r="B8" s="1637" t="s">
        <v>3049</v>
      </c>
      <c r="C8" s="1637" t="s">
        <v>3089</v>
      </c>
      <c r="D8" s="1637">
        <v>19655.95</v>
      </c>
      <c r="E8" s="1637">
        <v>39312</v>
      </c>
      <c r="F8" s="1637">
        <v>8.3000000000000007</v>
      </c>
      <c r="G8" s="1637" t="s">
        <v>3091</v>
      </c>
      <c r="H8" s="1637" t="s">
        <v>3109</v>
      </c>
      <c r="I8" s="1637">
        <v>2634.78</v>
      </c>
      <c r="J8" s="1637">
        <v>2634.78</v>
      </c>
      <c r="K8" s="1637">
        <f t="shared" si="0"/>
        <v>1340</v>
      </c>
      <c r="L8" s="1637">
        <v>670.22</v>
      </c>
      <c r="M8" s="1637">
        <v>0</v>
      </c>
      <c r="N8" s="1637" t="s">
        <v>3110</v>
      </c>
    </row>
    <row r="9" spans="1:14">
      <c r="A9" s="1637" t="s">
        <v>3111</v>
      </c>
      <c r="B9" s="1637" t="s">
        <v>3049</v>
      </c>
      <c r="C9" s="1637" t="s">
        <v>3089</v>
      </c>
      <c r="D9" s="1637">
        <v>72743.12</v>
      </c>
      <c r="E9" s="1637">
        <v>109114.7</v>
      </c>
      <c r="F9" s="1637" t="s">
        <v>3112</v>
      </c>
      <c r="G9" s="1637" t="s">
        <v>3091</v>
      </c>
      <c r="H9" s="1637" t="s">
        <v>3113</v>
      </c>
      <c r="I9" s="1637">
        <v>11784.38</v>
      </c>
      <c r="J9" s="1637">
        <v>11784.38</v>
      </c>
      <c r="K9" s="1637">
        <f t="shared" si="0"/>
        <v>1620</v>
      </c>
      <c r="L9" s="1637">
        <v>1080</v>
      </c>
      <c r="M9" s="1637">
        <v>0</v>
      </c>
      <c r="N9" s="1637" t="s">
        <v>3114</v>
      </c>
    </row>
    <row r="10" spans="1:14">
      <c r="A10" s="1637" t="s">
        <v>3115</v>
      </c>
      <c r="B10" s="1637" t="s">
        <v>3049</v>
      </c>
      <c r="C10" s="1637" t="s">
        <v>3089</v>
      </c>
      <c r="D10" s="1637">
        <v>20000.599999999999</v>
      </c>
      <c r="E10" s="1637">
        <v>30000.9</v>
      </c>
      <c r="F10" s="1637" t="s">
        <v>3116</v>
      </c>
      <c r="G10" s="1637" t="s">
        <v>3091</v>
      </c>
      <c r="H10" s="1637" t="s">
        <v>3113</v>
      </c>
      <c r="I10" s="1637">
        <v>3240.09</v>
      </c>
      <c r="J10" s="1637">
        <v>3240.09</v>
      </c>
      <c r="K10" s="1637">
        <f t="shared" si="0"/>
        <v>1620</v>
      </c>
      <c r="L10" s="1637">
        <v>1080</v>
      </c>
      <c r="M10" s="1637">
        <v>0</v>
      </c>
      <c r="N10" s="1637" t="s">
        <v>3117</v>
      </c>
    </row>
    <row r="11" spans="1:14">
      <c r="A11" s="1637" t="s">
        <v>3118</v>
      </c>
      <c r="B11" s="1637" t="s">
        <v>3049</v>
      </c>
      <c r="C11" s="1637" t="s">
        <v>3089</v>
      </c>
      <c r="D11" s="1637">
        <v>34726.1</v>
      </c>
      <c r="E11" s="1637">
        <v>52089.15</v>
      </c>
      <c r="F11" s="1637" t="s">
        <v>3112</v>
      </c>
      <c r="G11" s="1637" t="s">
        <v>3091</v>
      </c>
      <c r="H11" s="1637" t="s">
        <v>3119</v>
      </c>
      <c r="I11" s="1637">
        <v>5625.63</v>
      </c>
      <c r="J11" s="1637">
        <v>5625.63</v>
      </c>
      <c r="K11" s="1637">
        <f t="shared" si="0"/>
        <v>1620</v>
      </c>
      <c r="L11" s="1637">
        <v>1080</v>
      </c>
      <c r="M11" s="1637">
        <v>0</v>
      </c>
      <c r="N11" s="1637" t="s">
        <v>3120</v>
      </c>
    </row>
    <row r="12" spans="1:14">
      <c r="A12" s="1637" t="s">
        <v>3121</v>
      </c>
      <c r="B12" s="1637" t="s">
        <v>3049</v>
      </c>
      <c r="C12" s="1637" t="s">
        <v>3089</v>
      </c>
      <c r="D12" s="1637">
        <v>103751.8</v>
      </c>
      <c r="E12" s="1637">
        <v>155627.70000000001</v>
      </c>
      <c r="F12" s="1637" t="s">
        <v>3112</v>
      </c>
      <c r="G12" s="1637" t="s">
        <v>3091</v>
      </c>
      <c r="H12" s="1637" t="s">
        <v>3122</v>
      </c>
      <c r="I12" s="1637">
        <v>16807.79</v>
      </c>
      <c r="J12" s="1637">
        <v>16807.79</v>
      </c>
      <c r="K12" s="1637">
        <f t="shared" si="0"/>
        <v>1620</v>
      </c>
      <c r="L12" s="1637">
        <v>1080</v>
      </c>
      <c r="M12" s="1637">
        <v>0</v>
      </c>
      <c r="N12" s="1637" t="s">
        <v>3123</v>
      </c>
    </row>
    <row r="13" spans="1:14">
      <c r="A13" s="1637" t="s">
        <v>3124</v>
      </c>
      <c r="B13" s="1637" t="s">
        <v>3049</v>
      </c>
      <c r="C13" s="1637" t="s">
        <v>3089</v>
      </c>
      <c r="D13" s="1637">
        <v>61106.9</v>
      </c>
      <c r="E13" s="1637">
        <v>122213.8</v>
      </c>
      <c r="F13" s="1637" t="s">
        <v>3125</v>
      </c>
      <c r="G13" s="1637" t="s">
        <v>3091</v>
      </c>
      <c r="H13" s="1637" t="s">
        <v>3126</v>
      </c>
      <c r="I13" s="1637">
        <v>13199.09</v>
      </c>
      <c r="J13" s="1637">
        <v>13199.09</v>
      </c>
      <c r="K13" s="1637">
        <f t="shared" si="0"/>
        <v>2160</v>
      </c>
      <c r="L13" s="1637">
        <v>1080</v>
      </c>
      <c r="M13" s="1637">
        <v>0</v>
      </c>
      <c r="N13" s="1637" t="s">
        <v>3127</v>
      </c>
    </row>
    <row r="14" spans="1:14">
      <c r="A14" s="1637" t="s">
        <v>3128</v>
      </c>
      <c r="B14" s="1637" t="s">
        <v>3049</v>
      </c>
      <c r="C14" s="1637" t="s">
        <v>3089</v>
      </c>
      <c r="D14" s="1637">
        <v>2718.4</v>
      </c>
      <c r="E14" s="1637">
        <v>4077.6</v>
      </c>
      <c r="F14" s="1637" t="s">
        <v>3116</v>
      </c>
      <c r="G14" s="1637" t="s">
        <v>3091</v>
      </c>
      <c r="H14" s="1637" t="s">
        <v>3129</v>
      </c>
      <c r="I14" s="1637">
        <v>611.63</v>
      </c>
      <c r="J14" s="1637">
        <v>611.63</v>
      </c>
      <c r="K14" s="1637">
        <f t="shared" si="0"/>
        <v>2250</v>
      </c>
      <c r="L14" s="1637">
        <v>1500</v>
      </c>
      <c r="M14" s="1637">
        <v>0</v>
      </c>
      <c r="N14" s="1637" t="s">
        <v>3130</v>
      </c>
    </row>
    <row r="15" spans="1:14">
      <c r="A15" s="1637" t="s">
        <v>3131</v>
      </c>
      <c r="B15" s="1637" t="s">
        <v>3049</v>
      </c>
      <c r="C15" s="1637" t="s">
        <v>3089</v>
      </c>
      <c r="D15" s="1637">
        <v>11807.8</v>
      </c>
      <c r="E15" s="1637">
        <v>17711.7</v>
      </c>
      <c r="F15" s="1637" t="s">
        <v>3112</v>
      </c>
      <c r="G15" s="1637" t="s">
        <v>3091</v>
      </c>
      <c r="H15" s="1637" t="s">
        <v>3132</v>
      </c>
      <c r="I15" s="1637">
        <v>2656.76</v>
      </c>
      <c r="J15" s="1637">
        <v>2656.76</v>
      </c>
      <c r="K15" s="1637">
        <f t="shared" si="0"/>
        <v>2250</v>
      </c>
      <c r="L15" s="1637">
        <v>1500</v>
      </c>
      <c r="M15" s="1637">
        <v>0</v>
      </c>
      <c r="N15" s="1637" t="s">
        <v>3133</v>
      </c>
    </row>
    <row r="16" spans="1:14">
      <c r="A16" s="1637" t="s">
        <v>3134</v>
      </c>
      <c r="B16" s="1637" t="s">
        <v>3049</v>
      </c>
      <c r="C16" s="1637" t="s">
        <v>3089</v>
      </c>
      <c r="D16" s="1637">
        <v>40514.6</v>
      </c>
      <c r="E16" s="1637">
        <v>81029.2</v>
      </c>
      <c r="F16" s="1637" t="s">
        <v>3125</v>
      </c>
      <c r="G16" s="1637" t="s">
        <v>3091</v>
      </c>
      <c r="H16" s="1637" t="s">
        <v>3132</v>
      </c>
      <c r="I16" s="1637">
        <v>7049.53</v>
      </c>
      <c r="J16" s="1637">
        <v>7049.53</v>
      </c>
      <c r="K16" s="1637">
        <f t="shared" si="0"/>
        <v>1740</v>
      </c>
      <c r="L16" s="1637">
        <v>870</v>
      </c>
      <c r="M16" s="1637">
        <v>0</v>
      </c>
      <c r="N16" s="1637" t="s">
        <v>3135</v>
      </c>
    </row>
    <row r="17" spans="1:14">
      <c r="A17" s="1637" t="s">
        <v>3136</v>
      </c>
      <c r="B17" s="1637" t="s">
        <v>3049</v>
      </c>
      <c r="C17" s="1637" t="s">
        <v>3089</v>
      </c>
      <c r="D17" s="1637">
        <v>31860</v>
      </c>
      <c r="E17" s="1637">
        <v>63720</v>
      </c>
      <c r="F17" s="1637" t="s">
        <v>3125</v>
      </c>
      <c r="G17" s="1637" t="s">
        <v>3091</v>
      </c>
      <c r="H17" s="1637" t="s">
        <v>3137</v>
      </c>
      <c r="I17" s="1637">
        <v>5543.64</v>
      </c>
      <c r="J17" s="1637">
        <v>5543.64</v>
      </c>
      <c r="K17" s="1637">
        <f t="shared" si="0"/>
        <v>1740</v>
      </c>
      <c r="L17" s="1637">
        <v>870</v>
      </c>
      <c r="M17" s="1637">
        <v>0</v>
      </c>
      <c r="N17" s="1637" t="s">
        <v>3138</v>
      </c>
    </row>
    <row r="18" spans="1:14">
      <c r="A18" s="1637" t="s">
        <v>3139</v>
      </c>
      <c r="B18" s="1637" t="s">
        <v>3049</v>
      </c>
      <c r="C18" s="1637" t="s">
        <v>3089</v>
      </c>
      <c r="D18" s="1637">
        <v>233050</v>
      </c>
      <c r="E18" s="1637">
        <v>279660</v>
      </c>
      <c r="F18" s="1637" t="s">
        <v>3140</v>
      </c>
      <c r="G18" s="1637" t="s">
        <v>3091</v>
      </c>
      <c r="H18" s="1637" t="s">
        <v>3141</v>
      </c>
      <c r="I18" s="1637">
        <v>21533.81</v>
      </c>
      <c r="J18" s="1637">
        <v>21533.81</v>
      </c>
      <c r="K18" s="1637">
        <f t="shared" si="0"/>
        <v>924</v>
      </c>
      <c r="L18" s="1637">
        <v>770</v>
      </c>
      <c r="M18" s="1637">
        <v>0</v>
      </c>
      <c r="N18" s="1637" t="s">
        <v>3104</v>
      </c>
    </row>
    <row r="19" spans="1:14" s="2959" customFormat="1">
      <c r="A19" s="2959" t="s">
        <v>3142</v>
      </c>
      <c r="B19" s="2959" t="s">
        <v>3049</v>
      </c>
      <c r="C19" s="2959" t="s">
        <v>3089</v>
      </c>
      <c r="D19" s="2959">
        <v>26676.58</v>
      </c>
      <c r="E19" s="2959">
        <v>37347</v>
      </c>
      <c r="F19" s="2959" t="s">
        <v>3143</v>
      </c>
      <c r="G19" s="2959" t="s">
        <v>3091</v>
      </c>
      <c r="H19" s="2959" t="s">
        <v>3144</v>
      </c>
      <c r="I19" s="2959">
        <v>3035</v>
      </c>
      <c r="J19" s="2959">
        <v>3035</v>
      </c>
      <c r="K19" s="2959">
        <f t="shared" si="0"/>
        <v>1138</v>
      </c>
      <c r="L19" s="2959">
        <v>812.64</v>
      </c>
      <c r="M19" s="2959">
        <v>0</v>
      </c>
      <c r="N19" s="2959" t="s">
        <v>3145</v>
      </c>
    </row>
    <row r="20" spans="1:14" s="2959" customFormat="1">
      <c r="A20" s="2959" t="s">
        <v>3146</v>
      </c>
      <c r="B20" s="2959" t="s">
        <v>3049</v>
      </c>
      <c r="C20" s="2959" t="s">
        <v>3089</v>
      </c>
      <c r="D20" s="2959">
        <v>50030.87</v>
      </c>
      <c r="E20" s="2959">
        <v>75046</v>
      </c>
      <c r="F20" s="2959" t="s">
        <v>3116</v>
      </c>
      <c r="G20" s="2959" t="s">
        <v>3091</v>
      </c>
      <c r="H20" s="2959" t="s">
        <v>3147</v>
      </c>
      <c r="I20" s="2959">
        <v>5951</v>
      </c>
      <c r="J20" s="2959">
        <v>5951</v>
      </c>
      <c r="K20" s="2959">
        <f t="shared" si="0"/>
        <v>1189</v>
      </c>
      <c r="L20" s="2959">
        <v>792.98</v>
      </c>
      <c r="M20" s="2959">
        <v>0</v>
      </c>
      <c r="N20" s="2959" t="s">
        <v>3148</v>
      </c>
    </row>
    <row r="21" spans="1:14">
      <c r="A21" s="1637" t="s">
        <v>3149</v>
      </c>
      <c r="B21" s="1637" t="s">
        <v>3049</v>
      </c>
      <c r="C21" s="1637" t="s">
        <v>3089</v>
      </c>
      <c r="D21" s="1637">
        <v>49648.1</v>
      </c>
      <c r="E21" s="1637">
        <v>99296.2</v>
      </c>
      <c r="F21" s="1637" t="s">
        <v>3125</v>
      </c>
      <c r="G21" s="1637" t="s">
        <v>3091</v>
      </c>
      <c r="H21" s="1637" t="s">
        <v>3150</v>
      </c>
      <c r="I21" s="1637">
        <v>8638.77</v>
      </c>
      <c r="J21" s="1637">
        <v>8638.77</v>
      </c>
      <c r="K21" s="1637">
        <f t="shared" si="0"/>
        <v>1740</v>
      </c>
      <c r="L21" s="1637">
        <v>870</v>
      </c>
      <c r="M21" s="1637">
        <v>0</v>
      </c>
      <c r="N21" s="1637" t="s">
        <v>3151</v>
      </c>
    </row>
    <row r="22" spans="1:14">
      <c r="A22" s="1637" t="s">
        <v>3152</v>
      </c>
      <c r="B22" s="1637" t="s">
        <v>3049</v>
      </c>
      <c r="C22" s="1637" t="s">
        <v>3089</v>
      </c>
      <c r="D22" s="1637">
        <v>11642.35</v>
      </c>
      <c r="E22" s="1637">
        <v>23285</v>
      </c>
      <c r="F22" s="1637" t="s">
        <v>3125</v>
      </c>
      <c r="G22" s="1637" t="s">
        <v>3091</v>
      </c>
      <c r="H22" s="1637" t="s">
        <v>3153</v>
      </c>
      <c r="I22" s="1637">
        <v>1635</v>
      </c>
      <c r="J22" s="1637">
        <v>1635</v>
      </c>
      <c r="K22" s="1637">
        <f t="shared" si="0"/>
        <v>1404</v>
      </c>
      <c r="L22" s="1637">
        <v>702.16</v>
      </c>
      <c r="M22" s="1637">
        <v>0</v>
      </c>
      <c r="N22" s="1637" t="s">
        <v>3154</v>
      </c>
    </row>
    <row r="23" spans="1:14" s="2959" customFormat="1">
      <c r="A23" s="2959" t="s">
        <v>3155</v>
      </c>
      <c r="B23" s="2959" t="s">
        <v>3049</v>
      </c>
      <c r="C23" s="2959" t="s">
        <v>3089</v>
      </c>
      <c r="D23" s="2959">
        <v>5352.49</v>
      </c>
      <c r="E23" s="2959">
        <v>7493</v>
      </c>
      <c r="F23" s="2959" t="s">
        <v>3143</v>
      </c>
      <c r="G23" s="2959" t="s">
        <v>3091</v>
      </c>
      <c r="H23" s="2959" t="s">
        <v>3153</v>
      </c>
      <c r="I23" s="2959">
        <v>613</v>
      </c>
      <c r="J23" s="2959">
        <v>613</v>
      </c>
      <c r="K23" s="2959">
        <f t="shared" si="0"/>
        <v>1145</v>
      </c>
      <c r="L23" s="2959">
        <v>818.1</v>
      </c>
      <c r="M23" s="2959">
        <v>0</v>
      </c>
      <c r="N23" s="2959" t="s">
        <v>3156</v>
      </c>
    </row>
    <row r="24" spans="1:14">
      <c r="A24" s="1637" t="s">
        <v>3157</v>
      </c>
      <c r="B24" s="1637" t="s">
        <v>3049</v>
      </c>
      <c r="C24" s="1637" t="s">
        <v>3089</v>
      </c>
      <c r="D24" s="1637">
        <v>11276.71</v>
      </c>
      <c r="E24" s="1637">
        <v>16915</v>
      </c>
      <c r="F24" s="1637" t="s">
        <v>3116</v>
      </c>
      <c r="G24" s="1637" t="s">
        <v>3091</v>
      </c>
      <c r="H24" s="1637" t="s">
        <v>3153</v>
      </c>
      <c r="I24" s="1637">
        <v>1346</v>
      </c>
      <c r="J24" s="1637">
        <v>1346</v>
      </c>
      <c r="K24" s="1637">
        <f t="shared" si="0"/>
        <v>1194</v>
      </c>
      <c r="L24" s="1637">
        <v>795.74</v>
      </c>
      <c r="M24" s="1637">
        <v>0</v>
      </c>
      <c r="N24" s="1637" t="s">
        <v>3158</v>
      </c>
    </row>
    <row r="25" spans="1:14">
      <c r="A25" s="1637" t="s">
        <v>3159</v>
      </c>
      <c r="B25" s="1637" t="s">
        <v>3049</v>
      </c>
      <c r="C25" s="1637" t="s">
        <v>3089</v>
      </c>
      <c r="D25" s="1637">
        <v>11295.39</v>
      </c>
      <c r="E25" s="1637">
        <v>16943</v>
      </c>
      <c r="F25" s="1637" t="s">
        <v>3116</v>
      </c>
      <c r="G25" s="1637" t="s">
        <v>3091</v>
      </c>
      <c r="H25" s="1637" t="s">
        <v>3160</v>
      </c>
      <c r="I25" s="1637">
        <v>1347</v>
      </c>
      <c r="J25" s="1637">
        <v>1347</v>
      </c>
      <c r="K25" s="1637">
        <f t="shared" si="0"/>
        <v>1193</v>
      </c>
      <c r="L25" s="1637">
        <v>795.01</v>
      </c>
      <c r="M25" s="1637">
        <v>0</v>
      </c>
      <c r="N25" s="1637" t="s">
        <v>3161</v>
      </c>
    </row>
    <row r="26" spans="1:14">
      <c r="A26" s="1637" t="s">
        <v>3162</v>
      </c>
      <c r="B26" s="1637" t="s">
        <v>3049</v>
      </c>
      <c r="C26" s="1637" t="s">
        <v>3089</v>
      </c>
      <c r="D26" s="1637">
        <v>66765.320000000007</v>
      </c>
      <c r="E26" s="1637">
        <v>100148</v>
      </c>
      <c r="F26" s="1637" t="s">
        <v>3116</v>
      </c>
      <c r="G26" s="1637" t="s">
        <v>3091</v>
      </c>
      <c r="H26" s="1637" t="s">
        <v>3160</v>
      </c>
      <c r="I26" s="1637">
        <v>11186</v>
      </c>
      <c r="J26" s="1637">
        <v>11186</v>
      </c>
      <c r="K26" s="1637">
        <f t="shared" si="0"/>
        <v>1675</v>
      </c>
      <c r="L26" s="1637">
        <v>1116.95</v>
      </c>
      <c r="M26" s="1637">
        <v>0</v>
      </c>
      <c r="N26" s="1637" t="s">
        <v>3163</v>
      </c>
    </row>
    <row r="27" spans="1:14">
      <c r="A27" s="1637" t="s">
        <v>3164</v>
      </c>
      <c r="B27" s="1637" t="s">
        <v>3049</v>
      </c>
      <c r="C27" s="1637" t="s">
        <v>3089</v>
      </c>
      <c r="D27" s="1637">
        <v>109617.1</v>
      </c>
      <c r="E27" s="1637">
        <v>164426</v>
      </c>
      <c r="F27" s="1637" t="s">
        <v>3116</v>
      </c>
      <c r="G27" s="1637" t="s">
        <v>3091</v>
      </c>
      <c r="H27" s="1637" t="s">
        <v>3165</v>
      </c>
      <c r="I27" s="1637">
        <v>13011</v>
      </c>
      <c r="J27" s="1637">
        <v>13011</v>
      </c>
      <c r="K27" s="1637">
        <f t="shared" si="0"/>
        <v>1187</v>
      </c>
      <c r="L27" s="1637">
        <v>791.29</v>
      </c>
      <c r="M27" s="1637">
        <v>0</v>
      </c>
      <c r="N27" s="1637" t="s">
        <v>3166</v>
      </c>
    </row>
    <row r="28" spans="1:14">
      <c r="A28" s="1637" t="s">
        <v>3167</v>
      </c>
      <c r="B28" s="1637" t="s">
        <v>3049</v>
      </c>
      <c r="C28" s="1637" t="s">
        <v>3089</v>
      </c>
      <c r="D28" s="1637">
        <v>82247.570000000007</v>
      </c>
      <c r="E28" s="1637">
        <v>123371</v>
      </c>
      <c r="F28" s="1637" t="s">
        <v>3116</v>
      </c>
      <c r="G28" s="1637" t="s">
        <v>3091</v>
      </c>
      <c r="H28" s="1637" t="s">
        <v>3165</v>
      </c>
      <c r="I28" s="1637">
        <v>9770</v>
      </c>
      <c r="J28" s="1637">
        <v>9770</v>
      </c>
      <c r="K28" s="1637">
        <f t="shared" si="0"/>
        <v>1188</v>
      </c>
      <c r="L28" s="1637">
        <v>791.91</v>
      </c>
      <c r="M28" s="1637">
        <v>0</v>
      </c>
      <c r="N28" s="1637" t="s">
        <v>3168</v>
      </c>
    </row>
    <row r="29" spans="1:14">
      <c r="A29" s="1637" t="s">
        <v>3169</v>
      </c>
      <c r="B29" s="1637" t="s">
        <v>3049</v>
      </c>
      <c r="C29" s="1637" t="s">
        <v>3089</v>
      </c>
      <c r="D29" s="1637">
        <v>15638.6</v>
      </c>
      <c r="E29" s="1637">
        <v>21894</v>
      </c>
      <c r="F29" s="1637" t="s">
        <v>3143</v>
      </c>
      <c r="G29" s="1637" t="s">
        <v>3091</v>
      </c>
      <c r="H29" s="1637" t="s">
        <v>3165</v>
      </c>
      <c r="I29" s="1637">
        <v>1780</v>
      </c>
      <c r="J29" s="1637">
        <v>1780</v>
      </c>
      <c r="K29" s="1637">
        <f t="shared" si="0"/>
        <v>1138</v>
      </c>
      <c r="L29" s="1637">
        <v>813</v>
      </c>
      <c r="M29" s="1637">
        <v>0</v>
      </c>
      <c r="N29" s="1637" t="s">
        <v>3170</v>
      </c>
    </row>
    <row r="30" spans="1:14">
      <c r="A30" s="1637" t="s">
        <v>3171</v>
      </c>
      <c r="B30" s="1637" t="s">
        <v>3049</v>
      </c>
      <c r="C30" s="1637" t="s">
        <v>3089</v>
      </c>
      <c r="D30" s="1637">
        <v>42702.82</v>
      </c>
      <c r="E30" s="1637">
        <v>85406</v>
      </c>
      <c r="F30" s="1637" t="s">
        <v>3125</v>
      </c>
      <c r="G30" s="1637" t="s">
        <v>3091</v>
      </c>
      <c r="H30" s="1637" t="s">
        <v>3165</v>
      </c>
      <c r="I30" s="1637">
        <v>5984</v>
      </c>
      <c r="J30" s="1637">
        <v>5984</v>
      </c>
      <c r="K30" s="1637">
        <f t="shared" si="0"/>
        <v>1401</v>
      </c>
      <c r="L30" s="1637">
        <v>700.64</v>
      </c>
      <c r="M30" s="1637">
        <v>0</v>
      </c>
      <c r="N30" s="1637" t="s">
        <v>3172</v>
      </c>
    </row>
    <row r="31" spans="1:14">
      <c r="A31" s="1637" t="s">
        <v>3173</v>
      </c>
      <c r="B31" s="1637" t="s">
        <v>3049</v>
      </c>
      <c r="C31" s="1637" t="s">
        <v>3089</v>
      </c>
      <c r="D31" s="1637">
        <v>24937.14</v>
      </c>
      <c r="E31" s="1637">
        <v>49874</v>
      </c>
      <c r="F31" s="1637" t="s">
        <v>3125</v>
      </c>
      <c r="G31" s="1637" t="s">
        <v>3091</v>
      </c>
      <c r="H31" s="1637" t="s">
        <v>3165</v>
      </c>
      <c r="I31" s="1637">
        <v>3495</v>
      </c>
      <c r="J31" s="1637">
        <v>3495</v>
      </c>
      <c r="K31" s="1637">
        <f t="shared" si="0"/>
        <v>1402</v>
      </c>
      <c r="L31" s="1637">
        <v>700.76</v>
      </c>
      <c r="M31" s="1637">
        <v>0</v>
      </c>
      <c r="N31" s="1637" t="s">
        <v>3174</v>
      </c>
    </row>
    <row r="32" spans="1:14">
      <c r="A32" s="1637" t="s">
        <v>3175</v>
      </c>
      <c r="B32" s="1637" t="s">
        <v>3049</v>
      </c>
      <c r="C32" s="1637" t="s">
        <v>3089</v>
      </c>
      <c r="D32" s="1637">
        <v>47274.78</v>
      </c>
      <c r="E32" s="1637">
        <v>70912</v>
      </c>
      <c r="F32" s="1637" t="s">
        <v>3116</v>
      </c>
      <c r="G32" s="1637" t="s">
        <v>3091</v>
      </c>
      <c r="H32" s="1637" t="s">
        <v>3165</v>
      </c>
      <c r="I32" s="1637">
        <v>5615</v>
      </c>
      <c r="J32" s="1637">
        <v>5615</v>
      </c>
      <c r="K32" s="1637">
        <f t="shared" si="0"/>
        <v>1188</v>
      </c>
      <c r="L32" s="1637">
        <v>791.83</v>
      </c>
      <c r="M32" s="1637">
        <v>0</v>
      </c>
      <c r="N32" s="1637" t="s">
        <v>3176</v>
      </c>
    </row>
    <row r="33" spans="1:14">
      <c r="A33" s="1637" t="s">
        <v>3177</v>
      </c>
      <c r="B33" s="1637" t="s">
        <v>3049</v>
      </c>
      <c r="C33" s="1637" t="s">
        <v>3089</v>
      </c>
      <c r="D33" s="1637">
        <v>106517.9</v>
      </c>
      <c r="E33" s="1637">
        <v>213035.8</v>
      </c>
      <c r="F33" s="1637" t="s">
        <v>3125</v>
      </c>
      <c r="G33" s="1637" t="s">
        <v>3091</v>
      </c>
      <c r="H33" s="1637" t="s">
        <v>3178</v>
      </c>
      <c r="I33" s="1637">
        <v>18534.11</v>
      </c>
      <c r="J33" s="1637">
        <v>18534.11</v>
      </c>
      <c r="K33" s="1637">
        <f t="shared" si="0"/>
        <v>1740</v>
      </c>
      <c r="L33" s="1637">
        <v>870</v>
      </c>
      <c r="M33" s="1637">
        <v>0</v>
      </c>
      <c r="N33" s="1637" t="s">
        <v>3179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1640</v>
      </c>
      <c r="B2" s="2997" t="s">
        <v>1641</v>
      </c>
      <c r="C2" s="2997" t="s">
        <v>1642</v>
      </c>
      <c r="D2" s="2997" t="str">
        <f>结果表!D116</f>
        <v>出让国有建设用地使用权价值</v>
      </c>
      <c r="E2" s="2997"/>
      <c r="F2" s="2997" t="str">
        <f>结果表!F116</f>
        <v>建筑物价值</v>
      </c>
      <c r="G2" s="2997"/>
      <c r="H2" s="2997" t="str">
        <f>IF(项目基本情况!B9="房地产市场价值","房地产市场价值","房地产价值")</f>
        <v>房地产价值</v>
      </c>
      <c r="I2" s="2997"/>
    </row>
    <row r="3" spans="1:9" ht="15">
      <c r="A3" s="2991"/>
      <c r="B3" s="2991"/>
      <c r="C3" s="2991"/>
      <c r="D3" s="1047" t="s">
        <v>1637</v>
      </c>
      <c r="E3" s="1047" t="s">
        <v>1643</v>
      </c>
      <c r="F3" s="1047" t="s">
        <v>1637</v>
      </c>
      <c r="G3" s="1047" t="s">
        <v>1638</v>
      </c>
      <c r="H3" s="1047" t="s">
        <v>1637</v>
      </c>
      <c r="I3" s="1047" t="s">
        <v>1638</v>
      </c>
    </row>
    <row r="4" spans="1:9" ht="30">
      <c r="A4" s="1975" t="str">
        <f>项目基本情况!S2</f>
        <v>北京市大兴区金苑路32号1幢等2幢工业用房房地产</v>
      </c>
      <c r="B4" s="1047">
        <f>项目基本情况!C17</f>
        <v>6217.83</v>
      </c>
      <c r="C4" s="1047">
        <f>项目基本情况!C18</f>
        <v>2422.36</v>
      </c>
      <c r="D4" s="1047">
        <f ca="1">结果表!D118</f>
        <v>543</v>
      </c>
      <c r="E4" s="1047">
        <f ca="1">结果表!E118</f>
        <v>873</v>
      </c>
      <c r="F4" s="1047">
        <f ca="1">结果表!F118</f>
        <v>1927</v>
      </c>
      <c r="G4" s="1047">
        <f ca="1">结果表!G118</f>
        <v>3099</v>
      </c>
      <c r="H4" s="1047">
        <f ca="1">结果表!H118</f>
        <v>2470</v>
      </c>
      <c r="I4" s="1047">
        <f ca="1">结果表!I118</f>
        <v>3972</v>
      </c>
    </row>
    <row r="5" spans="1:9" ht="30" customHeight="1">
      <c r="A5" s="2991" t="s">
        <v>1639</v>
      </c>
      <c r="B5" s="2991"/>
      <c r="C5" s="2991"/>
      <c r="D5" s="2992" t="str">
        <f ca="1">结果表!D119</f>
        <v>伍佰肆拾叁万元整</v>
      </c>
      <c r="E5" s="2992"/>
      <c r="F5" s="2992" t="str">
        <f ca="1">结果表!F119</f>
        <v>壹仟玖佰贰拾柒万元整</v>
      </c>
      <c r="G5" s="2992"/>
      <c r="H5" s="2992" t="str">
        <f ca="1">结果表!H119</f>
        <v>贰仟肆佰柒拾万元整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1639</v>
      </c>
      <c r="B7" s="2991"/>
      <c r="C7" s="2991"/>
      <c r="D7" s="2993" t="str">
        <f>结果表!D121</f>
        <v>零元整</v>
      </c>
      <c r="E7" s="2994"/>
      <c r="F7" s="2994"/>
      <c r="G7" s="2994"/>
      <c r="H7" s="2994"/>
      <c r="I7" s="2995"/>
    </row>
    <row r="8" spans="1:9" ht="15.75">
      <c r="A8" s="2990" t="str">
        <f>结果表!A122</f>
        <v/>
      </c>
      <c r="B8" s="2990"/>
      <c r="C8" s="2990"/>
      <c r="D8" s="2990" t="str">
        <f>结果表!D122</f>
        <v>——</v>
      </c>
      <c r="E8" s="2990"/>
      <c r="F8" s="2990"/>
      <c r="G8" s="2990"/>
      <c r="H8" s="2990"/>
      <c r="I8" s="2990"/>
    </row>
    <row r="9" spans="1:9" ht="15">
      <c r="A9" s="2991" t="s">
        <v>1639</v>
      </c>
      <c r="B9" s="2991"/>
      <c r="C9" s="2991"/>
      <c r="D9" s="2992" t="e">
        <f>结果表!D123</f>
        <v>#VALUE!</v>
      </c>
      <c r="E9" s="2992"/>
      <c r="F9" s="2992"/>
      <c r="G9" s="2992"/>
      <c r="H9" s="2992"/>
      <c r="I9" s="2992"/>
    </row>
    <row r="10" spans="1:9" ht="15.75">
      <c r="A10" s="2990" t="str">
        <f>结果表!A124</f>
        <v>抵押担保权已注销时的房地产抵押价值</v>
      </c>
      <c r="B10" s="2990"/>
      <c r="C10" s="2990"/>
      <c r="D10" s="2990">
        <f ca="1">结果表!D124</f>
        <v>2470</v>
      </c>
      <c r="E10" s="2990"/>
      <c r="F10" s="2990"/>
      <c r="G10" s="2990"/>
      <c r="H10" s="2990"/>
      <c r="I10" s="2990"/>
    </row>
    <row r="11" spans="1:9" ht="15">
      <c r="A11" s="2991" t="s">
        <v>1639</v>
      </c>
      <c r="B11" s="2991"/>
      <c r="C11" s="2991"/>
      <c r="D11" s="2992" t="str">
        <f ca="1">结果表!D125</f>
        <v>贰仟肆佰柒拾万元整</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1639</v>
      </c>
      <c r="B13" s="2987"/>
      <c r="C13" s="2987"/>
      <c r="D13" s="2988" t="e">
        <f>结果表!D127</f>
        <v>#VALUE!</v>
      </c>
      <c r="E13" s="2988"/>
      <c r="F13" s="2988"/>
      <c r="G13" s="2988"/>
      <c r="H13" s="2988"/>
      <c r="I13" s="2988"/>
    </row>
    <row r="14" spans="1:9" ht="15" thickTop="1">
      <c r="A14" s="2989" t="s">
        <v>1644</v>
      </c>
      <c r="B14" s="2989"/>
      <c r="C14" s="2989"/>
      <c r="D14" s="2989"/>
      <c r="E14" s="2989"/>
      <c r="F14" s="2989"/>
      <c r="G14" s="2989"/>
      <c r="H14" s="2989"/>
      <c r="I14" s="298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4" t="s">
        <v>1661</v>
      </c>
      <c r="B1" s="3004"/>
      <c r="C1" s="3004"/>
      <c r="D1" s="3004"/>
    </row>
    <row r="2" spans="1:4" ht="18">
      <c r="A2" s="3005" t="s">
        <v>1645</v>
      </c>
      <c r="B2" s="3005"/>
      <c r="C2" s="3005"/>
      <c r="D2" s="3005"/>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05" t="s">
        <v>1651</v>
      </c>
      <c r="B6" s="3005"/>
      <c r="C6" s="3005"/>
      <c r="D6" s="3005"/>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06" t="s">
        <v>1654</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1655</v>
      </c>
      <c r="B16" s="3000"/>
      <c r="C16" s="3000"/>
      <c r="D16" s="3000"/>
    </row>
    <row r="17" spans="1:4" ht="144" customHeight="1">
      <c r="A17" s="3000" t="s">
        <v>1656</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1657</v>
      </c>
      <c r="B22" s="3002"/>
      <c r="C22" s="3002"/>
      <c r="D22" s="3002"/>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2" t="s">
        <v>1668</v>
      </c>
      <c r="B15" s="3007" t="s">
        <v>136</v>
      </c>
      <c r="C15" s="3008"/>
    </row>
    <row r="16" spans="1:7" ht="13.5">
      <c r="A16" s="3013"/>
      <c r="B16" s="3007" t="s">
        <v>69</v>
      </c>
      <c r="C16" s="3008"/>
    </row>
    <row r="17" spans="1:3" ht="13.5">
      <c r="A17" s="3013"/>
      <c r="B17" s="3010" t="s">
        <v>1669</v>
      </c>
      <c r="C17" s="2002" t="s">
        <v>1668</v>
      </c>
    </row>
    <row r="18" spans="1:3" ht="13.5">
      <c r="A18" s="3013"/>
      <c r="B18" s="3010"/>
      <c r="C18" s="2002" t="s">
        <v>1670</v>
      </c>
    </row>
    <row r="19" spans="1:3" ht="13.5">
      <c r="A19" s="3013"/>
      <c r="B19" s="3010"/>
      <c r="C19" s="2002" t="s">
        <v>1671</v>
      </c>
    </row>
    <row r="20" spans="1:3" ht="13.5">
      <c r="A20" s="3014"/>
      <c r="B20" s="3009" t="s">
        <v>1672</v>
      </c>
      <c r="C20" s="3008"/>
    </row>
    <row r="21" spans="1:3" ht="13.5">
      <c r="A21" s="2003" t="s">
        <v>1673</v>
      </c>
      <c r="B21" s="2004"/>
      <c r="C21" s="2005"/>
    </row>
    <row r="22" spans="1:3" ht="13.5">
      <c r="A22" s="3011" t="s">
        <v>1674</v>
      </c>
      <c r="B22" s="3009" t="s">
        <v>1675</v>
      </c>
      <c r="C22" s="3008"/>
    </row>
    <row r="23" spans="1:3" ht="13.5">
      <c r="A23" s="3011"/>
      <c r="B23" s="3009" t="s">
        <v>1676</v>
      </c>
      <c r="C23" s="3008"/>
    </row>
    <row r="24" spans="1:3" ht="13.5">
      <c r="A24" s="3011"/>
      <c r="B24" s="3009" t="s">
        <v>1677</v>
      </c>
      <c r="C24" s="3008"/>
    </row>
    <row r="25" spans="1:3" ht="13.5">
      <c r="A25" s="3011"/>
      <c r="B25" s="3010" t="s">
        <v>1678</v>
      </c>
      <c r="C25" s="2002" t="s">
        <v>1679</v>
      </c>
    </row>
    <row r="26" spans="1:3" ht="13.5">
      <c r="A26" s="3011"/>
      <c r="B26" s="3010"/>
      <c r="C26" s="2002" t="s">
        <v>1680</v>
      </c>
    </row>
    <row r="27" spans="1:3" ht="13.5">
      <c r="A27" s="3011"/>
      <c r="B27" s="3010"/>
      <c r="C27" s="2002" t="s">
        <v>1681</v>
      </c>
    </row>
    <row r="28" spans="1:3" ht="13.5">
      <c r="A28" s="3011"/>
      <c r="B28" s="3010"/>
      <c r="C28" s="2002" t="s">
        <v>1682</v>
      </c>
    </row>
    <row r="29" spans="1:3" ht="13.5">
      <c r="A29" s="3011"/>
      <c r="B29" s="3010"/>
      <c r="C29" s="2002" t="s">
        <v>1683</v>
      </c>
    </row>
    <row r="30" spans="1:3" ht="13.5">
      <c r="A30" s="3011"/>
      <c r="B30" s="3010"/>
      <c r="C30" s="2002" t="s">
        <v>1684</v>
      </c>
    </row>
    <row r="31" spans="1:3" ht="13.5">
      <c r="A31" s="3011"/>
      <c r="B31" s="3010"/>
      <c r="C31" s="2002" t="s">
        <v>1685</v>
      </c>
    </row>
    <row r="32" spans="1:3" ht="13.5">
      <c r="A32" s="3011"/>
      <c r="B32" s="3010"/>
      <c r="C32" s="2002" t="s">
        <v>1686</v>
      </c>
    </row>
    <row r="33" spans="1:3" ht="13.5">
      <c r="A33" s="3011"/>
      <c r="B33" s="301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43301</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t="s">
        <v>3043</v>
      </c>
      <c r="B12" s="1025">
        <v>1120110054</v>
      </c>
      <c r="C12" s="2943">
        <v>43937</v>
      </c>
      <c r="D12" s="1704" t="s">
        <v>3043</v>
      </c>
      <c r="E12" s="1025">
        <v>2008110060</v>
      </c>
      <c r="F12" s="1033">
        <v>47177</v>
      </c>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943">
        <v>44339</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15" t="s">
        <v>846</v>
      </c>
      <c r="B25" s="3015"/>
      <c r="C25" s="3015"/>
      <c r="D25" s="3015"/>
      <c r="E25" s="3015"/>
      <c r="F25" s="3015"/>
      <c r="G25" s="3015"/>
    </row>
    <row r="26" spans="1:7" s="1028" customFormat="1" ht="24" customHeight="1">
      <c r="A26" s="3016" t="s">
        <v>847</v>
      </c>
      <c r="B26" s="3016"/>
      <c r="C26" s="3017"/>
      <c r="D26" s="3018" t="s">
        <v>848</v>
      </c>
      <c r="E26" s="3016"/>
      <c r="F26" s="3016"/>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0">
        <v>44377</v>
      </c>
    </row>
    <row r="29" spans="1:7" s="1030" customFormat="1" ht="24" customHeight="1">
      <c r="A29" s="1031"/>
      <c r="B29" s="1031"/>
      <c r="C29" s="2355"/>
      <c r="D29" s="2357"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收益法-出租</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估价师及机构信息!Print_Area</vt:lpstr>
      <vt:lpstr>收益法!Print_Area</vt:lpstr>
      <vt:lpstr>'收益法 (元)'!Print_Area</vt:lpstr>
      <vt:lpstr>'收益法-出租'!Print_Area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2018-07-20T02:05:50Z</dcterms:modified>
</cp:coreProperties>
</file>